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231"/>
  <workbookPr filterPrivacy="1" codeName="ThisWorkbook"/>
  <xr:revisionPtr revIDLastSave="385" documentId="11_457978CB82470E98E655C2DBC3E3DA80A9BA9989" xr6:coauthVersionLast="47" xr6:coauthVersionMax="47" xr10:uidLastSave="{FB9C0A73-E8F2-4578-B896-59150B6AD732}"/>
  <bookViews>
    <workbookView xWindow="-120" yWindow="-120" windowWidth="29040" windowHeight="15720" tabRatio="911" xr2:uid="{00000000-000D-0000-FFFF-FFFF00000000}"/>
  </bookViews>
  <sheets>
    <sheet name="0. Title" sheetId="1" r:id="rId1"/>
    <sheet name="1. Overview" sheetId="41" r:id="rId2"/>
    <sheet name="2a. Patients - incident" sheetId="56" r:id="rId3"/>
    <sheet name="2b. Patients - prevalent" sheetId="3" r:id="rId4"/>
    <sheet name="2c. Patients - GF" sheetId="53" r:id="rId5"/>
    <sheet name="2d. Patients - DTG" sheetId="60" r:id="rId6"/>
    <sheet name="2e. Scripts - market" sheetId="38" r:id="rId7"/>
    <sheet name="3a. Scripts - proposed" sheetId="37" r:id="rId8"/>
    <sheet name="3b. Impact - proposed (pub)" sheetId="34" r:id="rId9"/>
    <sheet name="3c. Impact - proposed (eff)" sheetId="43" r:id="rId10"/>
    <sheet name="4a. Scripts - affected" sheetId="15" r:id="rId11"/>
    <sheet name="4b. Impact - affected (pub)" sheetId="44" r:id="rId12"/>
    <sheet name="4c. Impact - affected (eff)" sheetId="45" r:id="rId13"/>
    <sheet name="5. Impact - net" sheetId="46" r:id="rId14"/>
    <sheet name="6. Net changes - SA" sheetId="7" r:id="rId15"/>
    <sheet name="7. Net changes - MBS" sheetId="50" r:id="rId16"/>
    <sheet name="8. ABS population" sheetId="47" r:id="rId17"/>
    <sheet name="9. AIHW population" sheetId="49" r:id="rId18"/>
    <sheet name="10. Registry population" sheetId="51" r:id="rId19"/>
    <sheet name="11. Persistent population" sheetId="58" r:id="rId20"/>
    <sheet name="12. Copies of data -&gt;" sheetId="57" r:id="rId21"/>
    <sheet name="Template" sheetId="59" r:id="rId22"/>
    <sheet name="References" sheetId="14" state="hidden" r:id="rId23"/>
    <sheet name="ChangeLog" sheetId="22" state="hidden" r:id="rId24"/>
  </sheets>
  <definedNames>
    <definedName name="ABSRate">References!$E$78:$E$79</definedName>
    <definedName name="ABSRateCode">References!$E$78:$F$79</definedName>
    <definedName name="ABSValues">'8. ABS population'!$D$8:$J$17</definedName>
    <definedName name="Authority">References!$B$30:$B$34</definedName>
    <definedName name="AuthorityCode">References!$B$30:$C$34</definedName>
    <definedName name="CalculationMethod">References!$E$90:$E$92</definedName>
    <definedName name="CalculationMethodCode">References!$E$90:$F$92</definedName>
    <definedName name="CalendarYear">References!$J$42:$J$46</definedName>
    <definedName name="CoDep">'1. Overview'!$N$7</definedName>
    <definedName name="ComplexAuthCount">'6. Net changes - SA'!$L$124</definedName>
    <definedName name="CoPayBandChanged">'4a. Scripts - affected'!$Y$16:$Y$35</definedName>
    <definedName name="CoPayBandLink">'3a. Scripts - proposed'!$AI$144:$AN$163</definedName>
    <definedName name="CoPayBandMS">'2e. Scripts - market'!$O$50:$O$69</definedName>
    <definedName name="CoPayBandMSAdditional">'4a. Scripts - affected'!$P$133:$P$152</definedName>
    <definedName name="CoPayBands">References!$J$66:$J$70</definedName>
    <definedName name="CoPayC0">References!$N$9</definedName>
    <definedName name="CoPayC1">References!$N$8</definedName>
    <definedName name="CoPayCountChanged">'6. Net changes - SA'!$K$338:$K$357</definedName>
    <definedName name="CoPayCountNew">'6. Net changes - SA'!$K$104:$K$123</definedName>
    <definedName name="CoPayG1">References!$N$7</definedName>
    <definedName name="CoPayG2">References!$N$6</definedName>
    <definedName name="CoPayMethod">References!$P$6:$P$7</definedName>
    <definedName name="CoPayPBS">'2e. Scripts - market'!$U$73:$U$77</definedName>
    <definedName name="CoPayR0">References!$N$11</definedName>
    <definedName name="CoPayR1">References!$N$10</definedName>
    <definedName name="CoPayRPBS">'2e. Scripts - market'!$V$73:$V$77</definedName>
    <definedName name="CostType">References!$B$54:$B$56</definedName>
    <definedName name="CostTypeCode">References!$B$54:$C$56</definedName>
    <definedName name="CostTypePBS">References!$B$66:$B$70</definedName>
    <definedName name="CostTypePBSCode">References!$B$66:$C$70</definedName>
    <definedName name="DataSource">References!$H$6:$H$9</definedName>
    <definedName name="DisplaceType">References!$E$6:$E$7</definedName>
    <definedName name="DisplaceTypeCode">References!$E$6:$F$7</definedName>
    <definedName name="DPMQCoPayChangedEff">'4c. Impact - affected (eff)'!$J$274:$M$293</definedName>
    <definedName name="DPMQCoPayChangedPub">'4b. Impact - affected (pub)'!$J$274:$N$293</definedName>
    <definedName name="DPMQCoPayNewEff">'3c. Impact - proposed (eff)'!$J$274:$M$293</definedName>
    <definedName name="DPMQCoPayNewPub">'3b. Impact - proposed (pub)'!$J$274:$N$293</definedName>
    <definedName name="DTGPops">OFFSET(References!$AE$38,0,0,References!$AF$63,1)</definedName>
    <definedName name="DTGPops01">OFFSET(References!$AE$23,0,'2d. Patients - DTG'!$C$26,'2d. Patients - DTG'!$C$27)</definedName>
    <definedName name="DTGPops02">OFFSET(References!$AE$23,0,'2d. Patients - DTG'!$C$48,'2d. Patients - DTG'!$C$49)</definedName>
    <definedName name="DTGPops03">OFFSET(References!$AE$23,0,'2d. Patients - DTG'!$C$70,'2d. Patients - DTG'!$C$71)</definedName>
    <definedName name="DTGPops04">OFFSET(References!$AE$23,0,'2d. Patients - DTG'!$C$92,'2d. Patients - DTG'!$C$93)</definedName>
    <definedName name="DTGPops05">OFFSET(References!$AE$23,0,'2d. Patients - DTG'!$C$114,'2d. Patients - DTG'!$C$115)</definedName>
    <definedName name="DTGPops06">OFFSET(References!$AE$23,0,'2d. Patients - DTG'!$C$136,'2d. Patients - DTG'!$C$137)</definedName>
    <definedName name="DTGPops07">OFFSET(References!$AE$23,0,'2d. Patients - DTG'!$C$158,'2d. Patients - DTG'!$C$159)</definedName>
    <definedName name="DTGPops08">OFFSET(References!$AE$23,0,'2d. Patients - DTG'!$C$180,'2d. Patients - DTG'!$C$181)</definedName>
    <definedName name="DTGPops09">OFFSET(References!$AE$23,0,'2d. Patients - DTG'!$C$202,'2d. Patients - DTG'!$C$203)</definedName>
    <definedName name="DTGPops10">OFFSET(References!$AE$23,0,'2d. Patients - DTG'!$C$224,'2d. Patients - DTG'!$C$225)</definedName>
    <definedName name="DTGPops11">OFFSET(References!$AE$23,0,'2d. Patients - DTG'!$C$246,'2d. Patients - DTG'!$C$247)</definedName>
    <definedName name="DTGPops12">OFFSET(References!$AE$23,0,'2d. Patients - DTG'!$C$268,'2d. Patients - DTG'!$C$269)</definedName>
    <definedName name="DTGPops13">OFFSET(References!$AE$23,0,'2d. Patients - DTG'!$C$290,'2d. Patients - DTG'!$C$291)</definedName>
    <definedName name="DTGPops14">OFFSET(References!$AE$23,0,'2d. Patients - DTG'!$C$312,'2d. Patients - DTG'!$C$313)</definedName>
    <definedName name="DTGPops15">OFFSET(References!$AE$23,0,'2d. Patients - DTG'!$C$334,'2d. Patients - DTG'!$C$335)</definedName>
    <definedName name="DTGPops16">OFFSET(References!$AE$23,0,'2d. Patients - DTG'!$C$356,'2d. Patients - DTG'!$C$357)</definedName>
    <definedName name="DTGPops17">OFFSET(References!$AE$23,0,'2d. Patients - DTG'!$C$378,'2d. Patients - DTG'!$C$379)</definedName>
    <definedName name="DTGPops18">OFFSET(References!$AE$23,0,'2d. Patients - DTG'!$C$400,'2d. Patients - DTG'!$C$401)</definedName>
    <definedName name="DTGPops19">OFFSET(References!$AE$23,0,'2d. Patients - DTG'!$C$422,'2d. Patients - DTG'!$C$423)</definedName>
    <definedName name="DTGPops20">OFFSET(References!$AE$23,0,'2d. Patients - DTG'!$C$444,'2d. Patients - DTG'!$C$445)</definedName>
    <definedName name="DTGPops21">OFFSET(References!$AE$23,0,'2d. Patients - DTG'!$C$466,'2d. Patients - DTG'!$C$467)</definedName>
    <definedName name="DTGPops22">OFFSET(References!$AE$23,0,'2d. Patients - DTG'!$C$488,'2d. Patients - DTG'!$C$489)</definedName>
    <definedName name="DTGPops23">OFFSET(References!$AE$23,0,'2d. Patients - DTG'!$C$510,'2d. Patients - DTG'!$C$511)</definedName>
    <definedName name="DTGPops24">OFFSET(References!$AE$23,0,'2d. Patients - DTG'!$C$532,'2d. Patients - DTG'!$C$533)</definedName>
    <definedName name="DTGPops25">OFFSET(References!$AE$23,0,'2d. Patients - DTG'!$C$554,'2d. Patients - DTG'!$C$555)</definedName>
    <definedName name="EconomicAnalysis">References!$H$54:$H$56</definedName>
    <definedName name="Electronic">References!$B$37:$B$38</definedName>
    <definedName name="EPISource">References!$E$18:$E$21</definedName>
    <definedName name="EPISourceCode">References!$E$18:$F$21</definedName>
    <definedName name="EpiType">References!$B$18:$B$20</definedName>
    <definedName name="EpiTypeCode">References!$B$18:$C$20</definedName>
    <definedName name="ErrorMessages">References!$AA$44:$AB$63</definedName>
    <definedName name="FirstYear">'1. Overview'!$K$8</definedName>
    <definedName name="Gender">References!$B$42:$B$45</definedName>
    <definedName name="GenderCode">References!$B$42:$C$45</definedName>
    <definedName name="GFPops01" localSheetId="4">OFFSET(References!$AE$7,0,'2c. Patients - GF'!$B$25,'2c. Patients - GF'!$B$26)</definedName>
    <definedName name="GFPops02" localSheetId="4">OFFSET(References!$AE$7,0,'2c. Patients - GF'!$B$54,'2c. Patients - GF'!$B$55)</definedName>
    <definedName name="GFPops03" localSheetId="4">OFFSET(References!$AE$7,0,'2c. Patients - GF'!$B$83,'2c. Patients - GF'!$B$84)</definedName>
    <definedName name="GFPops04" localSheetId="4">OFFSET(References!$AE$7,0,'2c. Patients - GF'!$B$112,'2c. Patients - GF'!$B$113)</definedName>
    <definedName name="GFPops05" localSheetId="4">OFFSET(References!$AE$7,0,'2c. Patients - GF'!$B$141,'2c. Patients - GF'!$B$142)</definedName>
    <definedName name="Indication">'1. Overview'!$E$73</definedName>
    <definedName name="IPops01" localSheetId="2">OFFSET(References!$AE$7,0,'2a. Patients - incident'!$B$24,'2a. Patients - incident'!$B$25)</definedName>
    <definedName name="IPops02" localSheetId="2">OFFSET(References!$AE$7,0,'2a. Patients - incident'!$B$62,'2a. Patients - incident'!$B$63)</definedName>
    <definedName name="IPops03" localSheetId="2">OFFSET(References!$AE$7,0,'2a. Patients - incident'!$B$100,'2a. Patients - incident'!$B$101)</definedName>
    <definedName name="IPops04" localSheetId="2">OFFSET(References!$AE$7,0,'2a. Patients - incident'!$B$138,'2a. Patients - incident'!$B$139)</definedName>
    <definedName name="IPops05" localSheetId="2">OFFSET(References!$AE$7,0,'2a. Patients - incident'!$B$176,'2a. Patients - incident'!$B$177)</definedName>
    <definedName name="IPops06" localSheetId="2">OFFSET(References!$AE$7,0,'2a. Patients - incident'!$B$214,'2a. Patients - incident'!$B$215)</definedName>
    <definedName name="IPops07" localSheetId="2">OFFSET(References!$AE$7,0,'2a. Patients - incident'!$B$252,'2a. Patients - incident'!$B$253)</definedName>
    <definedName name="IPops08" localSheetId="2">OFFSET(References!$AE$7,0,'2a. Patients - incident'!$B$290,'2a. Patients - incident'!$B$291)</definedName>
    <definedName name="IPops09" localSheetId="2">OFFSET(References!$AE$7,0,'2a. Patients - incident'!$B$328,'2a. Patients - incident'!$B$329)</definedName>
    <definedName name="IPops10" localSheetId="2">OFFSET(References!$AE$7,0,'2a. Patients - incident'!$B$366,'2a. Patients - incident'!$B$367)</definedName>
    <definedName name="List">Template!$BE$7:$BE$12</definedName>
    <definedName name="ListingType">References!$H$42:$H$45</definedName>
    <definedName name="MarketImpact">'0. Title'!$C$50</definedName>
    <definedName name="MarketImpactCode">References!$E$54:$F$55</definedName>
    <definedName name="MarketImpactType">References!$E$54:$E$55</definedName>
    <definedName name="MaxQ">References!$B$126:$C$127</definedName>
    <definedName name="MBSBasis">References!$E$126:$E$127</definedName>
    <definedName name="MBSBasisCode">References!$E$126:$F$127</definedName>
    <definedName name="MBSDecCalc">'7. Net changes - MBS'!$Y$483:$AA$502</definedName>
    <definedName name="MBSDecItems">'7. Net changes - MBS'!$D$458:$J$477</definedName>
    <definedName name="MBSDecNames">'7. Net changes - MBS'!$AB$458:$AB$477</definedName>
    <definedName name="MBSDecPopSplit">'7. Net changes - MBS'!$Q$458:$Q$477</definedName>
    <definedName name="MBSDecRate">'7. Net changes - MBS'!$AC$458:$AF$477</definedName>
    <definedName name="MBSIncCalc">'7. Net changes - MBS'!$Y$88:$AA$107</definedName>
    <definedName name="MBSIncItems">'7. Net changes - MBS'!$D$63:$J$82</definedName>
    <definedName name="MBSIncNames">'7. Net changes - MBS'!$AB$63:$AB$82</definedName>
    <definedName name="MBSIncPopSplit">'7. Net changes - MBS'!$Q$63:$Q$82</definedName>
    <definedName name="MBSIncRate">'7. Net changes - MBS'!$AC$63:$AF$82</definedName>
    <definedName name="MBSItemsAll">References!$AV$7:$AV$46</definedName>
    <definedName name="MBSPBSDec">'7. Net changes - MBS'!$AH$487:$BB$506</definedName>
    <definedName name="MBSPBSInc">'7. Net changes - MBS'!$AH$90:$BB$109</definedName>
    <definedName name="MBSRebateRate">References!$J$78</definedName>
    <definedName name="MBSRPBSDec">'7. Net changes - MBS'!$AH$511:$BB$530</definedName>
    <definedName name="MBSRPBSInc">'7. Net changes - MBS'!$AH$114:$BB$133</definedName>
    <definedName name="MedicineBrand">'1. Overview'!$E$10</definedName>
    <definedName name="MedicineName">'1. Overview'!$E$7</definedName>
    <definedName name="MsgConfirm">References!$H$70</definedName>
    <definedName name="MsgError">References!$H$68</definedName>
    <definedName name="MsgNote">References!$H$71</definedName>
    <definedName name="MsgNotRequired">References!$H$67</definedName>
    <definedName name="MsgNotUsed">References!$H$66</definedName>
    <definedName name="MsgWarn">References!$H$69</definedName>
    <definedName name="NamesEpiAdditional">'4a. Scripts - affected'!$AB$105:$AC$124</definedName>
    <definedName name="NamesLinkNew">'3a. Scripts - proposed'!$AF$144:$AF$163</definedName>
    <definedName name="NamesMS">'2e. Scripts - market'!$AA$50:$AA$69</definedName>
    <definedName name="NamesMSAdditional">'4a. Scripts - affected'!$AB$133:$AD$152</definedName>
    <definedName name="NamesNew">'3a. Scripts - proposed'!$AF$117:$AF$136</definedName>
    <definedName name="NamesNewTx">OFFSET('3a. Scripts - proposed'!$AF$117,0,0,COUNTIF(NamesNew,"&lt;&gt;** NOT USED **"))</definedName>
    <definedName name="NamesOverallChanged">'4a. Scripts - affected'!$D$16:$D$35</definedName>
    <definedName name="NamesOverallChangedCode">'4a. Scripts - affected'!$AB$16:$AC$35</definedName>
    <definedName name="NamesScriptsChangedTx">OFFSET('4a. Scripts - affected'!$D$16,0,0,COUNTIF(NamesOverallChanged,"&lt;&gt;** NOT USED **"))</definedName>
    <definedName name="NewAdjunct">References!$AA$66:$AB$67</definedName>
    <definedName name="Pathway">References!$B$114:$B$117</definedName>
    <definedName name="PathwayCode">References!$B$114:$C$117</definedName>
    <definedName name="PBACMeetingDate">References!$J$6:$J$24</definedName>
    <definedName name="PBSScriptsChanged">'4a. Scripts - affected'!$D$16:$J$36</definedName>
    <definedName name="PBSScriptsNew">'3a. Scripts - proposed'!$E$16:$K$36</definedName>
    <definedName name="PBSScriptsOld">'2e. Scripts - market'!$C$16:$I$35</definedName>
    <definedName name="PPops01" localSheetId="3">OFFSET(References!$AE$7,0,'2b. Patients - prevalent'!$B$24,'2b. Patients - prevalent'!$B$25)</definedName>
    <definedName name="PPops02" localSheetId="3">OFFSET(References!$AE$7,0,'2b. Patients - prevalent'!$B$62,'2b. Patients - prevalent'!$B$63)</definedName>
    <definedName name="PPops03" localSheetId="3">OFFSET(References!$AE$7,0,'2b. Patients - prevalent'!$B$100,'2b. Patients - prevalent'!$B$101)</definedName>
    <definedName name="PPops04" localSheetId="3">OFFSET(References!$AE$7,0,'2b. Patients - prevalent'!$B$138,'2b. Patients - prevalent'!$B$139)</definedName>
    <definedName name="PPops05" localSheetId="3">OFFSET(References!$AE$7,0,'2b. Patients - prevalent'!$B$176,'2b. Patients - prevalent'!$B$177)</definedName>
    <definedName name="PPops06" localSheetId="3">OFFSET(References!$AE$7,0,'2b. Patients - prevalent'!$B$214,'2b. Patients - prevalent'!$B$215)</definedName>
    <definedName name="PPops07" localSheetId="3">OFFSET(References!$AE$7,0,'2b. Patients - prevalent'!$B$252,'2b. Patients - prevalent'!$B$253)</definedName>
    <definedName name="PPops08" localSheetId="3">OFFSET(References!$AE$7,0,'2b. Patients - prevalent'!$B$290,'2b. Patients - prevalent'!$B$291)</definedName>
    <definedName name="PPops09" localSheetId="3">OFFSET(References!$AE$7,0,'2b. Patients - prevalent'!$B$328,'2b. Patients - prevalent'!$B$329)</definedName>
    <definedName name="PPops10" localSheetId="3">OFFSET(References!$AE$7,0,'2b. Patients - prevalent'!$B$366,'2b. Patients - prevalent'!$B$367)</definedName>
    <definedName name="PRate01" localSheetId="19">'11. Persistent population'!$V$26:$X$37</definedName>
    <definedName name="PRate02" localSheetId="19">'11. Persistent population'!$V$64:$X$75</definedName>
    <definedName name="PRate03" localSheetId="19">'11. Persistent population'!$V$102:$X$113</definedName>
    <definedName name="PRate04" localSheetId="19">'11. Persistent population'!$V$140:$X$151</definedName>
    <definedName name="PRate05" localSheetId="19">'11. Persistent population'!$V$178:$X$189</definedName>
    <definedName name="PRate06" localSheetId="19">'11. Persistent population'!$V$216:$X$227</definedName>
    <definedName name="PRate07" localSheetId="19">'11. Persistent population'!$V$254:$X$265</definedName>
    <definedName name="PRate08" localSheetId="19">'11. Persistent population'!$V$292:$X$303</definedName>
    <definedName name="PRate09" localSheetId="19">'11. Persistent population'!$V$330:$X$341</definedName>
    <definedName name="PRate10" localSheetId="19">'11. Persistent population'!$V$368:$X$379</definedName>
    <definedName name="_xlnm.Print_Area" localSheetId="1">'1. Overview'!$C$4:$M$408</definedName>
    <definedName name="Programme">References!$W$6:$W$22</definedName>
    <definedName name="ProgrammeCode">References!$W$6:$Y$22</definedName>
    <definedName name="PxGrandfathered">'0. Title'!$C$44</definedName>
    <definedName name="PxIncident">'0. Title'!$C$42</definedName>
    <definedName name="PxPopMaxCount">References!$AI$18</definedName>
    <definedName name="PxPopNames">References!$AE$6:$AH$16</definedName>
    <definedName name="PxPopNumbers">References!$AL$7:$AQ$41</definedName>
    <definedName name="PxPopSource">References!$B$78:$B$81</definedName>
    <definedName name="PxPopSourceCode">References!$B$78:$C$81</definedName>
    <definedName name="PxPopValid">References!$AE$17:$AH$17</definedName>
    <definedName name="PxPrevalent">'0. Title'!$C$43</definedName>
    <definedName name="PxTxCount">References!$AI$34</definedName>
    <definedName name="PxTxNames">References!$AE$23:$AH$32</definedName>
    <definedName name="PxTxPhase1">References!$AL$50:$AR$84</definedName>
    <definedName name="PxTxPhase1Adj">References!$AU$50:$BC$80</definedName>
    <definedName name="PxTxPhase2">References!$AL$89:$AR$123</definedName>
    <definedName name="PxTxPhase2Adj">References!$AU$89:$BC$119</definedName>
    <definedName name="PxTxSource">References!$E$66:$E$69</definedName>
    <definedName name="PxTxSourceCode">References!$E$66:$F$69</definedName>
    <definedName name="PxTxValid">References!$AE$33:$AH$33</definedName>
    <definedName name="Reporting">References!$J$54:$J$56</definedName>
    <definedName name="RestrictionCount">'3a. Scripts - proposed'!$D$137</definedName>
    <definedName name="RPBSScriptsChanged">'4a. Scripts - affected'!$K$16:$Q$36</definedName>
    <definedName name="RPBSScriptsNew">'3a. Scripts - proposed'!$L$16:$R$36</definedName>
    <definedName name="RPBSScriptsOld">'2e. Scripts - market'!$K$16:$P$35</definedName>
    <definedName name="RSAFlag">'1. Overview'!$N$397</definedName>
    <definedName name="RSAJoinFlag">'1. Overview'!$N$398</definedName>
    <definedName name="SAChanged">'6. Net changes - SA'!$F$338:$M$357</definedName>
    <definedName name="SANew">'6. Net changes - SA'!$F$104:$M$123</definedName>
    <definedName name="ScheduleType">References!$E$30:$E$31</definedName>
    <definedName name="ScheduleTypeCode">References!$E$30:$F$31</definedName>
    <definedName name="ScriptsMSAdditional">'4a. Scripts - affected'!$R$158:$R$177</definedName>
    <definedName name="ScriptsOldTotal" localSheetId="6">'2e. Scripts - market'!$Y$73:$Z$77</definedName>
    <definedName name="ScriptSource">'0. Title'!$E$39</definedName>
    <definedName name="ScriptSourceCode">'0. Title'!$C$39</definedName>
    <definedName name="ScriptSplit">'0. Title'!$C$48</definedName>
    <definedName name="ScriptSplitCode">References!$E$102:$F$103</definedName>
    <definedName name="ScriptSplitType">References!$E$102:$E$103</definedName>
    <definedName name="ServiceSplitPBS">'2e. Scripts - market'!$S$73:$S$77</definedName>
    <definedName name="ServiceSplitPrivate">'2e. Scripts - market'!$J$90:$J$94</definedName>
    <definedName name="ServiceSplitPublic">'2e. Scripts - market'!$I$90:$I$94</definedName>
    <definedName name="ServiceSplitRPBS">'2e. Scripts - market'!$T$73:$T$77</definedName>
    <definedName name="SPAChangeFlag">'0. Title'!$C$52</definedName>
    <definedName name="SPANewFlag">'1. Overview'!$N$396</definedName>
    <definedName name="SubmissionCategory">References!$B$102:$B$105</definedName>
    <definedName name="SubmissionCategoryCode">References!$B$102:$C$105</definedName>
    <definedName name="SubmissionType">References!$B$90:$B$92</definedName>
    <definedName name="SubmissionTypeCode">References!$B$90:$C$92</definedName>
    <definedName name="SubResubType">IF('1. Overview'!$N$9=1,SubmissionCategory,IF('1. Overview'!$N$9=2,Pathway,""))</definedName>
    <definedName name="Switch">References!$H$30:$H$31</definedName>
    <definedName name="TimeUnit">References!$L$18:$L$20</definedName>
    <definedName name="TimeUnitCode">References!$L$18:$M$20</definedName>
    <definedName name="TimeUnitCount">References!$M$18:$N$20</definedName>
    <definedName name="TPAll">'2e. Scripts - market'!$X$84</definedName>
    <definedName name="TPCont">'2e. Scripts - market'!$W$84</definedName>
    <definedName name="TPInit">'2e. Scripts - market'!$V$84</definedName>
    <definedName name="TPLong">References!$E$42:$E$46</definedName>
    <definedName name="TPLongCode">References!$E$42:$F$46</definedName>
    <definedName name="TPShort">References!$S$6:$S$8</definedName>
    <definedName name="TPShortCode">References!$S$6:$U$9</definedName>
    <definedName name="TPShortReverse">References!$R$6:$T$8</definedName>
    <definedName name="TxDuration">'1. Overview'!$N$405</definedName>
    <definedName name="TxPhase1">References!$B$139</definedName>
    <definedName name="TxPhase1Code">References!$B$147</definedName>
    <definedName name="TxPhase1Px">References!$B$141</definedName>
    <definedName name="TxPhase1PxTotal">References!$B$142</definedName>
    <definedName name="TxPhase1PxUnitsTx">References!$B$143</definedName>
    <definedName name="TxPhase1Rx">References!$B$145</definedName>
    <definedName name="TxPhase1RxTotal">References!$B$146</definedName>
    <definedName name="TxPhase1Tx">References!$B$144</definedName>
    <definedName name="TxPhase2">References!$C$139</definedName>
    <definedName name="TxPhase2Code">References!$C$147</definedName>
    <definedName name="TxPhase2Px">References!$C$141</definedName>
    <definedName name="TxPhase2PxTotal">References!$C$142</definedName>
    <definedName name="TxPhase2PxUnitsTx">References!$C$143</definedName>
    <definedName name="TxPhase2Rx">References!$C$145</definedName>
    <definedName name="TxPhase2RxTotal">References!$C$146</definedName>
    <definedName name="TxPhase2Source">References!$E$114:$E$115</definedName>
    <definedName name="TxPhase2SourceCode">References!$E$114:$F$115</definedName>
    <definedName name="TXPhase2Tx">References!$C$144</definedName>
    <definedName name="TxPhaseLinkNew">'3a. Scripts - proposed'!$AF$144:$AG$163</definedName>
    <definedName name="TxPhaseNew">'3a. Scripts - proposed'!$AF$117:$AG$136</definedName>
    <definedName name="WarningMessages">References!$AA$22:$AB$41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B253" i="47" l="1"/>
  <c r="DC253" i="47" s="1"/>
  <c r="DB254" i="47"/>
  <c r="DC254" i="47" s="1"/>
  <c r="DD254" i="47" s="1"/>
  <c r="DB255" i="47"/>
  <c r="DC255" i="47" s="1"/>
  <c r="DB256" i="47"/>
  <c r="DC256" i="47" s="1"/>
  <c r="DB257" i="47"/>
  <c r="DC257" i="47" s="1"/>
  <c r="DB258" i="47"/>
  <c r="DC258" i="47" s="1"/>
  <c r="DB259" i="47"/>
  <c r="DC259" i="47" s="1"/>
  <c r="DB260" i="47"/>
  <c r="DC260" i="47"/>
  <c r="DB261" i="47"/>
  <c r="DC261" i="47" s="1"/>
  <c r="DB262" i="47"/>
  <c r="DC262" i="47" s="1"/>
  <c r="DB263" i="47"/>
  <c r="DC263" i="47" s="1"/>
  <c r="DB264" i="47"/>
  <c r="DC264" i="47" s="1"/>
  <c r="DB265" i="47"/>
  <c r="DC265" i="47" s="1"/>
  <c r="DB266" i="47"/>
  <c r="DC266" i="47" s="1"/>
  <c r="DD266" i="47" s="1"/>
  <c r="DB267" i="47"/>
  <c r="DC267" i="47" s="1"/>
  <c r="DB268" i="47"/>
  <c r="DC268" i="47" s="1"/>
  <c r="DB269" i="47"/>
  <c r="DC269" i="47" s="1"/>
  <c r="DB270" i="47"/>
  <c r="DC270" i="47"/>
  <c r="DD270" i="47" s="1"/>
  <c r="DB271" i="47"/>
  <c r="DC271" i="47" s="1"/>
  <c r="F203" i="47"/>
  <c r="G203" i="47"/>
  <c r="H203" i="47"/>
  <c r="I203" i="47"/>
  <c r="J203" i="47"/>
  <c r="K203" i="47"/>
  <c r="L203" i="47"/>
  <c r="M203" i="47"/>
  <c r="N203" i="47"/>
  <c r="O203" i="47"/>
  <c r="P203" i="47"/>
  <c r="Q203" i="47"/>
  <c r="R203" i="47"/>
  <c r="S203" i="47"/>
  <c r="T203" i="47"/>
  <c r="U203" i="47"/>
  <c r="V203" i="47"/>
  <c r="W203" i="47"/>
  <c r="X203" i="47"/>
  <c r="Y203" i="47"/>
  <c r="Z203" i="47"/>
  <c r="AA203" i="47"/>
  <c r="AB203" i="47"/>
  <c r="AC203" i="47"/>
  <c r="AD203" i="47"/>
  <c r="AE203" i="47"/>
  <c r="AF203" i="47"/>
  <c r="AG203" i="47"/>
  <c r="AH203" i="47"/>
  <c r="AI203" i="47"/>
  <c r="AJ203" i="47"/>
  <c r="AK203" i="47"/>
  <c r="AL203" i="47"/>
  <c r="AM203" i="47"/>
  <c r="AN203" i="47"/>
  <c r="AO203" i="47"/>
  <c r="AP203" i="47"/>
  <c r="AQ203" i="47"/>
  <c r="AR203" i="47"/>
  <c r="AS203" i="47"/>
  <c r="AT203" i="47"/>
  <c r="AU203" i="47"/>
  <c r="AV203" i="47"/>
  <c r="AW203" i="47"/>
  <c r="AX203" i="47"/>
  <c r="AY203" i="47"/>
  <c r="AZ203" i="47"/>
  <c r="BA203" i="47"/>
  <c r="BB203" i="47"/>
  <c r="BC203" i="47"/>
  <c r="BD203" i="47"/>
  <c r="BE203" i="47"/>
  <c r="BF203" i="47"/>
  <c r="BG203" i="47"/>
  <c r="BH203" i="47"/>
  <c r="BI203" i="47"/>
  <c r="BJ203" i="47"/>
  <c r="BK203" i="47"/>
  <c r="BL203" i="47"/>
  <c r="BM203" i="47"/>
  <c r="BN203" i="47"/>
  <c r="BO203" i="47"/>
  <c r="BP203" i="47"/>
  <c r="BQ203" i="47"/>
  <c r="BR203" i="47"/>
  <c r="BS203" i="47"/>
  <c r="BT203" i="47"/>
  <c r="BU203" i="47"/>
  <c r="BV203" i="47"/>
  <c r="BW203" i="47"/>
  <c r="BX203" i="47"/>
  <c r="BY203" i="47"/>
  <c r="BZ203" i="47"/>
  <c r="CA203" i="47"/>
  <c r="CB203" i="47"/>
  <c r="CC203" i="47"/>
  <c r="CD203" i="47"/>
  <c r="CE203" i="47"/>
  <c r="CF203" i="47"/>
  <c r="CG203" i="47"/>
  <c r="CH203" i="47"/>
  <c r="CI203" i="47"/>
  <c r="CJ203" i="47"/>
  <c r="CK203" i="47"/>
  <c r="CL203" i="47"/>
  <c r="CM203" i="47"/>
  <c r="CN203" i="47"/>
  <c r="CO203" i="47"/>
  <c r="CP203" i="47"/>
  <c r="CQ203" i="47"/>
  <c r="CR203" i="47"/>
  <c r="CS203" i="47"/>
  <c r="CT203" i="47"/>
  <c r="CU203" i="47"/>
  <c r="CV203" i="47"/>
  <c r="CW203" i="47"/>
  <c r="CX203" i="47"/>
  <c r="CY203" i="47"/>
  <c r="CZ203" i="47"/>
  <c r="DA203" i="47"/>
  <c r="F204" i="47"/>
  <c r="G204" i="47"/>
  <c r="H204" i="47"/>
  <c r="I204" i="47"/>
  <c r="J204" i="47"/>
  <c r="K204" i="47"/>
  <c r="L204" i="47"/>
  <c r="M204" i="47"/>
  <c r="N204" i="47"/>
  <c r="O204" i="47"/>
  <c r="P204" i="47"/>
  <c r="Q204" i="47"/>
  <c r="R204" i="47"/>
  <c r="S204" i="47"/>
  <c r="T204" i="47"/>
  <c r="U204" i="47"/>
  <c r="V204" i="47"/>
  <c r="W204" i="47"/>
  <c r="X204" i="47"/>
  <c r="Y204" i="47"/>
  <c r="Z204" i="47"/>
  <c r="AA204" i="47"/>
  <c r="AB204" i="47"/>
  <c r="AC204" i="47"/>
  <c r="AD204" i="47"/>
  <c r="AE204" i="47"/>
  <c r="AF204" i="47"/>
  <c r="AG204" i="47"/>
  <c r="AH204" i="47"/>
  <c r="AI204" i="47"/>
  <c r="AJ204" i="47"/>
  <c r="AK204" i="47"/>
  <c r="AL204" i="47"/>
  <c r="AM204" i="47"/>
  <c r="AN204" i="47"/>
  <c r="AO204" i="47"/>
  <c r="AP204" i="47"/>
  <c r="AQ204" i="47"/>
  <c r="AR204" i="47"/>
  <c r="AS204" i="47"/>
  <c r="AT204" i="47"/>
  <c r="AU204" i="47"/>
  <c r="AV204" i="47"/>
  <c r="AW204" i="47"/>
  <c r="AX204" i="47"/>
  <c r="AY204" i="47"/>
  <c r="AZ204" i="47"/>
  <c r="BA204" i="47"/>
  <c r="BB204" i="47"/>
  <c r="BC204" i="47"/>
  <c r="BD204" i="47"/>
  <c r="BE204" i="47"/>
  <c r="BF204" i="47"/>
  <c r="BG204" i="47"/>
  <c r="BH204" i="47"/>
  <c r="BI204" i="47"/>
  <c r="BJ204" i="47"/>
  <c r="BK204" i="47"/>
  <c r="BL204" i="47"/>
  <c r="BM204" i="47"/>
  <c r="BN204" i="47"/>
  <c r="BO204" i="47"/>
  <c r="BP204" i="47"/>
  <c r="BQ204" i="47"/>
  <c r="BR204" i="47"/>
  <c r="BS204" i="47"/>
  <c r="BT204" i="47"/>
  <c r="BU204" i="47"/>
  <c r="BV204" i="47"/>
  <c r="BW204" i="47"/>
  <c r="BX204" i="47"/>
  <c r="BY204" i="47"/>
  <c r="BZ204" i="47"/>
  <c r="CA204" i="47"/>
  <c r="CB204" i="47"/>
  <c r="CC204" i="47"/>
  <c r="CD204" i="47"/>
  <c r="CE204" i="47"/>
  <c r="CF204" i="47"/>
  <c r="CG204" i="47"/>
  <c r="CH204" i="47"/>
  <c r="CI204" i="47"/>
  <c r="CJ204" i="47"/>
  <c r="CK204" i="47"/>
  <c r="CL204" i="47"/>
  <c r="CM204" i="47"/>
  <c r="CN204" i="47"/>
  <c r="CO204" i="47"/>
  <c r="CP204" i="47"/>
  <c r="CQ204" i="47"/>
  <c r="CR204" i="47"/>
  <c r="CS204" i="47"/>
  <c r="CT204" i="47"/>
  <c r="CU204" i="47"/>
  <c r="CV204" i="47"/>
  <c r="CW204" i="47"/>
  <c r="CX204" i="47"/>
  <c r="CY204" i="47"/>
  <c r="CZ204" i="47"/>
  <c r="DA204" i="47"/>
  <c r="F205" i="47"/>
  <c r="G205" i="47"/>
  <c r="H205" i="47"/>
  <c r="I205" i="47"/>
  <c r="J205" i="47"/>
  <c r="K205" i="47"/>
  <c r="L205" i="47"/>
  <c r="M205" i="47"/>
  <c r="N205" i="47"/>
  <c r="O205" i="47"/>
  <c r="P205" i="47"/>
  <c r="Q205" i="47"/>
  <c r="R205" i="47"/>
  <c r="S205" i="47"/>
  <c r="T205" i="47"/>
  <c r="U205" i="47"/>
  <c r="V205" i="47"/>
  <c r="W205" i="47"/>
  <c r="X205" i="47"/>
  <c r="Y205" i="47"/>
  <c r="Z205" i="47"/>
  <c r="AA205" i="47"/>
  <c r="AB205" i="47"/>
  <c r="AC205" i="47"/>
  <c r="AD205" i="47"/>
  <c r="AE205" i="47"/>
  <c r="AF205" i="47"/>
  <c r="AG205" i="47"/>
  <c r="AH205" i="47"/>
  <c r="AI205" i="47"/>
  <c r="AJ205" i="47"/>
  <c r="AK205" i="47"/>
  <c r="AL205" i="47"/>
  <c r="AM205" i="47"/>
  <c r="AN205" i="47"/>
  <c r="AO205" i="47"/>
  <c r="AP205" i="47"/>
  <c r="AQ205" i="47"/>
  <c r="AR205" i="47"/>
  <c r="AS205" i="47"/>
  <c r="AT205" i="47"/>
  <c r="AU205" i="47"/>
  <c r="AV205" i="47"/>
  <c r="AW205" i="47"/>
  <c r="AX205" i="47"/>
  <c r="AY205" i="47"/>
  <c r="AZ205" i="47"/>
  <c r="BA205" i="47"/>
  <c r="BB205" i="47"/>
  <c r="BC205" i="47"/>
  <c r="BD205" i="47"/>
  <c r="BE205" i="47"/>
  <c r="BF205" i="47"/>
  <c r="BG205" i="47"/>
  <c r="BH205" i="47"/>
  <c r="BI205" i="47"/>
  <c r="BJ205" i="47"/>
  <c r="BK205" i="47"/>
  <c r="BL205" i="47"/>
  <c r="BM205" i="47"/>
  <c r="BN205" i="47"/>
  <c r="BO205" i="47"/>
  <c r="BP205" i="47"/>
  <c r="BQ205" i="47"/>
  <c r="BR205" i="47"/>
  <c r="BS205" i="47"/>
  <c r="BT205" i="47"/>
  <c r="BU205" i="47"/>
  <c r="BV205" i="47"/>
  <c r="BW205" i="47"/>
  <c r="BX205" i="47"/>
  <c r="BY205" i="47"/>
  <c r="BZ205" i="47"/>
  <c r="CA205" i="47"/>
  <c r="CB205" i="47"/>
  <c r="CC205" i="47"/>
  <c r="CD205" i="47"/>
  <c r="CE205" i="47"/>
  <c r="CF205" i="47"/>
  <c r="CG205" i="47"/>
  <c r="CH205" i="47"/>
  <c r="CI205" i="47"/>
  <c r="CJ205" i="47"/>
  <c r="CK205" i="47"/>
  <c r="CL205" i="47"/>
  <c r="CM205" i="47"/>
  <c r="CN205" i="47"/>
  <c r="CO205" i="47"/>
  <c r="CP205" i="47"/>
  <c r="CQ205" i="47"/>
  <c r="CR205" i="47"/>
  <c r="CS205" i="47"/>
  <c r="CT205" i="47"/>
  <c r="CU205" i="47"/>
  <c r="CV205" i="47"/>
  <c r="CW205" i="47"/>
  <c r="CX205" i="47"/>
  <c r="CY205" i="47"/>
  <c r="CZ205" i="47"/>
  <c r="DA205" i="47"/>
  <c r="F206" i="47"/>
  <c r="G206" i="47"/>
  <c r="H206" i="47"/>
  <c r="I206" i="47"/>
  <c r="J206" i="47"/>
  <c r="K206" i="47"/>
  <c r="L206" i="47"/>
  <c r="M206" i="47"/>
  <c r="N206" i="47"/>
  <c r="O206" i="47"/>
  <c r="P206" i="47"/>
  <c r="Q206" i="47"/>
  <c r="R206" i="47"/>
  <c r="S206" i="47"/>
  <c r="T206" i="47"/>
  <c r="U206" i="47"/>
  <c r="V206" i="47"/>
  <c r="W206" i="47"/>
  <c r="X206" i="47"/>
  <c r="Y206" i="47"/>
  <c r="Z206" i="47"/>
  <c r="AA206" i="47"/>
  <c r="AB206" i="47"/>
  <c r="AC206" i="47"/>
  <c r="AD206" i="47"/>
  <c r="AE206" i="47"/>
  <c r="AF206" i="47"/>
  <c r="AG206" i="47"/>
  <c r="AH206" i="47"/>
  <c r="AI206" i="47"/>
  <c r="AJ206" i="47"/>
  <c r="AK206" i="47"/>
  <c r="AL206" i="47"/>
  <c r="AM206" i="47"/>
  <c r="AN206" i="47"/>
  <c r="AO206" i="47"/>
  <c r="AP206" i="47"/>
  <c r="AQ206" i="47"/>
  <c r="AR206" i="47"/>
  <c r="AS206" i="47"/>
  <c r="AT206" i="47"/>
  <c r="AU206" i="47"/>
  <c r="AV206" i="47"/>
  <c r="AW206" i="47"/>
  <c r="AX206" i="47"/>
  <c r="AY206" i="47"/>
  <c r="AZ206" i="47"/>
  <c r="BA206" i="47"/>
  <c r="BB206" i="47"/>
  <c r="BC206" i="47"/>
  <c r="BD206" i="47"/>
  <c r="BE206" i="47"/>
  <c r="BF206" i="47"/>
  <c r="BG206" i="47"/>
  <c r="BH206" i="47"/>
  <c r="BI206" i="47"/>
  <c r="BJ206" i="47"/>
  <c r="BK206" i="47"/>
  <c r="BL206" i="47"/>
  <c r="BM206" i="47"/>
  <c r="BN206" i="47"/>
  <c r="BO206" i="47"/>
  <c r="BP206" i="47"/>
  <c r="BQ206" i="47"/>
  <c r="BR206" i="47"/>
  <c r="BS206" i="47"/>
  <c r="BT206" i="47"/>
  <c r="BU206" i="47"/>
  <c r="BV206" i="47"/>
  <c r="BW206" i="47"/>
  <c r="BX206" i="47"/>
  <c r="BY206" i="47"/>
  <c r="BZ206" i="47"/>
  <c r="CA206" i="47"/>
  <c r="CB206" i="47"/>
  <c r="CC206" i="47"/>
  <c r="CD206" i="47"/>
  <c r="CE206" i="47"/>
  <c r="CF206" i="47"/>
  <c r="CG206" i="47"/>
  <c r="CH206" i="47"/>
  <c r="CI206" i="47"/>
  <c r="CJ206" i="47"/>
  <c r="CK206" i="47"/>
  <c r="CL206" i="47"/>
  <c r="CM206" i="47"/>
  <c r="CN206" i="47"/>
  <c r="CO206" i="47"/>
  <c r="CP206" i="47"/>
  <c r="CQ206" i="47"/>
  <c r="CR206" i="47"/>
  <c r="CS206" i="47"/>
  <c r="CT206" i="47"/>
  <c r="CU206" i="47"/>
  <c r="CV206" i="47"/>
  <c r="CW206" i="47"/>
  <c r="CX206" i="47"/>
  <c r="CY206" i="47"/>
  <c r="CZ206" i="47"/>
  <c r="DA206" i="47"/>
  <c r="F207" i="47"/>
  <c r="G207" i="47"/>
  <c r="H207" i="47"/>
  <c r="I207" i="47"/>
  <c r="J207" i="47"/>
  <c r="K207" i="47"/>
  <c r="L207" i="47"/>
  <c r="M207" i="47"/>
  <c r="N207" i="47"/>
  <c r="O207" i="47"/>
  <c r="P207" i="47"/>
  <c r="Q207" i="47"/>
  <c r="R207" i="47"/>
  <c r="S207" i="47"/>
  <c r="T207" i="47"/>
  <c r="U207" i="47"/>
  <c r="V207" i="47"/>
  <c r="W207" i="47"/>
  <c r="X207" i="47"/>
  <c r="Y207" i="47"/>
  <c r="Z207" i="47"/>
  <c r="AA207" i="47"/>
  <c r="AB207" i="47"/>
  <c r="AC207" i="47"/>
  <c r="AD207" i="47"/>
  <c r="AE207" i="47"/>
  <c r="AF207" i="47"/>
  <c r="AG207" i="47"/>
  <c r="AH207" i="47"/>
  <c r="AI207" i="47"/>
  <c r="AJ207" i="47"/>
  <c r="AK207" i="47"/>
  <c r="AL207" i="47"/>
  <c r="AM207" i="47"/>
  <c r="AN207" i="47"/>
  <c r="AO207" i="47"/>
  <c r="AP207" i="47"/>
  <c r="AQ207" i="47"/>
  <c r="AR207" i="47"/>
  <c r="AS207" i="47"/>
  <c r="AT207" i="47"/>
  <c r="AU207" i="47"/>
  <c r="AV207" i="47"/>
  <c r="AW207" i="47"/>
  <c r="AX207" i="47"/>
  <c r="AY207" i="47"/>
  <c r="AZ207" i="47"/>
  <c r="BA207" i="47"/>
  <c r="BB207" i="47"/>
  <c r="BC207" i="47"/>
  <c r="BD207" i="47"/>
  <c r="BE207" i="47"/>
  <c r="BF207" i="47"/>
  <c r="BG207" i="47"/>
  <c r="BH207" i="47"/>
  <c r="BI207" i="47"/>
  <c r="BJ207" i="47"/>
  <c r="BK207" i="47"/>
  <c r="BL207" i="47"/>
  <c r="BM207" i="47"/>
  <c r="BN207" i="47"/>
  <c r="BO207" i="47"/>
  <c r="BP207" i="47"/>
  <c r="BQ207" i="47"/>
  <c r="BR207" i="47"/>
  <c r="BS207" i="47"/>
  <c r="BT207" i="47"/>
  <c r="BU207" i="47"/>
  <c r="BV207" i="47"/>
  <c r="BW207" i="47"/>
  <c r="BX207" i="47"/>
  <c r="BY207" i="47"/>
  <c r="BZ207" i="47"/>
  <c r="CA207" i="47"/>
  <c r="CB207" i="47"/>
  <c r="CC207" i="47"/>
  <c r="CD207" i="47"/>
  <c r="CE207" i="47"/>
  <c r="CF207" i="47"/>
  <c r="CG207" i="47"/>
  <c r="CH207" i="47"/>
  <c r="CI207" i="47"/>
  <c r="CJ207" i="47"/>
  <c r="CK207" i="47"/>
  <c r="CL207" i="47"/>
  <c r="CM207" i="47"/>
  <c r="CN207" i="47"/>
  <c r="CO207" i="47"/>
  <c r="CP207" i="47"/>
  <c r="CQ207" i="47"/>
  <c r="CR207" i="47"/>
  <c r="CS207" i="47"/>
  <c r="CT207" i="47"/>
  <c r="CU207" i="47"/>
  <c r="CV207" i="47"/>
  <c r="CW207" i="47"/>
  <c r="CX207" i="47"/>
  <c r="CY207" i="47"/>
  <c r="CZ207" i="47"/>
  <c r="DA207" i="47"/>
  <c r="F208" i="47"/>
  <c r="G208" i="47"/>
  <c r="H208" i="47"/>
  <c r="I208" i="47"/>
  <c r="J208" i="47"/>
  <c r="K208" i="47"/>
  <c r="L208" i="47"/>
  <c r="M208" i="47"/>
  <c r="N208" i="47"/>
  <c r="O208" i="47"/>
  <c r="P208" i="47"/>
  <c r="Q208" i="47"/>
  <c r="R208" i="47"/>
  <c r="S208" i="47"/>
  <c r="T208" i="47"/>
  <c r="U208" i="47"/>
  <c r="V208" i="47"/>
  <c r="W208" i="47"/>
  <c r="X208" i="47"/>
  <c r="Y208" i="47"/>
  <c r="Z208" i="47"/>
  <c r="AA208" i="47"/>
  <c r="AB208" i="47"/>
  <c r="AC208" i="47"/>
  <c r="AD208" i="47"/>
  <c r="AE208" i="47"/>
  <c r="AF208" i="47"/>
  <c r="AG208" i="47"/>
  <c r="AH208" i="47"/>
  <c r="AI208" i="47"/>
  <c r="AJ208" i="47"/>
  <c r="AK208" i="47"/>
  <c r="AL208" i="47"/>
  <c r="AM208" i="47"/>
  <c r="AN208" i="47"/>
  <c r="AO208" i="47"/>
  <c r="AP208" i="47"/>
  <c r="AQ208" i="47"/>
  <c r="AR208" i="47"/>
  <c r="AS208" i="47"/>
  <c r="AT208" i="47"/>
  <c r="AU208" i="47"/>
  <c r="AV208" i="47"/>
  <c r="AW208" i="47"/>
  <c r="AX208" i="47"/>
  <c r="AY208" i="47"/>
  <c r="AZ208" i="47"/>
  <c r="BA208" i="47"/>
  <c r="BB208" i="47"/>
  <c r="BC208" i="47"/>
  <c r="BD208" i="47"/>
  <c r="BE208" i="47"/>
  <c r="BF208" i="47"/>
  <c r="BG208" i="47"/>
  <c r="BH208" i="47"/>
  <c r="BI208" i="47"/>
  <c r="BJ208" i="47"/>
  <c r="BK208" i="47"/>
  <c r="BL208" i="47"/>
  <c r="BM208" i="47"/>
  <c r="BN208" i="47"/>
  <c r="BO208" i="47"/>
  <c r="BP208" i="47"/>
  <c r="BQ208" i="47"/>
  <c r="BR208" i="47"/>
  <c r="BS208" i="47"/>
  <c r="BT208" i="47"/>
  <c r="BU208" i="47"/>
  <c r="BV208" i="47"/>
  <c r="BW208" i="47"/>
  <c r="BX208" i="47"/>
  <c r="BY208" i="47"/>
  <c r="BZ208" i="47"/>
  <c r="CA208" i="47"/>
  <c r="CB208" i="47"/>
  <c r="CC208" i="47"/>
  <c r="CD208" i="47"/>
  <c r="CE208" i="47"/>
  <c r="CF208" i="47"/>
  <c r="CG208" i="47"/>
  <c r="CH208" i="47"/>
  <c r="CI208" i="47"/>
  <c r="CJ208" i="47"/>
  <c r="CK208" i="47"/>
  <c r="CL208" i="47"/>
  <c r="CM208" i="47"/>
  <c r="CN208" i="47"/>
  <c r="CO208" i="47"/>
  <c r="CP208" i="47"/>
  <c r="CQ208" i="47"/>
  <c r="CR208" i="47"/>
  <c r="CS208" i="47"/>
  <c r="CT208" i="47"/>
  <c r="CU208" i="47"/>
  <c r="CV208" i="47"/>
  <c r="CW208" i="47"/>
  <c r="CX208" i="47"/>
  <c r="CY208" i="47"/>
  <c r="CZ208" i="47"/>
  <c r="DA208" i="47"/>
  <c r="F209" i="47"/>
  <c r="G209" i="47"/>
  <c r="H209" i="47"/>
  <c r="I209" i="47"/>
  <c r="J209" i="47"/>
  <c r="K209" i="47"/>
  <c r="L209" i="47"/>
  <c r="M209" i="47"/>
  <c r="N209" i="47"/>
  <c r="O209" i="47"/>
  <c r="P209" i="47"/>
  <c r="Q209" i="47"/>
  <c r="R209" i="47"/>
  <c r="S209" i="47"/>
  <c r="T209" i="47"/>
  <c r="U209" i="47"/>
  <c r="V209" i="47"/>
  <c r="W209" i="47"/>
  <c r="X209" i="47"/>
  <c r="Y209" i="47"/>
  <c r="Z209" i="47"/>
  <c r="AA209" i="47"/>
  <c r="AB209" i="47"/>
  <c r="AC209" i="47"/>
  <c r="AD209" i="47"/>
  <c r="AE209" i="47"/>
  <c r="AF209" i="47"/>
  <c r="AG209" i="47"/>
  <c r="AH209" i="47"/>
  <c r="AI209" i="47"/>
  <c r="AJ209" i="47"/>
  <c r="AK209" i="47"/>
  <c r="AL209" i="47"/>
  <c r="AM209" i="47"/>
  <c r="AN209" i="47"/>
  <c r="AO209" i="47"/>
  <c r="AP209" i="47"/>
  <c r="AQ209" i="47"/>
  <c r="AR209" i="47"/>
  <c r="AS209" i="47"/>
  <c r="AT209" i="47"/>
  <c r="AU209" i="47"/>
  <c r="AV209" i="47"/>
  <c r="AW209" i="47"/>
  <c r="AX209" i="47"/>
  <c r="AY209" i="47"/>
  <c r="AZ209" i="47"/>
  <c r="BA209" i="47"/>
  <c r="BB209" i="47"/>
  <c r="BC209" i="47"/>
  <c r="BD209" i="47"/>
  <c r="BE209" i="47"/>
  <c r="BF209" i="47"/>
  <c r="BG209" i="47"/>
  <c r="BH209" i="47"/>
  <c r="BI209" i="47"/>
  <c r="BJ209" i="47"/>
  <c r="BK209" i="47"/>
  <c r="BL209" i="47"/>
  <c r="BM209" i="47"/>
  <c r="BN209" i="47"/>
  <c r="BO209" i="47"/>
  <c r="BP209" i="47"/>
  <c r="BQ209" i="47"/>
  <c r="BR209" i="47"/>
  <c r="BS209" i="47"/>
  <c r="BT209" i="47"/>
  <c r="BU209" i="47"/>
  <c r="BV209" i="47"/>
  <c r="BW209" i="47"/>
  <c r="BX209" i="47"/>
  <c r="BY209" i="47"/>
  <c r="BZ209" i="47"/>
  <c r="CA209" i="47"/>
  <c r="CB209" i="47"/>
  <c r="CC209" i="47"/>
  <c r="CD209" i="47"/>
  <c r="CE209" i="47"/>
  <c r="CF209" i="47"/>
  <c r="CG209" i="47"/>
  <c r="CH209" i="47"/>
  <c r="CI209" i="47"/>
  <c r="CJ209" i="47"/>
  <c r="CK209" i="47"/>
  <c r="CL209" i="47"/>
  <c r="CM209" i="47"/>
  <c r="CN209" i="47"/>
  <c r="CO209" i="47"/>
  <c r="CP209" i="47"/>
  <c r="CQ209" i="47"/>
  <c r="CR209" i="47"/>
  <c r="CS209" i="47"/>
  <c r="CT209" i="47"/>
  <c r="CU209" i="47"/>
  <c r="CV209" i="47"/>
  <c r="CW209" i="47"/>
  <c r="CX209" i="47"/>
  <c r="CY209" i="47"/>
  <c r="CZ209" i="47"/>
  <c r="DA209" i="47"/>
  <c r="F210" i="47"/>
  <c r="G210" i="47"/>
  <c r="H210" i="47"/>
  <c r="I210" i="47"/>
  <c r="J210" i="47"/>
  <c r="K210" i="47"/>
  <c r="L210" i="47"/>
  <c r="M210" i="47"/>
  <c r="N210" i="47"/>
  <c r="O210" i="47"/>
  <c r="P210" i="47"/>
  <c r="Q210" i="47"/>
  <c r="R210" i="47"/>
  <c r="S210" i="47"/>
  <c r="T210" i="47"/>
  <c r="U210" i="47"/>
  <c r="V210" i="47"/>
  <c r="W210" i="47"/>
  <c r="X210" i="47"/>
  <c r="Y210" i="47"/>
  <c r="Z210" i="47"/>
  <c r="AA210" i="47"/>
  <c r="AB210" i="47"/>
  <c r="AC210" i="47"/>
  <c r="AD210" i="47"/>
  <c r="AE210" i="47"/>
  <c r="AF210" i="47"/>
  <c r="AG210" i="47"/>
  <c r="AH210" i="47"/>
  <c r="AI210" i="47"/>
  <c r="AJ210" i="47"/>
  <c r="AK210" i="47"/>
  <c r="AL210" i="47"/>
  <c r="AM210" i="47"/>
  <c r="AN210" i="47"/>
  <c r="AO210" i="47"/>
  <c r="AP210" i="47"/>
  <c r="AQ210" i="47"/>
  <c r="AR210" i="47"/>
  <c r="AS210" i="47"/>
  <c r="AT210" i="47"/>
  <c r="AU210" i="47"/>
  <c r="AV210" i="47"/>
  <c r="AW210" i="47"/>
  <c r="AX210" i="47"/>
  <c r="AY210" i="47"/>
  <c r="AZ210" i="47"/>
  <c r="BA210" i="47"/>
  <c r="BB210" i="47"/>
  <c r="BC210" i="47"/>
  <c r="BD210" i="47"/>
  <c r="BE210" i="47"/>
  <c r="BF210" i="47"/>
  <c r="BG210" i="47"/>
  <c r="BH210" i="47"/>
  <c r="BI210" i="47"/>
  <c r="BJ210" i="47"/>
  <c r="BK210" i="47"/>
  <c r="BL210" i="47"/>
  <c r="BM210" i="47"/>
  <c r="BN210" i="47"/>
  <c r="BO210" i="47"/>
  <c r="BP210" i="47"/>
  <c r="BQ210" i="47"/>
  <c r="BR210" i="47"/>
  <c r="BS210" i="47"/>
  <c r="BT210" i="47"/>
  <c r="BU210" i="47"/>
  <c r="BV210" i="47"/>
  <c r="BW210" i="47"/>
  <c r="BX210" i="47"/>
  <c r="BY210" i="47"/>
  <c r="BZ210" i="47"/>
  <c r="CA210" i="47"/>
  <c r="CB210" i="47"/>
  <c r="CC210" i="47"/>
  <c r="CD210" i="47"/>
  <c r="CE210" i="47"/>
  <c r="CF210" i="47"/>
  <c r="CG210" i="47"/>
  <c r="CH210" i="47"/>
  <c r="CI210" i="47"/>
  <c r="CJ210" i="47"/>
  <c r="CK210" i="47"/>
  <c r="CL210" i="47"/>
  <c r="CM210" i="47"/>
  <c r="CN210" i="47"/>
  <c r="CO210" i="47"/>
  <c r="CP210" i="47"/>
  <c r="CQ210" i="47"/>
  <c r="CR210" i="47"/>
  <c r="CS210" i="47"/>
  <c r="CT210" i="47"/>
  <c r="CU210" i="47"/>
  <c r="CV210" i="47"/>
  <c r="CW210" i="47"/>
  <c r="CX210" i="47"/>
  <c r="CY210" i="47"/>
  <c r="CZ210" i="47"/>
  <c r="DA210" i="47"/>
  <c r="F211" i="47"/>
  <c r="G211" i="47"/>
  <c r="H211" i="47"/>
  <c r="I211" i="47"/>
  <c r="J211" i="47"/>
  <c r="K211" i="47"/>
  <c r="L211" i="47"/>
  <c r="M211" i="47"/>
  <c r="N211" i="47"/>
  <c r="O211" i="47"/>
  <c r="P211" i="47"/>
  <c r="Q211" i="47"/>
  <c r="R211" i="47"/>
  <c r="S211" i="47"/>
  <c r="T211" i="47"/>
  <c r="U211" i="47"/>
  <c r="V211" i="47"/>
  <c r="W211" i="47"/>
  <c r="X211" i="47"/>
  <c r="Y211" i="47"/>
  <c r="Z211" i="47"/>
  <c r="AA211" i="47"/>
  <c r="AB211" i="47"/>
  <c r="AC211" i="47"/>
  <c r="AD211" i="47"/>
  <c r="AE211" i="47"/>
  <c r="AF211" i="47"/>
  <c r="AG211" i="47"/>
  <c r="AH211" i="47"/>
  <c r="AI211" i="47"/>
  <c r="AJ211" i="47"/>
  <c r="AK211" i="47"/>
  <c r="AL211" i="47"/>
  <c r="AM211" i="47"/>
  <c r="AN211" i="47"/>
  <c r="AO211" i="47"/>
  <c r="AP211" i="47"/>
  <c r="AQ211" i="47"/>
  <c r="AR211" i="47"/>
  <c r="AS211" i="47"/>
  <c r="AT211" i="47"/>
  <c r="AU211" i="47"/>
  <c r="AV211" i="47"/>
  <c r="AW211" i="47"/>
  <c r="AX211" i="47"/>
  <c r="AY211" i="47"/>
  <c r="AZ211" i="47"/>
  <c r="BA211" i="47"/>
  <c r="BB211" i="47"/>
  <c r="BC211" i="47"/>
  <c r="BD211" i="47"/>
  <c r="BE211" i="47"/>
  <c r="BF211" i="47"/>
  <c r="BG211" i="47"/>
  <c r="BH211" i="47"/>
  <c r="BI211" i="47"/>
  <c r="BJ211" i="47"/>
  <c r="BK211" i="47"/>
  <c r="BL211" i="47"/>
  <c r="BM211" i="47"/>
  <c r="BN211" i="47"/>
  <c r="BO211" i="47"/>
  <c r="BP211" i="47"/>
  <c r="BQ211" i="47"/>
  <c r="BR211" i="47"/>
  <c r="BS211" i="47"/>
  <c r="BT211" i="47"/>
  <c r="BU211" i="47"/>
  <c r="BV211" i="47"/>
  <c r="BW211" i="47"/>
  <c r="BX211" i="47"/>
  <c r="BY211" i="47"/>
  <c r="BZ211" i="47"/>
  <c r="CA211" i="47"/>
  <c r="CB211" i="47"/>
  <c r="CC211" i="47"/>
  <c r="CD211" i="47"/>
  <c r="CE211" i="47"/>
  <c r="CF211" i="47"/>
  <c r="CG211" i="47"/>
  <c r="CH211" i="47"/>
  <c r="CI211" i="47"/>
  <c r="CJ211" i="47"/>
  <c r="CK211" i="47"/>
  <c r="CL211" i="47"/>
  <c r="CM211" i="47"/>
  <c r="CN211" i="47"/>
  <c r="CO211" i="47"/>
  <c r="CP211" i="47"/>
  <c r="CQ211" i="47"/>
  <c r="CR211" i="47"/>
  <c r="CS211" i="47"/>
  <c r="CT211" i="47"/>
  <c r="CU211" i="47"/>
  <c r="CV211" i="47"/>
  <c r="CW211" i="47"/>
  <c r="CX211" i="47"/>
  <c r="CY211" i="47"/>
  <c r="CZ211" i="47"/>
  <c r="DA211" i="47"/>
  <c r="F212" i="47"/>
  <c r="G212" i="47"/>
  <c r="H212" i="47"/>
  <c r="I212" i="47"/>
  <c r="J212" i="47"/>
  <c r="K212" i="47"/>
  <c r="L212" i="47"/>
  <c r="M212" i="47"/>
  <c r="N212" i="47"/>
  <c r="O212" i="47"/>
  <c r="P212" i="47"/>
  <c r="Q212" i="47"/>
  <c r="R212" i="47"/>
  <c r="S212" i="47"/>
  <c r="T212" i="47"/>
  <c r="U212" i="47"/>
  <c r="V212" i="47"/>
  <c r="W212" i="47"/>
  <c r="X212" i="47"/>
  <c r="Y212" i="47"/>
  <c r="Z212" i="47"/>
  <c r="AA212" i="47"/>
  <c r="AB212" i="47"/>
  <c r="AC212" i="47"/>
  <c r="AD212" i="47"/>
  <c r="AE212" i="47"/>
  <c r="AF212" i="47"/>
  <c r="AG212" i="47"/>
  <c r="AH212" i="47"/>
  <c r="AI212" i="47"/>
  <c r="AJ212" i="47"/>
  <c r="AK212" i="47"/>
  <c r="AL212" i="47"/>
  <c r="AM212" i="47"/>
  <c r="AN212" i="47"/>
  <c r="AO212" i="47"/>
  <c r="AP212" i="47"/>
  <c r="AQ212" i="47"/>
  <c r="AR212" i="47"/>
  <c r="AS212" i="47"/>
  <c r="AT212" i="47"/>
  <c r="AU212" i="47"/>
  <c r="AV212" i="47"/>
  <c r="AW212" i="47"/>
  <c r="AX212" i="47"/>
  <c r="AY212" i="47"/>
  <c r="AZ212" i="47"/>
  <c r="BA212" i="47"/>
  <c r="BB212" i="47"/>
  <c r="BC212" i="47"/>
  <c r="BD212" i="47"/>
  <c r="BE212" i="47"/>
  <c r="BF212" i="47"/>
  <c r="BG212" i="47"/>
  <c r="BH212" i="47"/>
  <c r="BI212" i="47"/>
  <c r="BJ212" i="47"/>
  <c r="BK212" i="47"/>
  <c r="BL212" i="47"/>
  <c r="BM212" i="47"/>
  <c r="BN212" i="47"/>
  <c r="BO212" i="47"/>
  <c r="BP212" i="47"/>
  <c r="BQ212" i="47"/>
  <c r="BR212" i="47"/>
  <c r="BS212" i="47"/>
  <c r="BT212" i="47"/>
  <c r="BU212" i="47"/>
  <c r="BV212" i="47"/>
  <c r="BW212" i="47"/>
  <c r="BX212" i="47"/>
  <c r="BY212" i="47"/>
  <c r="BZ212" i="47"/>
  <c r="CA212" i="47"/>
  <c r="CB212" i="47"/>
  <c r="CC212" i="47"/>
  <c r="CD212" i="47"/>
  <c r="CE212" i="47"/>
  <c r="CF212" i="47"/>
  <c r="CG212" i="47"/>
  <c r="CH212" i="47"/>
  <c r="CI212" i="47"/>
  <c r="CJ212" i="47"/>
  <c r="CK212" i="47"/>
  <c r="CL212" i="47"/>
  <c r="CM212" i="47"/>
  <c r="CN212" i="47"/>
  <c r="CO212" i="47"/>
  <c r="CP212" i="47"/>
  <c r="CQ212" i="47"/>
  <c r="CR212" i="47"/>
  <c r="CS212" i="47"/>
  <c r="CT212" i="47"/>
  <c r="CU212" i="47"/>
  <c r="CV212" i="47"/>
  <c r="CW212" i="47"/>
  <c r="CX212" i="47"/>
  <c r="CY212" i="47"/>
  <c r="CZ212" i="47"/>
  <c r="DA212" i="47"/>
  <c r="F213" i="47"/>
  <c r="G213" i="47"/>
  <c r="H213" i="47"/>
  <c r="I213" i="47"/>
  <c r="J213" i="47"/>
  <c r="K213" i="47"/>
  <c r="L213" i="47"/>
  <c r="M213" i="47"/>
  <c r="N213" i="47"/>
  <c r="O213" i="47"/>
  <c r="P213" i="47"/>
  <c r="Q213" i="47"/>
  <c r="R213" i="47"/>
  <c r="S213" i="47"/>
  <c r="T213" i="47"/>
  <c r="U213" i="47"/>
  <c r="V213" i="47"/>
  <c r="W213" i="47"/>
  <c r="X213" i="47"/>
  <c r="Y213" i="47"/>
  <c r="Z213" i="47"/>
  <c r="AA213" i="47"/>
  <c r="AB213" i="47"/>
  <c r="AC213" i="47"/>
  <c r="AD213" i="47"/>
  <c r="AE213" i="47"/>
  <c r="AF213" i="47"/>
  <c r="AG213" i="47"/>
  <c r="AH213" i="47"/>
  <c r="AI213" i="47"/>
  <c r="AJ213" i="47"/>
  <c r="AK213" i="47"/>
  <c r="AL213" i="47"/>
  <c r="AM213" i="47"/>
  <c r="AN213" i="47"/>
  <c r="AO213" i="47"/>
  <c r="AP213" i="47"/>
  <c r="AQ213" i="47"/>
  <c r="AR213" i="47"/>
  <c r="AS213" i="47"/>
  <c r="AT213" i="47"/>
  <c r="AU213" i="47"/>
  <c r="AV213" i="47"/>
  <c r="AW213" i="47"/>
  <c r="AX213" i="47"/>
  <c r="AY213" i="47"/>
  <c r="AZ213" i="47"/>
  <c r="BA213" i="47"/>
  <c r="BB213" i="47"/>
  <c r="BC213" i="47"/>
  <c r="BD213" i="47"/>
  <c r="BE213" i="47"/>
  <c r="BF213" i="47"/>
  <c r="BG213" i="47"/>
  <c r="BH213" i="47"/>
  <c r="BI213" i="47"/>
  <c r="BJ213" i="47"/>
  <c r="BK213" i="47"/>
  <c r="BL213" i="47"/>
  <c r="BM213" i="47"/>
  <c r="BN213" i="47"/>
  <c r="BO213" i="47"/>
  <c r="BP213" i="47"/>
  <c r="BQ213" i="47"/>
  <c r="BR213" i="47"/>
  <c r="BS213" i="47"/>
  <c r="BT213" i="47"/>
  <c r="BU213" i="47"/>
  <c r="BV213" i="47"/>
  <c r="BW213" i="47"/>
  <c r="BX213" i="47"/>
  <c r="BY213" i="47"/>
  <c r="BZ213" i="47"/>
  <c r="CA213" i="47"/>
  <c r="CB213" i="47"/>
  <c r="CC213" i="47"/>
  <c r="CD213" i="47"/>
  <c r="CE213" i="47"/>
  <c r="CF213" i="47"/>
  <c r="CG213" i="47"/>
  <c r="CH213" i="47"/>
  <c r="CI213" i="47"/>
  <c r="CJ213" i="47"/>
  <c r="CK213" i="47"/>
  <c r="CL213" i="47"/>
  <c r="CM213" i="47"/>
  <c r="CN213" i="47"/>
  <c r="CO213" i="47"/>
  <c r="CP213" i="47"/>
  <c r="CQ213" i="47"/>
  <c r="CR213" i="47"/>
  <c r="CS213" i="47"/>
  <c r="CT213" i="47"/>
  <c r="CU213" i="47"/>
  <c r="CV213" i="47"/>
  <c r="CW213" i="47"/>
  <c r="CX213" i="47"/>
  <c r="CY213" i="47"/>
  <c r="CZ213" i="47"/>
  <c r="DA213" i="47"/>
  <c r="F214" i="47"/>
  <c r="G214" i="47"/>
  <c r="H214" i="47"/>
  <c r="I214" i="47"/>
  <c r="J214" i="47"/>
  <c r="K214" i="47"/>
  <c r="L214" i="47"/>
  <c r="M214" i="47"/>
  <c r="N214" i="47"/>
  <c r="O214" i="47"/>
  <c r="P214" i="47"/>
  <c r="Q214" i="47"/>
  <c r="R214" i="47"/>
  <c r="S214" i="47"/>
  <c r="T214" i="47"/>
  <c r="U214" i="47"/>
  <c r="V214" i="47"/>
  <c r="W214" i="47"/>
  <c r="X214" i="47"/>
  <c r="Y214" i="47"/>
  <c r="Z214" i="47"/>
  <c r="AA214" i="47"/>
  <c r="AB214" i="47"/>
  <c r="AC214" i="47"/>
  <c r="AD214" i="47"/>
  <c r="AE214" i="47"/>
  <c r="AF214" i="47"/>
  <c r="AG214" i="47"/>
  <c r="AH214" i="47"/>
  <c r="AI214" i="47"/>
  <c r="AJ214" i="47"/>
  <c r="AK214" i="47"/>
  <c r="AL214" i="47"/>
  <c r="AM214" i="47"/>
  <c r="AN214" i="47"/>
  <c r="AO214" i="47"/>
  <c r="AP214" i="47"/>
  <c r="AQ214" i="47"/>
  <c r="AR214" i="47"/>
  <c r="AS214" i="47"/>
  <c r="AT214" i="47"/>
  <c r="AU214" i="47"/>
  <c r="AV214" i="47"/>
  <c r="AW214" i="47"/>
  <c r="AX214" i="47"/>
  <c r="AY214" i="47"/>
  <c r="AZ214" i="47"/>
  <c r="BA214" i="47"/>
  <c r="BB214" i="47"/>
  <c r="BC214" i="47"/>
  <c r="BD214" i="47"/>
  <c r="BE214" i="47"/>
  <c r="BF214" i="47"/>
  <c r="BG214" i="47"/>
  <c r="BH214" i="47"/>
  <c r="BI214" i="47"/>
  <c r="BJ214" i="47"/>
  <c r="BK214" i="47"/>
  <c r="BL214" i="47"/>
  <c r="BM214" i="47"/>
  <c r="BN214" i="47"/>
  <c r="BO214" i="47"/>
  <c r="BP214" i="47"/>
  <c r="BQ214" i="47"/>
  <c r="BR214" i="47"/>
  <c r="BS214" i="47"/>
  <c r="BT214" i="47"/>
  <c r="BU214" i="47"/>
  <c r="BV214" i="47"/>
  <c r="BW214" i="47"/>
  <c r="BX214" i="47"/>
  <c r="BY214" i="47"/>
  <c r="BZ214" i="47"/>
  <c r="CA214" i="47"/>
  <c r="CB214" i="47"/>
  <c r="CC214" i="47"/>
  <c r="CD214" i="47"/>
  <c r="CE214" i="47"/>
  <c r="CF214" i="47"/>
  <c r="CG214" i="47"/>
  <c r="CH214" i="47"/>
  <c r="CI214" i="47"/>
  <c r="CJ214" i="47"/>
  <c r="CK214" i="47"/>
  <c r="CL214" i="47"/>
  <c r="CM214" i="47"/>
  <c r="CN214" i="47"/>
  <c r="CO214" i="47"/>
  <c r="CP214" i="47"/>
  <c r="CQ214" i="47"/>
  <c r="CR214" i="47"/>
  <c r="CS214" i="47"/>
  <c r="CT214" i="47"/>
  <c r="CU214" i="47"/>
  <c r="CV214" i="47"/>
  <c r="CW214" i="47"/>
  <c r="CX214" i="47"/>
  <c r="CY214" i="47"/>
  <c r="CZ214" i="47"/>
  <c r="DA214" i="47"/>
  <c r="F215" i="47"/>
  <c r="G215" i="47"/>
  <c r="H215" i="47"/>
  <c r="I215" i="47"/>
  <c r="J215" i="47"/>
  <c r="K215" i="47"/>
  <c r="L215" i="47"/>
  <c r="M215" i="47"/>
  <c r="N215" i="47"/>
  <c r="O215" i="47"/>
  <c r="P215" i="47"/>
  <c r="Q215" i="47"/>
  <c r="R215" i="47"/>
  <c r="S215" i="47"/>
  <c r="T215" i="47"/>
  <c r="U215" i="47"/>
  <c r="V215" i="47"/>
  <c r="W215" i="47"/>
  <c r="X215" i="47"/>
  <c r="Y215" i="47"/>
  <c r="Z215" i="47"/>
  <c r="AA215" i="47"/>
  <c r="AB215" i="47"/>
  <c r="AC215" i="47"/>
  <c r="AD215" i="47"/>
  <c r="AE215" i="47"/>
  <c r="AF215" i="47"/>
  <c r="AG215" i="47"/>
  <c r="AH215" i="47"/>
  <c r="AI215" i="47"/>
  <c r="AJ215" i="47"/>
  <c r="AK215" i="47"/>
  <c r="AL215" i="47"/>
  <c r="AM215" i="47"/>
  <c r="AN215" i="47"/>
  <c r="AO215" i="47"/>
  <c r="AP215" i="47"/>
  <c r="AQ215" i="47"/>
  <c r="AR215" i="47"/>
  <c r="AS215" i="47"/>
  <c r="AT215" i="47"/>
  <c r="AU215" i="47"/>
  <c r="AV215" i="47"/>
  <c r="AW215" i="47"/>
  <c r="AX215" i="47"/>
  <c r="AY215" i="47"/>
  <c r="AZ215" i="47"/>
  <c r="BA215" i="47"/>
  <c r="BB215" i="47"/>
  <c r="BC215" i="47"/>
  <c r="BD215" i="47"/>
  <c r="BE215" i="47"/>
  <c r="BF215" i="47"/>
  <c r="BG215" i="47"/>
  <c r="BH215" i="47"/>
  <c r="BI215" i="47"/>
  <c r="BJ215" i="47"/>
  <c r="BK215" i="47"/>
  <c r="BL215" i="47"/>
  <c r="BM215" i="47"/>
  <c r="BN215" i="47"/>
  <c r="BO215" i="47"/>
  <c r="BP215" i="47"/>
  <c r="BQ215" i="47"/>
  <c r="BR215" i="47"/>
  <c r="BS215" i="47"/>
  <c r="BT215" i="47"/>
  <c r="BU215" i="47"/>
  <c r="BV215" i="47"/>
  <c r="BW215" i="47"/>
  <c r="BX215" i="47"/>
  <c r="BY215" i="47"/>
  <c r="BZ215" i="47"/>
  <c r="CA215" i="47"/>
  <c r="CB215" i="47"/>
  <c r="CC215" i="47"/>
  <c r="CD215" i="47"/>
  <c r="CE215" i="47"/>
  <c r="CF215" i="47"/>
  <c r="CG215" i="47"/>
  <c r="CH215" i="47"/>
  <c r="CI215" i="47"/>
  <c r="CJ215" i="47"/>
  <c r="CK215" i="47"/>
  <c r="CL215" i="47"/>
  <c r="CM215" i="47"/>
  <c r="CN215" i="47"/>
  <c r="CO215" i="47"/>
  <c r="CP215" i="47"/>
  <c r="CQ215" i="47"/>
  <c r="CR215" i="47"/>
  <c r="CS215" i="47"/>
  <c r="CT215" i="47"/>
  <c r="CU215" i="47"/>
  <c r="CV215" i="47"/>
  <c r="CW215" i="47"/>
  <c r="CX215" i="47"/>
  <c r="CY215" i="47"/>
  <c r="CZ215" i="47"/>
  <c r="DA215" i="47"/>
  <c r="F216" i="47"/>
  <c r="G216" i="47"/>
  <c r="H216" i="47"/>
  <c r="I216" i="47"/>
  <c r="J216" i="47"/>
  <c r="K216" i="47"/>
  <c r="L216" i="47"/>
  <c r="M216" i="47"/>
  <c r="N216" i="47"/>
  <c r="O216" i="47"/>
  <c r="P216" i="47"/>
  <c r="Q216" i="47"/>
  <c r="R216" i="47"/>
  <c r="S216" i="47"/>
  <c r="T216" i="47"/>
  <c r="U216" i="47"/>
  <c r="V216" i="47"/>
  <c r="W216" i="47"/>
  <c r="X216" i="47"/>
  <c r="Y216" i="47"/>
  <c r="Z216" i="47"/>
  <c r="AA216" i="47"/>
  <c r="AB216" i="47"/>
  <c r="AC216" i="47"/>
  <c r="AD216" i="47"/>
  <c r="AE216" i="47"/>
  <c r="AF216" i="47"/>
  <c r="AG216" i="47"/>
  <c r="AH216" i="47"/>
  <c r="AI216" i="47"/>
  <c r="AJ216" i="47"/>
  <c r="AK216" i="47"/>
  <c r="AL216" i="47"/>
  <c r="AM216" i="47"/>
  <c r="AN216" i="47"/>
  <c r="AO216" i="47"/>
  <c r="AP216" i="47"/>
  <c r="AQ216" i="47"/>
  <c r="AR216" i="47"/>
  <c r="AS216" i="47"/>
  <c r="AT216" i="47"/>
  <c r="AU216" i="47"/>
  <c r="AV216" i="47"/>
  <c r="AW216" i="47"/>
  <c r="AX216" i="47"/>
  <c r="AY216" i="47"/>
  <c r="AZ216" i="47"/>
  <c r="BA216" i="47"/>
  <c r="BB216" i="47"/>
  <c r="BC216" i="47"/>
  <c r="BD216" i="47"/>
  <c r="BE216" i="47"/>
  <c r="BF216" i="47"/>
  <c r="BG216" i="47"/>
  <c r="BH216" i="47"/>
  <c r="BI216" i="47"/>
  <c r="BJ216" i="47"/>
  <c r="BK216" i="47"/>
  <c r="BL216" i="47"/>
  <c r="BM216" i="47"/>
  <c r="BN216" i="47"/>
  <c r="BO216" i="47"/>
  <c r="BP216" i="47"/>
  <c r="BQ216" i="47"/>
  <c r="BR216" i="47"/>
  <c r="BS216" i="47"/>
  <c r="BT216" i="47"/>
  <c r="BU216" i="47"/>
  <c r="BV216" i="47"/>
  <c r="BW216" i="47"/>
  <c r="BX216" i="47"/>
  <c r="BY216" i="47"/>
  <c r="BZ216" i="47"/>
  <c r="CA216" i="47"/>
  <c r="CB216" i="47"/>
  <c r="CC216" i="47"/>
  <c r="CD216" i="47"/>
  <c r="CE216" i="47"/>
  <c r="CF216" i="47"/>
  <c r="CG216" i="47"/>
  <c r="CH216" i="47"/>
  <c r="CI216" i="47"/>
  <c r="CJ216" i="47"/>
  <c r="CK216" i="47"/>
  <c r="CL216" i="47"/>
  <c r="CM216" i="47"/>
  <c r="CN216" i="47"/>
  <c r="CO216" i="47"/>
  <c r="CP216" i="47"/>
  <c r="CQ216" i="47"/>
  <c r="CR216" i="47"/>
  <c r="CS216" i="47"/>
  <c r="CT216" i="47"/>
  <c r="CU216" i="47"/>
  <c r="CV216" i="47"/>
  <c r="CW216" i="47"/>
  <c r="CX216" i="47"/>
  <c r="CY216" i="47"/>
  <c r="CZ216" i="47"/>
  <c r="DA216" i="47"/>
  <c r="F217" i="47"/>
  <c r="G217" i="47"/>
  <c r="H217" i="47"/>
  <c r="I217" i="47"/>
  <c r="J217" i="47"/>
  <c r="K217" i="47"/>
  <c r="L217" i="47"/>
  <c r="M217" i="47"/>
  <c r="N217" i="47"/>
  <c r="O217" i="47"/>
  <c r="P217" i="47"/>
  <c r="Q217" i="47"/>
  <c r="R217" i="47"/>
  <c r="S217" i="47"/>
  <c r="T217" i="47"/>
  <c r="U217" i="47"/>
  <c r="V217" i="47"/>
  <c r="W217" i="47"/>
  <c r="X217" i="47"/>
  <c r="Y217" i="47"/>
  <c r="Z217" i="47"/>
  <c r="AA217" i="47"/>
  <c r="AB217" i="47"/>
  <c r="AC217" i="47"/>
  <c r="AD217" i="47"/>
  <c r="AE217" i="47"/>
  <c r="AF217" i="47"/>
  <c r="AG217" i="47"/>
  <c r="AH217" i="47"/>
  <c r="AI217" i="47"/>
  <c r="AJ217" i="47"/>
  <c r="AK217" i="47"/>
  <c r="AL217" i="47"/>
  <c r="AM217" i="47"/>
  <c r="AN217" i="47"/>
  <c r="AO217" i="47"/>
  <c r="AP217" i="47"/>
  <c r="AQ217" i="47"/>
  <c r="AR217" i="47"/>
  <c r="AS217" i="47"/>
  <c r="AT217" i="47"/>
  <c r="AU217" i="47"/>
  <c r="AV217" i="47"/>
  <c r="AW217" i="47"/>
  <c r="AX217" i="47"/>
  <c r="AY217" i="47"/>
  <c r="AZ217" i="47"/>
  <c r="BA217" i="47"/>
  <c r="BB217" i="47"/>
  <c r="BC217" i="47"/>
  <c r="BD217" i="47"/>
  <c r="BE217" i="47"/>
  <c r="BF217" i="47"/>
  <c r="BG217" i="47"/>
  <c r="BH217" i="47"/>
  <c r="BI217" i="47"/>
  <c r="BJ217" i="47"/>
  <c r="BK217" i="47"/>
  <c r="BL217" i="47"/>
  <c r="BM217" i="47"/>
  <c r="BN217" i="47"/>
  <c r="BO217" i="47"/>
  <c r="BP217" i="47"/>
  <c r="BQ217" i="47"/>
  <c r="BR217" i="47"/>
  <c r="BS217" i="47"/>
  <c r="BT217" i="47"/>
  <c r="BU217" i="47"/>
  <c r="BV217" i="47"/>
  <c r="BW217" i="47"/>
  <c r="BX217" i="47"/>
  <c r="BY217" i="47"/>
  <c r="BZ217" i="47"/>
  <c r="CA217" i="47"/>
  <c r="CB217" i="47"/>
  <c r="CC217" i="47"/>
  <c r="CD217" i="47"/>
  <c r="CE217" i="47"/>
  <c r="CF217" i="47"/>
  <c r="CG217" i="47"/>
  <c r="CH217" i="47"/>
  <c r="CI217" i="47"/>
  <c r="CJ217" i="47"/>
  <c r="CK217" i="47"/>
  <c r="CL217" i="47"/>
  <c r="CM217" i="47"/>
  <c r="CN217" i="47"/>
  <c r="CO217" i="47"/>
  <c r="CP217" i="47"/>
  <c r="CQ217" i="47"/>
  <c r="CR217" i="47"/>
  <c r="CS217" i="47"/>
  <c r="CT217" i="47"/>
  <c r="CU217" i="47"/>
  <c r="CV217" i="47"/>
  <c r="CW217" i="47"/>
  <c r="CX217" i="47"/>
  <c r="CY217" i="47"/>
  <c r="CZ217" i="47"/>
  <c r="DA217" i="47"/>
  <c r="F218" i="47"/>
  <c r="G218" i="47"/>
  <c r="H218" i="47"/>
  <c r="I218" i="47"/>
  <c r="J218" i="47"/>
  <c r="K218" i="47"/>
  <c r="L218" i="47"/>
  <c r="M218" i="47"/>
  <c r="N218" i="47"/>
  <c r="O218" i="47"/>
  <c r="P218" i="47"/>
  <c r="Q218" i="47"/>
  <c r="R218" i="47"/>
  <c r="S218" i="47"/>
  <c r="T218" i="47"/>
  <c r="U218" i="47"/>
  <c r="V218" i="47"/>
  <c r="W218" i="47"/>
  <c r="X218" i="47"/>
  <c r="Y218" i="47"/>
  <c r="Z218" i="47"/>
  <c r="AA218" i="47"/>
  <c r="AB218" i="47"/>
  <c r="AC218" i="47"/>
  <c r="AD218" i="47"/>
  <c r="AE218" i="47"/>
  <c r="AF218" i="47"/>
  <c r="AG218" i="47"/>
  <c r="AH218" i="47"/>
  <c r="AI218" i="47"/>
  <c r="AJ218" i="47"/>
  <c r="AK218" i="47"/>
  <c r="AL218" i="47"/>
  <c r="AM218" i="47"/>
  <c r="AN218" i="47"/>
  <c r="AO218" i="47"/>
  <c r="AP218" i="47"/>
  <c r="AQ218" i="47"/>
  <c r="AR218" i="47"/>
  <c r="AS218" i="47"/>
  <c r="AT218" i="47"/>
  <c r="AU218" i="47"/>
  <c r="AV218" i="47"/>
  <c r="AW218" i="47"/>
  <c r="AX218" i="47"/>
  <c r="AY218" i="47"/>
  <c r="AZ218" i="47"/>
  <c r="BA218" i="47"/>
  <c r="BB218" i="47"/>
  <c r="BC218" i="47"/>
  <c r="BD218" i="47"/>
  <c r="BE218" i="47"/>
  <c r="BF218" i="47"/>
  <c r="BG218" i="47"/>
  <c r="BH218" i="47"/>
  <c r="BI218" i="47"/>
  <c r="BJ218" i="47"/>
  <c r="BK218" i="47"/>
  <c r="BL218" i="47"/>
  <c r="BM218" i="47"/>
  <c r="BN218" i="47"/>
  <c r="BO218" i="47"/>
  <c r="BP218" i="47"/>
  <c r="BQ218" i="47"/>
  <c r="BR218" i="47"/>
  <c r="BS218" i="47"/>
  <c r="BT218" i="47"/>
  <c r="BU218" i="47"/>
  <c r="BV218" i="47"/>
  <c r="BW218" i="47"/>
  <c r="BX218" i="47"/>
  <c r="BY218" i="47"/>
  <c r="BZ218" i="47"/>
  <c r="CA218" i="47"/>
  <c r="CB218" i="47"/>
  <c r="CC218" i="47"/>
  <c r="CD218" i="47"/>
  <c r="CE218" i="47"/>
  <c r="CF218" i="47"/>
  <c r="CG218" i="47"/>
  <c r="CH218" i="47"/>
  <c r="CI218" i="47"/>
  <c r="CJ218" i="47"/>
  <c r="CK218" i="47"/>
  <c r="CL218" i="47"/>
  <c r="CM218" i="47"/>
  <c r="CN218" i="47"/>
  <c r="CO218" i="47"/>
  <c r="CP218" i="47"/>
  <c r="CQ218" i="47"/>
  <c r="CR218" i="47"/>
  <c r="CS218" i="47"/>
  <c r="CT218" i="47"/>
  <c r="CU218" i="47"/>
  <c r="CV218" i="47"/>
  <c r="CW218" i="47"/>
  <c r="CX218" i="47"/>
  <c r="CY218" i="47"/>
  <c r="CZ218" i="47"/>
  <c r="DA218" i="47"/>
  <c r="F219" i="47"/>
  <c r="G219" i="47"/>
  <c r="H219" i="47"/>
  <c r="I219" i="47"/>
  <c r="J219" i="47"/>
  <c r="K219" i="47"/>
  <c r="L219" i="47"/>
  <c r="M219" i="47"/>
  <c r="N219" i="47"/>
  <c r="O219" i="47"/>
  <c r="P219" i="47"/>
  <c r="Q219" i="47"/>
  <c r="R219" i="47"/>
  <c r="S219" i="47"/>
  <c r="T219" i="47"/>
  <c r="U219" i="47"/>
  <c r="V219" i="47"/>
  <c r="W219" i="47"/>
  <c r="X219" i="47"/>
  <c r="Y219" i="47"/>
  <c r="Z219" i="47"/>
  <c r="AA219" i="47"/>
  <c r="AB219" i="47"/>
  <c r="AC219" i="47"/>
  <c r="AD219" i="47"/>
  <c r="AE219" i="47"/>
  <c r="AF219" i="47"/>
  <c r="AG219" i="47"/>
  <c r="AH219" i="47"/>
  <c r="AI219" i="47"/>
  <c r="AJ219" i="47"/>
  <c r="AK219" i="47"/>
  <c r="AL219" i="47"/>
  <c r="AM219" i="47"/>
  <c r="AN219" i="47"/>
  <c r="AO219" i="47"/>
  <c r="AP219" i="47"/>
  <c r="AQ219" i="47"/>
  <c r="AR219" i="47"/>
  <c r="AS219" i="47"/>
  <c r="AT219" i="47"/>
  <c r="AU219" i="47"/>
  <c r="AV219" i="47"/>
  <c r="AW219" i="47"/>
  <c r="AX219" i="47"/>
  <c r="AY219" i="47"/>
  <c r="AZ219" i="47"/>
  <c r="BA219" i="47"/>
  <c r="BB219" i="47"/>
  <c r="BC219" i="47"/>
  <c r="BD219" i="47"/>
  <c r="BE219" i="47"/>
  <c r="BF219" i="47"/>
  <c r="BG219" i="47"/>
  <c r="BH219" i="47"/>
  <c r="BI219" i="47"/>
  <c r="BJ219" i="47"/>
  <c r="BK219" i="47"/>
  <c r="BL219" i="47"/>
  <c r="BM219" i="47"/>
  <c r="BN219" i="47"/>
  <c r="BO219" i="47"/>
  <c r="BP219" i="47"/>
  <c r="BQ219" i="47"/>
  <c r="BR219" i="47"/>
  <c r="BS219" i="47"/>
  <c r="BT219" i="47"/>
  <c r="BU219" i="47"/>
  <c r="BV219" i="47"/>
  <c r="BW219" i="47"/>
  <c r="BX219" i="47"/>
  <c r="BY219" i="47"/>
  <c r="BZ219" i="47"/>
  <c r="CA219" i="47"/>
  <c r="CB219" i="47"/>
  <c r="CC219" i="47"/>
  <c r="CD219" i="47"/>
  <c r="CE219" i="47"/>
  <c r="CF219" i="47"/>
  <c r="CG219" i="47"/>
  <c r="CH219" i="47"/>
  <c r="CI219" i="47"/>
  <c r="CJ219" i="47"/>
  <c r="CK219" i="47"/>
  <c r="CL219" i="47"/>
  <c r="CM219" i="47"/>
  <c r="CN219" i="47"/>
  <c r="CO219" i="47"/>
  <c r="CP219" i="47"/>
  <c r="CQ219" i="47"/>
  <c r="CR219" i="47"/>
  <c r="CS219" i="47"/>
  <c r="CT219" i="47"/>
  <c r="CU219" i="47"/>
  <c r="CV219" i="47"/>
  <c r="CW219" i="47"/>
  <c r="CX219" i="47"/>
  <c r="CY219" i="47"/>
  <c r="CZ219" i="47"/>
  <c r="DA219" i="47"/>
  <c r="F220" i="47"/>
  <c r="G220" i="47"/>
  <c r="H220" i="47"/>
  <c r="I220" i="47"/>
  <c r="J220" i="47"/>
  <c r="K220" i="47"/>
  <c r="L220" i="47"/>
  <c r="M220" i="47"/>
  <c r="N220" i="47"/>
  <c r="O220" i="47"/>
  <c r="P220" i="47"/>
  <c r="Q220" i="47"/>
  <c r="R220" i="47"/>
  <c r="S220" i="47"/>
  <c r="T220" i="47"/>
  <c r="U220" i="47"/>
  <c r="V220" i="47"/>
  <c r="W220" i="47"/>
  <c r="X220" i="47"/>
  <c r="Y220" i="47"/>
  <c r="Z220" i="47"/>
  <c r="AA220" i="47"/>
  <c r="AB220" i="47"/>
  <c r="AC220" i="47"/>
  <c r="AD220" i="47"/>
  <c r="AE220" i="47"/>
  <c r="AF220" i="47"/>
  <c r="AG220" i="47"/>
  <c r="AH220" i="47"/>
  <c r="AI220" i="47"/>
  <c r="AJ220" i="47"/>
  <c r="AK220" i="47"/>
  <c r="AL220" i="47"/>
  <c r="AM220" i="47"/>
  <c r="AN220" i="47"/>
  <c r="AO220" i="47"/>
  <c r="AP220" i="47"/>
  <c r="AQ220" i="47"/>
  <c r="AR220" i="47"/>
  <c r="AS220" i="47"/>
  <c r="AT220" i="47"/>
  <c r="AU220" i="47"/>
  <c r="AV220" i="47"/>
  <c r="AW220" i="47"/>
  <c r="AX220" i="47"/>
  <c r="AY220" i="47"/>
  <c r="AZ220" i="47"/>
  <c r="BA220" i="47"/>
  <c r="BB220" i="47"/>
  <c r="BC220" i="47"/>
  <c r="BD220" i="47"/>
  <c r="BE220" i="47"/>
  <c r="BF220" i="47"/>
  <c r="BG220" i="47"/>
  <c r="BH220" i="47"/>
  <c r="BI220" i="47"/>
  <c r="BJ220" i="47"/>
  <c r="BK220" i="47"/>
  <c r="BL220" i="47"/>
  <c r="BM220" i="47"/>
  <c r="BN220" i="47"/>
  <c r="BO220" i="47"/>
  <c r="BP220" i="47"/>
  <c r="BQ220" i="47"/>
  <c r="BR220" i="47"/>
  <c r="BS220" i="47"/>
  <c r="BT220" i="47"/>
  <c r="BU220" i="47"/>
  <c r="BV220" i="47"/>
  <c r="BW220" i="47"/>
  <c r="BX220" i="47"/>
  <c r="BY220" i="47"/>
  <c r="BZ220" i="47"/>
  <c r="CA220" i="47"/>
  <c r="CB220" i="47"/>
  <c r="CC220" i="47"/>
  <c r="CD220" i="47"/>
  <c r="CE220" i="47"/>
  <c r="CF220" i="47"/>
  <c r="CG220" i="47"/>
  <c r="CH220" i="47"/>
  <c r="CI220" i="47"/>
  <c r="CJ220" i="47"/>
  <c r="CK220" i="47"/>
  <c r="CL220" i="47"/>
  <c r="CM220" i="47"/>
  <c r="CN220" i="47"/>
  <c r="CO220" i="47"/>
  <c r="CP220" i="47"/>
  <c r="CQ220" i="47"/>
  <c r="CR220" i="47"/>
  <c r="CS220" i="47"/>
  <c r="CT220" i="47"/>
  <c r="CU220" i="47"/>
  <c r="CV220" i="47"/>
  <c r="CW220" i="47"/>
  <c r="CX220" i="47"/>
  <c r="CY220" i="47"/>
  <c r="CZ220" i="47"/>
  <c r="DA220" i="47"/>
  <c r="F221" i="47"/>
  <c r="G221" i="47"/>
  <c r="H221" i="47"/>
  <c r="I221" i="47"/>
  <c r="J221" i="47"/>
  <c r="K221" i="47"/>
  <c r="L221" i="47"/>
  <c r="M221" i="47"/>
  <c r="N221" i="47"/>
  <c r="O221" i="47"/>
  <c r="P221" i="47"/>
  <c r="Q221" i="47"/>
  <c r="R221" i="47"/>
  <c r="S221" i="47"/>
  <c r="T221" i="47"/>
  <c r="U221" i="47"/>
  <c r="V221" i="47"/>
  <c r="W221" i="47"/>
  <c r="X221" i="47"/>
  <c r="Y221" i="47"/>
  <c r="Z221" i="47"/>
  <c r="AA221" i="47"/>
  <c r="AB221" i="47"/>
  <c r="AC221" i="47"/>
  <c r="AD221" i="47"/>
  <c r="AE221" i="47"/>
  <c r="AF221" i="47"/>
  <c r="AG221" i="47"/>
  <c r="AH221" i="47"/>
  <c r="AI221" i="47"/>
  <c r="AJ221" i="47"/>
  <c r="AK221" i="47"/>
  <c r="AL221" i="47"/>
  <c r="AM221" i="47"/>
  <c r="AN221" i="47"/>
  <c r="AO221" i="47"/>
  <c r="AP221" i="47"/>
  <c r="AQ221" i="47"/>
  <c r="AR221" i="47"/>
  <c r="AS221" i="47"/>
  <c r="AT221" i="47"/>
  <c r="AU221" i="47"/>
  <c r="AV221" i="47"/>
  <c r="AW221" i="47"/>
  <c r="AX221" i="47"/>
  <c r="AY221" i="47"/>
  <c r="AZ221" i="47"/>
  <c r="BA221" i="47"/>
  <c r="BB221" i="47"/>
  <c r="BC221" i="47"/>
  <c r="BD221" i="47"/>
  <c r="BE221" i="47"/>
  <c r="BF221" i="47"/>
  <c r="BG221" i="47"/>
  <c r="BH221" i="47"/>
  <c r="BI221" i="47"/>
  <c r="BJ221" i="47"/>
  <c r="BK221" i="47"/>
  <c r="BL221" i="47"/>
  <c r="BM221" i="47"/>
  <c r="BN221" i="47"/>
  <c r="BO221" i="47"/>
  <c r="BP221" i="47"/>
  <c r="BQ221" i="47"/>
  <c r="BR221" i="47"/>
  <c r="BS221" i="47"/>
  <c r="BT221" i="47"/>
  <c r="BU221" i="47"/>
  <c r="BV221" i="47"/>
  <c r="BW221" i="47"/>
  <c r="BX221" i="47"/>
  <c r="BY221" i="47"/>
  <c r="BZ221" i="47"/>
  <c r="CA221" i="47"/>
  <c r="CB221" i="47"/>
  <c r="CC221" i="47"/>
  <c r="CD221" i="47"/>
  <c r="CE221" i="47"/>
  <c r="CF221" i="47"/>
  <c r="CG221" i="47"/>
  <c r="CH221" i="47"/>
  <c r="CI221" i="47"/>
  <c r="CJ221" i="47"/>
  <c r="CK221" i="47"/>
  <c r="CL221" i="47"/>
  <c r="CM221" i="47"/>
  <c r="CN221" i="47"/>
  <c r="CO221" i="47"/>
  <c r="CP221" i="47"/>
  <c r="CQ221" i="47"/>
  <c r="CR221" i="47"/>
  <c r="CS221" i="47"/>
  <c r="CT221" i="47"/>
  <c r="CU221" i="47"/>
  <c r="CV221" i="47"/>
  <c r="CW221" i="47"/>
  <c r="CX221" i="47"/>
  <c r="CY221" i="47"/>
  <c r="CZ221" i="47"/>
  <c r="DA221" i="47"/>
  <c r="E204" i="47"/>
  <c r="E205" i="47"/>
  <c r="E206" i="47"/>
  <c r="E207" i="47"/>
  <c r="E208" i="47"/>
  <c r="E209" i="47"/>
  <c r="E210" i="47"/>
  <c r="E211" i="47"/>
  <c r="E212" i="47"/>
  <c r="E213" i="47"/>
  <c r="E214" i="47"/>
  <c r="E215" i="47"/>
  <c r="E216" i="47"/>
  <c r="E217" i="47"/>
  <c r="E218" i="47"/>
  <c r="E219" i="47"/>
  <c r="E220" i="47"/>
  <c r="E221" i="47"/>
  <c r="E203" i="47"/>
  <c r="D254" i="47"/>
  <c r="D255" i="47"/>
  <c r="D256" i="47"/>
  <c r="D257" i="47"/>
  <c r="D258" i="47"/>
  <c r="D259" i="47"/>
  <c r="D260" i="47"/>
  <c r="D261" i="47"/>
  <c r="D262" i="47"/>
  <c r="D263" i="47"/>
  <c r="D264" i="47"/>
  <c r="D265" i="47"/>
  <c r="D266" i="47"/>
  <c r="D267" i="47"/>
  <c r="D268" i="47"/>
  <c r="D269" i="47"/>
  <c r="D270" i="47"/>
  <c r="D271" i="47"/>
  <c r="D253" i="47"/>
  <c r="D229" i="47"/>
  <c r="D230" i="47"/>
  <c r="D231" i="47"/>
  <c r="D232" i="47"/>
  <c r="D233" i="47"/>
  <c r="D234" i="47"/>
  <c r="D235" i="47"/>
  <c r="D236" i="47"/>
  <c r="D237" i="47"/>
  <c r="D238" i="47"/>
  <c r="D239" i="47"/>
  <c r="D240" i="47"/>
  <c r="D241" i="47"/>
  <c r="D242" i="47"/>
  <c r="D243" i="47"/>
  <c r="D244" i="47"/>
  <c r="D245" i="47"/>
  <c r="D246" i="47"/>
  <c r="D228" i="47"/>
  <c r="DD268" i="47" l="1"/>
  <c r="DD257" i="47"/>
  <c r="DD271" i="47"/>
  <c r="DD261" i="47"/>
  <c r="DD265" i="47"/>
  <c r="DD269" i="47"/>
  <c r="DD260" i="47"/>
  <c r="DD256" i="47"/>
  <c r="DD255" i="47"/>
  <c r="DD264" i="47"/>
  <c r="DD263" i="47"/>
  <c r="DD258" i="47"/>
  <c r="DD262" i="47"/>
  <c r="DD267" i="47"/>
  <c r="DD259" i="47"/>
  <c r="X369" i="58" l="1"/>
  <c r="X370" i="58"/>
  <c r="X371" i="58"/>
  <c r="X372" i="58"/>
  <c r="X373" i="58"/>
  <c r="X374" i="58"/>
  <c r="X375" i="58"/>
  <c r="X376" i="58"/>
  <c r="X377" i="58"/>
  <c r="X378" i="58"/>
  <c r="X379" i="58"/>
  <c r="X368" i="58"/>
  <c r="W369" i="58"/>
  <c r="W370" i="58"/>
  <c r="W371" i="58"/>
  <c r="W372" i="58"/>
  <c r="W373" i="58"/>
  <c r="W374" i="58"/>
  <c r="W375" i="58"/>
  <c r="W376" i="58"/>
  <c r="W377" i="58"/>
  <c r="W378" i="58"/>
  <c r="W368" i="58"/>
  <c r="X331" i="58"/>
  <c r="X332" i="58"/>
  <c r="X333" i="58"/>
  <c r="X334" i="58"/>
  <c r="X335" i="58"/>
  <c r="X336" i="58"/>
  <c r="X337" i="58"/>
  <c r="X338" i="58"/>
  <c r="X339" i="58"/>
  <c r="X340" i="58"/>
  <c r="X341" i="58"/>
  <c r="X330" i="58"/>
  <c r="W331" i="58"/>
  <c r="W332" i="58"/>
  <c r="W333" i="58"/>
  <c r="W334" i="58"/>
  <c r="W335" i="58"/>
  <c r="W336" i="58"/>
  <c r="W337" i="58"/>
  <c r="W338" i="58"/>
  <c r="W339" i="58"/>
  <c r="W340" i="58"/>
  <c r="W330" i="58"/>
  <c r="X293" i="58"/>
  <c r="X294" i="58"/>
  <c r="X295" i="58"/>
  <c r="X296" i="58"/>
  <c r="X297" i="58"/>
  <c r="X298" i="58"/>
  <c r="X299" i="58"/>
  <c r="X300" i="58"/>
  <c r="X301" i="58"/>
  <c r="X302" i="58"/>
  <c r="X303" i="58"/>
  <c r="X292" i="58"/>
  <c r="W293" i="58"/>
  <c r="W294" i="58"/>
  <c r="W295" i="58"/>
  <c r="W296" i="58"/>
  <c r="W297" i="58"/>
  <c r="W298" i="58"/>
  <c r="W299" i="58"/>
  <c r="W300" i="58"/>
  <c r="W301" i="58"/>
  <c r="W302" i="58"/>
  <c r="W292" i="58"/>
  <c r="X255" i="58"/>
  <c r="X256" i="58"/>
  <c r="X257" i="58"/>
  <c r="X258" i="58"/>
  <c r="X259" i="58"/>
  <c r="X260" i="58"/>
  <c r="X261" i="58"/>
  <c r="X262" i="58"/>
  <c r="X263" i="58"/>
  <c r="X264" i="58"/>
  <c r="X265" i="58"/>
  <c r="X254" i="58"/>
  <c r="W255" i="58"/>
  <c r="W256" i="58"/>
  <c r="W257" i="58"/>
  <c r="W258" i="58"/>
  <c r="W259" i="58"/>
  <c r="W260" i="58"/>
  <c r="W261" i="58"/>
  <c r="W262" i="58"/>
  <c r="W263" i="58"/>
  <c r="W264" i="58"/>
  <c r="W254" i="58"/>
  <c r="X217" i="58"/>
  <c r="X218" i="58"/>
  <c r="X219" i="58"/>
  <c r="X220" i="58"/>
  <c r="X221" i="58"/>
  <c r="X222" i="58"/>
  <c r="X223" i="58"/>
  <c r="X224" i="58"/>
  <c r="X225" i="58"/>
  <c r="X226" i="58"/>
  <c r="X227" i="58"/>
  <c r="X216" i="58"/>
  <c r="W217" i="58"/>
  <c r="W218" i="58"/>
  <c r="W219" i="58"/>
  <c r="W220" i="58"/>
  <c r="W221" i="58"/>
  <c r="W222" i="58"/>
  <c r="W223" i="58"/>
  <c r="W224" i="58"/>
  <c r="W225" i="58"/>
  <c r="W226" i="58"/>
  <c r="W216" i="58"/>
  <c r="X179" i="58"/>
  <c r="X180" i="58"/>
  <c r="X181" i="58"/>
  <c r="X182" i="58"/>
  <c r="X183" i="58"/>
  <c r="X184" i="58"/>
  <c r="X185" i="58"/>
  <c r="X186" i="58"/>
  <c r="X187" i="58"/>
  <c r="X188" i="58"/>
  <c r="X189" i="58"/>
  <c r="X178" i="58"/>
  <c r="W179" i="58"/>
  <c r="W180" i="58"/>
  <c r="W181" i="58"/>
  <c r="W182" i="58"/>
  <c r="W183" i="58"/>
  <c r="W184" i="58"/>
  <c r="W185" i="58"/>
  <c r="W186" i="58"/>
  <c r="W187" i="58"/>
  <c r="W188" i="58"/>
  <c r="W178" i="58"/>
  <c r="X141" i="58"/>
  <c r="X142" i="58"/>
  <c r="X143" i="58"/>
  <c r="X144" i="58"/>
  <c r="X145" i="58"/>
  <c r="X146" i="58"/>
  <c r="X147" i="58"/>
  <c r="X148" i="58"/>
  <c r="X149" i="58"/>
  <c r="X150" i="58"/>
  <c r="X151" i="58"/>
  <c r="X140" i="58"/>
  <c r="W141" i="58"/>
  <c r="W142" i="58"/>
  <c r="W143" i="58"/>
  <c r="W144" i="58"/>
  <c r="W145" i="58"/>
  <c r="W146" i="58"/>
  <c r="W147" i="58"/>
  <c r="W148" i="58"/>
  <c r="W149" i="58"/>
  <c r="W150" i="58"/>
  <c r="W140" i="58"/>
  <c r="X103" i="58"/>
  <c r="X104" i="58"/>
  <c r="X105" i="58"/>
  <c r="X106" i="58"/>
  <c r="X107" i="58"/>
  <c r="X108" i="58"/>
  <c r="X109" i="58"/>
  <c r="X110" i="58"/>
  <c r="X111" i="58"/>
  <c r="X112" i="58"/>
  <c r="X113" i="58"/>
  <c r="W103" i="58"/>
  <c r="W104" i="58"/>
  <c r="W105" i="58"/>
  <c r="W106" i="58"/>
  <c r="W107" i="58"/>
  <c r="W108" i="58"/>
  <c r="W109" i="58"/>
  <c r="W110" i="58"/>
  <c r="W111" i="58"/>
  <c r="W112" i="58"/>
  <c r="X102" i="58"/>
  <c r="W102" i="58"/>
  <c r="X75" i="58"/>
  <c r="W65" i="58"/>
  <c r="X65" i="58"/>
  <c r="W66" i="58"/>
  <c r="X66" i="58"/>
  <c r="W67" i="58"/>
  <c r="X67" i="58"/>
  <c r="W68" i="58"/>
  <c r="X68" i="58"/>
  <c r="W69" i="58"/>
  <c r="X69" i="58"/>
  <c r="W70" i="58"/>
  <c r="X70" i="58"/>
  <c r="W71" i="58"/>
  <c r="X71" i="58"/>
  <c r="W72" i="58"/>
  <c r="X72" i="58"/>
  <c r="W73" i="58"/>
  <c r="X73" i="58"/>
  <c r="W74" i="58"/>
  <c r="X74" i="58"/>
  <c r="X64" i="58"/>
  <c r="W64" i="58"/>
  <c r="X832" i="50" l="1"/>
  <c r="X815" i="50"/>
  <c r="X798" i="50"/>
  <c r="X781" i="50"/>
  <c r="X764" i="50"/>
  <c r="X747" i="50"/>
  <c r="X730" i="50"/>
  <c r="X713" i="50"/>
  <c r="X696" i="50"/>
  <c r="X679" i="50"/>
  <c r="X662" i="50"/>
  <c r="X645" i="50"/>
  <c r="X628" i="50"/>
  <c r="X611" i="50"/>
  <c r="X594" i="50"/>
  <c r="X577" i="50"/>
  <c r="X560" i="50"/>
  <c r="X543" i="50"/>
  <c r="X526" i="50"/>
  <c r="X509" i="50"/>
  <c r="F64" i="58" l="1"/>
  <c r="AA482" i="50" l="1"/>
  <c r="AA87" i="50"/>
  <c r="AA88" i="50" l="1"/>
  <c r="AA89" i="50"/>
  <c r="F839" i="50" l="1"/>
  <c r="G839" i="50" s="1"/>
  <c r="H839" i="50" s="1"/>
  <c r="I839" i="50" s="1"/>
  <c r="J839" i="50" s="1"/>
  <c r="K839" i="50" s="1"/>
  <c r="Y832" i="50"/>
  <c r="Y833" i="50" s="1"/>
  <c r="Y834" i="50" s="1"/>
  <c r="Y835" i="50" s="1"/>
  <c r="Y836" i="50" s="1"/>
  <c r="Y837" i="50" s="1"/>
  <c r="X833" i="50"/>
  <c r="X834" i="50" s="1"/>
  <c r="X835" i="50" s="1"/>
  <c r="X836" i="50" s="1"/>
  <c r="X837" i="50" s="1"/>
  <c r="F822" i="50"/>
  <c r="G822" i="50" s="1"/>
  <c r="H822" i="50" s="1"/>
  <c r="I822" i="50" s="1"/>
  <c r="J822" i="50" s="1"/>
  <c r="K822" i="50" s="1"/>
  <c r="Y815" i="50"/>
  <c r="Y816" i="50" s="1"/>
  <c r="Y817" i="50" s="1"/>
  <c r="Y818" i="50" s="1"/>
  <c r="Y819" i="50" s="1"/>
  <c r="Y820" i="50" s="1"/>
  <c r="X816" i="50"/>
  <c r="X817" i="50" s="1"/>
  <c r="X818" i="50" s="1"/>
  <c r="X819" i="50" s="1"/>
  <c r="X820" i="50" s="1"/>
  <c r="F805" i="50"/>
  <c r="G805" i="50" s="1"/>
  <c r="H805" i="50" s="1"/>
  <c r="I805" i="50" s="1"/>
  <c r="J805" i="50" s="1"/>
  <c r="K805" i="50" s="1"/>
  <c r="Y798" i="50"/>
  <c r="Y799" i="50" s="1"/>
  <c r="Y800" i="50" s="1"/>
  <c r="Y801" i="50" s="1"/>
  <c r="Y802" i="50" s="1"/>
  <c r="Y803" i="50" s="1"/>
  <c r="X799" i="50"/>
  <c r="X800" i="50" s="1"/>
  <c r="X801" i="50" s="1"/>
  <c r="X802" i="50" s="1"/>
  <c r="X803" i="50" s="1"/>
  <c r="F788" i="50"/>
  <c r="G788" i="50" s="1"/>
  <c r="H788" i="50" s="1"/>
  <c r="I788" i="50" s="1"/>
  <c r="J788" i="50" s="1"/>
  <c r="K788" i="50" s="1"/>
  <c r="Y781" i="50"/>
  <c r="Y782" i="50" s="1"/>
  <c r="Y783" i="50" s="1"/>
  <c r="Y784" i="50" s="1"/>
  <c r="Y785" i="50" s="1"/>
  <c r="Y786" i="50" s="1"/>
  <c r="X782" i="50"/>
  <c r="X783" i="50" s="1"/>
  <c r="X784" i="50" s="1"/>
  <c r="X785" i="50" s="1"/>
  <c r="X786" i="50" s="1"/>
  <c r="F771" i="50"/>
  <c r="G771" i="50" s="1"/>
  <c r="H771" i="50" s="1"/>
  <c r="I771" i="50" s="1"/>
  <c r="J771" i="50" s="1"/>
  <c r="K771" i="50" s="1"/>
  <c r="Y764" i="50"/>
  <c r="Y765" i="50" s="1"/>
  <c r="Y766" i="50" s="1"/>
  <c r="Y767" i="50" s="1"/>
  <c r="Y768" i="50" s="1"/>
  <c r="Y769" i="50" s="1"/>
  <c r="X765" i="50"/>
  <c r="X766" i="50" s="1"/>
  <c r="X767" i="50" s="1"/>
  <c r="X768" i="50" s="1"/>
  <c r="X769" i="50" s="1"/>
  <c r="F754" i="50"/>
  <c r="G754" i="50" s="1"/>
  <c r="H754" i="50" s="1"/>
  <c r="I754" i="50" s="1"/>
  <c r="J754" i="50" s="1"/>
  <c r="K754" i="50" s="1"/>
  <c r="Y747" i="50"/>
  <c r="Y748" i="50" s="1"/>
  <c r="Y749" i="50" s="1"/>
  <c r="Y750" i="50" s="1"/>
  <c r="Y751" i="50" s="1"/>
  <c r="Y752" i="50" s="1"/>
  <c r="X748" i="50"/>
  <c r="X749" i="50" s="1"/>
  <c r="X750" i="50" s="1"/>
  <c r="X751" i="50" s="1"/>
  <c r="X752" i="50" s="1"/>
  <c r="F737" i="50"/>
  <c r="G737" i="50" s="1"/>
  <c r="H737" i="50" s="1"/>
  <c r="I737" i="50" s="1"/>
  <c r="J737" i="50" s="1"/>
  <c r="K737" i="50" s="1"/>
  <c r="Y730" i="50"/>
  <c r="Y731" i="50" s="1"/>
  <c r="Y732" i="50" s="1"/>
  <c r="Y733" i="50" s="1"/>
  <c r="Y734" i="50" s="1"/>
  <c r="Y735" i="50" s="1"/>
  <c r="X731" i="50"/>
  <c r="X732" i="50" s="1"/>
  <c r="X733" i="50" s="1"/>
  <c r="X734" i="50" s="1"/>
  <c r="X735" i="50" s="1"/>
  <c r="F720" i="50"/>
  <c r="G720" i="50" s="1"/>
  <c r="H720" i="50" s="1"/>
  <c r="I720" i="50" s="1"/>
  <c r="J720" i="50" s="1"/>
  <c r="K720" i="50" s="1"/>
  <c r="Y713" i="50"/>
  <c r="Y714" i="50" s="1"/>
  <c r="Y715" i="50" s="1"/>
  <c r="Y716" i="50" s="1"/>
  <c r="Y717" i="50" s="1"/>
  <c r="Y718" i="50" s="1"/>
  <c r="X714" i="50"/>
  <c r="X715" i="50" s="1"/>
  <c r="X716" i="50" s="1"/>
  <c r="X717" i="50" s="1"/>
  <c r="X718" i="50" s="1"/>
  <c r="F703" i="50"/>
  <c r="G703" i="50" s="1"/>
  <c r="H703" i="50" s="1"/>
  <c r="I703" i="50" s="1"/>
  <c r="J703" i="50" s="1"/>
  <c r="K703" i="50" s="1"/>
  <c r="Y696" i="50"/>
  <c r="Y697" i="50" s="1"/>
  <c r="Y698" i="50" s="1"/>
  <c r="Y699" i="50" s="1"/>
  <c r="Y700" i="50" s="1"/>
  <c r="Y701" i="50" s="1"/>
  <c r="X697" i="50"/>
  <c r="X698" i="50" s="1"/>
  <c r="X699" i="50" s="1"/>
  <c r="X700" i="50" s="1"/>
  <c r="X701" i="50" s="1"/>
  <c r="F686" i="50"/>
  <c r="G686" i="50" s="1"/>
  <c r="H686" i="50" s="1"/>
  <c r="I686" i="50" s="1"/>
  <c r="J686" i="50" s="1"/>
  <c r="K686" i="50" s="1"/>
  <c r="Y679" i="50"/>
  <c r="Y680" i="50" s="1"/>
  <c r="Y681" i="50" s="1"/>
  <c r="Y682" i="50" s="1"/>
  <c r="Y683" i="50" s="1"/>
  <c r="Y684" i="50" s="1"/>
  <c r="X680" i="50"/>
  <c r="X681" i="50" s="1"/>
  <c r="X682" i="50" s="1"/>
  <c r="X683" i="50" s="1"/>
  <c r="X684" i="50" s="1"/>
  <c r="F669" i="50"/>
  <c r="G669" i="50" s="1"/>
  <c r="H669" i="50" s="1"/>
  <c r="I669" i="50" s="1"/>
  <c r="J669" i="50" s="1"/>
  <c r="K669" i="50" s="1"/>
  <c r="Y662" i="50"/>
  <c r="Y663" i="50" s="1"/>
  <c r="Y664" i="50" s="1"/>
  <c r="Y665" i="50" s="1"/>
  <c r="Y666" i="50" s="1"/>
  <c r="Y667" i="50" s="1"/>
  <c r="X663" i="50"/>
  <c r="X664" i="50" s="1"/>
  <c r="X665" i="50" s="1"/>
  <c r="X666" i="50" s="1"/>
  <c r="X667" i="50" s="1"/>
  <c r="F652" i="50"/>
  <c r="G652" i="50" s="1"/>
  <c r="H652" i="50" s="1"/>
  <c r="I652" i="50" s="1"/>
  <c r="J652" i="50" s="1"/>
  <c r="K652" i="50" s="1"/>
  <c r="Y645" i="50"/>
  <c r="Y646" i="50" s="1"/>
  <c r="Y647" i="50" s="1"/>
  <c r="Y648" i="50" s="1"/>
  <c r="Y649" i="50" s="1"/>
  <c r="Y650" i="50" s="1"/>
  <c r="X646" i="50"/>
  <c r="X647" i="50" s="1"/>
  <c r="X648" i="50" s="1"/>
  <c r="X649" i="50" s="1"/>
  <c r="X650" i="50" s="1"/>
  <c r="F635" i="50"/>
  <c r="G635" i="50" s="1"/>
  <c r="H635" i="50" s="1"/>
  <c r="I635" i="50" s="1"/>
  <c r="J635" i="50" s="1"/>
  <c r="K635" i="50" s="1"/>
  <c r="Y628" i="50"/>
  <c r="Y629" i="50" s="1"/>
  <c r="Y630" i="50" s="1"/>
  <c r="Y631" i="50" s="1"/>
  <c r="Y632" i="50" s="1"/>
  <c r="Y633" i="50" s="1"/>
  <c r="X629" i="50"/>
  <c r="X630" i="50" s="1"/>
  <c r="X631" i="50" s="1"/>
  <c r="X632" i="50" s="1"/>
  <c r="X633" i="50" s="1"/>
  <c r="F618" i="50"/>
  <c r="G618" i="50" s="1"/>
  <c r="H618" i="50" s="1"/>
  <c r="I618" i="50" s="1"/>
  <c r="J618" i="50" s="1"/>
  <c r="K618" i="50" s="1"/>
  <c r="Y611" i="50"/>
  <c r="Y612" i="50" s="1"/>
  <c r="Y613" i="50" s="1"/>
  <c r="Y614" i="50" s="1"/>
  <c r="Y615" i="50" s="1"/>
  <c r="Y616" i="50" s="1"/>
  <c r="X612" i="50"/>
  <c r="X613" i="50" s="1"/>
  <c r="X614" i="50" s="1"/>
  <c r="X615" i="50" s="1"/>
  <c r="X616" i="50" s="1"/>
  <c r="F601" i="50"/>
  <c r="G601" i="50" s="1"/>
  <c r="H601" i="50" s="1"/>
  <c r="I601" i="50" s="1"/>
  <c r="J601" i="50" s="1"/>
  <c r="K601" i="50" s="1"/>
  <c r="Y594" i="50"/>
  <c r="Y595" i="50" s="1"/>
  <c r="Y596" i="50" s="1"/>
  <c r="Y597" i="50" s="1"/>
  <c r="Y598" i="50" s="1"/>
  <c r="Y599" i="50" s="1"/>
  <c r="X595" i="50"/>
  <c r="X596" i="50" s="1"/>
  <c r="X597" i="50" s="1"/>
  <c r="X598" i="50" s="1"/>
  <c r="X599" i="50" s="1"/>
  <c r="F584" i="50"/>
  <c r="G584" i="50" s="1"/>
  <c r="H584" i="50" s="1"/>
  <c r="I584" i="50" s="1"/>
  <c r="J584" i="50" s="1"/>
  <c r="K584" i="50" s="1"/>
  <c r="Y577" i="50"/>
  <c r="Y578" i="50" s="1"/>
  <c r="Y579" i="50" s="1"/>
  <c r="Y580" i="50" s="1"/>
  <c r="Y581" i="50" s="1"/>
  <c r="Y582" i="50" s="1"/>
  <c r="X578" i="50"/>
  <c r="X579" i="50" s="1"/>
  <c r="X580" i="50" s="1"/>
  <c r="X581" i="50" s="1"/>
  <c r="X582" i="50" s="1"/>
  <c r="F567" i="50"/>
  <c r="G567" i="50" s="1"/>
  <c r="H567" i="50" s="1"/>
  <c r="I567" i="50" s="1"/>
  <c r="J567" i="50" s="1"/>
  <c r="K567" i="50" s="1"/>
  <c r="Y560" i="50"/>
  <c r="Y561" i="50" s="1"/>
  <c r="Y562" i="50" s="1"/>
  <c r="Y563" i="50" s="1"/>
  <c r="Y564" i="50" s="1"/>
  <c r="Y565" i="50" s="1"/>
  <c r="X561" i="50"/>
  <c r="X562" i="50" s="1"/>
  <c r="X563" i="50" s="1"/>
  <c r="X564" i="50" s="1"/>
  <c r="X565" i="50" s="1"/>
  <c r="F550" i="50"/>
  <c r="G550" i="50" s="1"/>
  <c r="H550" i="50" s="1"/>
  <c r="I550" i="50" s="1"/>
  <c r="J550" i="50" s="1"/>
  <c r="K550" i="50" s="1"/>
  <c r="Y543" i="50"/>
  <c r="Y544" i="50" s="1"/>
  <c r="Y545" i="50" s="1"/>
  <c r="Y546" i="50" s="1"/>
  <c r="Y547" i="50" s="1"/>
  <c r="Y548" i="50" s="1"/>
  <c r="X544" i="50"/>
  <c r="X545" i="50" s="1"/>
  <c r="X546" i="50" s="1"/>
  <c r="X547" i="50" s="1"/>
  <c r="X548" i="50" s="1"/>
  <c r="F533" i="50"/>
  <c r="G533" i="50" s="1"/>
  <c r="H533" i="50" s="1"/>
  <c r="I533" i="50" s="1"/>
  <c r="J533" i="50" s="1"/>
  <c r="K533" i="50" s="1"/>
  <c r="Y526" i="50"/>
  <c r="Y527" i="50" s="1"/>
  <c r="Y528" i="50" s="1"/>
  <c r="Y529" i="50" s="1"/>
  <c r="Y530" i="50" s="1"/>
  <c r="Y531" i="50" s="1"/>
  <c r="X527" i="50"/>
  <c r="X528" i="50" s="1"/>
  <c r="X529" i="50" s="1"/>
  <c r="X530" i="50" s="1"/>
  <c r="X531" i="50" s="1"/>
  <c r="F516" i="50"/>
  <c r="G516" i="50" s="1"/>
  <c r="H516" i="50" s="1"/>
  <c r="I516" i="50" s="1"/>
  <c r="J516" i="50" s="1"/>
  <c r="K516" i="50" s="1"/>
  <c r="Y509" i="50"/>
  <c r="Y510" i="50" s="1"/>
  <c r="Y511" i="50" s="1"/>
  <c r="Y512" i="50" s="1"/>
  <c r="Y513" i="50" s="1"/>
  <c r="Y514" i="50" s="1"/>
  <c r="X510" i="50"/>
  <c r="X511" i="50" s="1"/>
  <c r="X512" i="50" s="1"/>
  <c r="X513" i="50" s="1"/>
  <c r="X514" i="50" s="1"/>
  <c r="F444" i="50"/>
  <c r="G444" i="50" s="1"/>
  <c r="H444" i="50" s="1"/>
  <c r="I444" i="50" s="1"/>
  <c r="J444" i="50" s="1"/>
  <c r="K444" i="50" s="1"/>
  <c r="Y437" i="50"/>
  <c r="Y438" i="50" s="1"/>
  <c r="Y439" i="50" s="1"/>
  <c r="Y440" i="50" s="1"/>
  <c r="Y441" i="50" s="1"/>
  <c r="Y442" i="50" s="1"/>
  <c r="X437" i="50"/>
  <c r="X438" i="50" s="1"/>
  <c r="X439" i="50" s="1"/>
  <c r="X440" i="50" s="1"/>
  <c r="X441" i="50" s="1"/>
  <c r="X442" i="50" s="1"/>
  <c r="F427" i="50"/>
  <c r="G427" i="50" s="1"/>
  <c r="H427" i="50" s="1"/>
  <c r="I427" i="50" s="1"/>
  <c r="J427" i="50" s="1"/>
  <c r="K427" i="50" s="1"/>
  <c r="Y420" i="50"/>
  <c r="Y421" i="50" s="1"/>
  <c r="Y422" i="50" s="1"/>
  <c r="Y423" i="50" s="1"/>
  <c r="Y424" i="50" s="1"/>
  <c r="Y425" i="50" s="1"/>
  <c r="X420" i="50"/>
  <c r="X421" i="50" s="1"/>
  <c r="X422" i="50" s="1"/>
  <c r="X423" i="50" s="1"/>
  <c r="X424" i="50" s="1"/>
  <c r="X425" i="50" s="1"/>
  <c r="F410" i="50"/>
  <c r="G410" i="50" s="1"/>
  <c r="H410" i="50" s="1"/>
  <c r="I410" i="50" s="1"/>
  <c r="J410" i="50" s="1"/>
  <c r="K410" i="50" s="1"/>
  <c r="Y403" i="50"/>
  <c r="Y404" i="50" s="1"/>
  <c r="Y405" i="50" s="1"/>
  <c r="Y406" i="50" s="1"/>
  <c r="Y407" i="50" s="1"/>
  <c r="Y408" i="50" s="1"/>
  <c r="X403" i="50"/>
  <c r="X404" i="50" s="1"/>
  <c r="X405" i="50" s="1"/>
  <c r="X406" i="50" s="1"/>
  <c r="X407" i="50" s="1"/>
  <c r="X408" i="50" s="1"/>
  <c r="F393" i="50"/>
  <c r="G393" i="50" s="1"/>
  <c r="H393" i="50" s="1"/>
  <c r="I393" i="50" s="1"/>
  <c r="J393" i="50" s="1"/>
  <c r="K393" i="50" s="1"/>
  <c r="Y386" i="50"/>
  <c r="Y387" i="50" s="1"/>
  <c r="Y388" i="50" s="1"/>
  <c r="Y389" i="50" s="1"/>
  <c r="Y390" i="50" s="1"/>
  <c r="Y391" i="50" s="1"/>
  <c r="X386" i="50"/>
  <c r="X387" i="50" s="1"/>
  <c r="X388" i="50" s="1"/>
  <c r="X389" i="50" s="1"/>
  <c r="X390" i="50" s="1"/>
  <c r="X391" i="50" s="1"/>
  <c r="F376" i="50"/>
  <c r="G376" i="50" s="1"/>
  <c r="H376" i="50" s="1"/>
  <c r="I376" i="50" s="1"/>
  <c r="J376" i="50" s="1"/>
  <c r="K376" i="50" s="1"/>
  <c r="Y369" i="50"/>
  <c r="Y370" i="50" s="1"/>
  <c r="Y371" i="50" s="1"/>
  <c r="Y372" i="50" s="1"/>
  <c r="Y373" i="50" s="1"/>
  <c r="Y374" i="50" s="1"/>
  <c r="X369" i="50"/>
  <c r="X370" i="50" s="1"/>
  <c r="X371" i="50" s="1"/>
  <c r="X372" i="50" s="1"/>
  <c r="X373" i="50" s="1"/>
  <c r="X374" i="50" s="1"/>
  <c r="F359" i="50"/>
  <c r="G359" i="50" s="1"/>
  <c r="H359" i="50" s="1"/>
  <c r="I359" i="50" s="1"/>
  <c r="J359" i="50" s="1"/>
  <c r="K359" i="50" s="1"/>
  <c r="Y352" i="50"/>
  <c r="Y353" i="50" s="1"/>
  <c r="Y354" i="50" s="1"/>
  <c r="Y355" i="50" s="1"/>
  <c r="Y356" i="50" s="1"/>
  <c r="Y357" i="50" s="1"/>
  <c r="X352" i="50"/>
  <c r="X353" i="50" s="1"/>
  <c r="X354" i="50" s="1"/>
  <c r="X355" i="50" s="1"/>
  <c r="X356" i="50" s="1"/>
  <c r="X357" i="50" s="1"/>
  <c r="F342" i="50"/>
  <c r="G342" i="50" s="1"/>
  <c r="H342" i="50" s="1"/>
  <c r="I342" i="50" s="1"/>
  <c r="J342" i="50" s="1"/>
  <c r="K342" i="50" s="1"/>
  <c r="Y335" i="50"/>
  <c r="Y336" i="50" s="1"/>
  <c r="Y337" i="50" s="1"/>
  <c r="Y338" i="50" s="1"/>
  <c r="Y339" i="50" s="1"/>
  <c r="Y340" i="50" s="1"/>
  <c r="X335" i="50"/>
  <c r="X336" i="50" s="1"/>
  <c r="X337" i="50" s="1"/>
  <c r="X338" i="50" s="1"/>
  <c r="X339" i="50" s="1"/>
  <c r="X340" i="50" s="1"/>
  <c r="F325" i="50"/>
  <c r="G325" i="50" s="1"/>
  <c r="H325" i="50" s="1"/>
  <c r="I325" i="50" s="1"/>
  <c r="J325" i="50" s="1"/>
  <c r="K325" i="50" s="1"/>
  <c r="Y318" i="50"/>
  <c r="Y319" i="50" s="1"/>
  <c r="Y320" i="50" s="1"/>
  <c r="Y321" i="50" s="1"/>
  <c r="Y322" i="50" s="1"/>
  <c r="Y323" i="50" s="1"/>
  <c r="X318" i="50"/>
  <c r="X319" i="50" s="1"/>
  <c r="X320" i="50" s="1"/>
  <c r="X321" i="50" s="1"/>
  <c r="X322" i="50" s="1"/>
  <c r="X323" i="50" s="1"/>
  <c r="F308" i="50"/>
  <c r="G308" i="50" s="1"/>
  <c r="H308" i="50" s="1"/>
  <c r="I308" i="50" s="1"/>
  <c r="J308" i="50" s="1"/>
  <c r="K308" i="50" s="1"/>
  <c r="Y301" i="50"/>
  <c r="Y302" i="50" s="1"/>
  <c r="Y303" i="50" s="1"/>
  <c r="Y304" i="50" s="1"/>
  <c r="Y305" i="50" s="1"/>
  <c r="Y306" i="50" s="1"/>
  <c r="X301" i="50"/>
  <c r="X302" i="50" s="1"/>
  <c r="X303" i="50" s="1"/>
  <c r="X304" i="50" s="1"/>
  <c r="X305" i="50" s="1"/>
  <c r="X306" i="50" s="1"/>
  <c r="F291" i="50"/>
  <c r="G291" i="50" s="1"/>
  <c r="H291" i="50" s="1"/>
  <c r="I291" i="50" s="1"/>
  <c r="J291" i="50" s="1"/>
  <c r="K291" i="50" s="1"/>
  <c r="Y284" i="50"/>
  <c r="Y285" i="50" s="1"/>
  <c r="Y286" i="50" s="1"/>
  <c r="Y287" i="50" s="1"/>
  <c r="Y288" i="50" s="1"/>
  <c r="Y289" i="50" s="1"/>
  <c r="X284" i="50"/>
  <c r="X285" i="50" s="1"/>
  <c r="X286" i="50" s="1"/>
  <c r="X287" i="50" s="1"/>
  <c r="X288" i="50" s="1"/>
  <c r="X289" i="50" s="1"/>
  <c r="F274" i="50"/>
  <c r="G274" i="50" s="1"/>
  <c r="H274" i="50" s="1"/>
  <c r="I274" i="50" s="1"/>
  <c r="J274" i="50" s="1"/>
  <c r="K274" i="50" s="1"/>
  <c r="Y267" i="50"/>
  <c r="Y268" i="50" s="1"/>
  <c r="Y269" i="50" s="1"/>
  <c r="Y270" i="50" s="1"/>
  <c r="Y271" i="50" s="1"/>
  <c r="Y272" i="50" s="1"/>
  <c r="X267" i="50"/>
  <c r="X268" i="50" s="1"/>
  <c r="X269" i="50" s="1"/>
  <c r="X270" i="50" s="1"/>
  <c r="X271" i="50" s="1"/>
  <c r="X272" i="50" s="1"/>
  <c r="F257" i="50"/>
  <c r="G257" i="50" s="1"/>
  <c r="H257" i="50" s="1"/>
  <c r="I257" i="50" s="1"/>
  <c r="J257" i="50" s="1"/>
  <c r="K257" i="50" s="1"/>
  <c r="Y250" i="50"/>
  <c r="Y251" i="50" s="1"/>
  <c r="Y252" i="50" s="1"/>
  <c r="Y253" i="50" s="1"/>
  <c r="Y254" i="50" s="1"/>
  <c r="Y255" i="50" s="1"/>
  <c r="X250" i="50"/>
  <c r="X251" i="50" s="1"/>
  <c r="X252" i="50" s="1"/>
  <c r="X253" i="50" s="1"/>
  <c r="X254" i="50" s="1"/>
  <c r="X255" i="50" s="1"/>
  <c r="F240" i="50"/>
  <c r="G240" i="50" s="1"/>
  <c r="H240" i="50" s="1"/>
  <c r="I240" i="50" s="1"/>
  <c r="J240" i="50" s="1"/>
  <c r="K240" i="50" s="1"/>
  <c r="Y233" i="50"/>
  <c r="Y234" i="50" s="1"/>
  <c r="Y235" i="50" s="1"/>
  <c r="Y236" i="50" s="1"/>
  <c r="Y237" i="50" s="1"/>
  <c r="Y238" i="50" s="1"/>
  <c r="X233" i="50"/>
  <c r="X234" i="50" s="1"/>
  <c r="X235" i="50" s="1"/>
  <c r="X236" i="50" s="1"/>
  <c r="X237" i="50" s="1"/>
  <c r="X238" i="50" s="1"/>
  <c r="F223" i="50"/>
  <c r="G223" i="50" s="1"/>
  <c r="H223" i="50" s="1"/>
  <c r="I223" i="50" s="1"/>
  <c r="J223" i="50" s="1"/>
  <c r="K223" i="50" s="1"/>
  <c r="Y216" i="50"/>
  <c r="Y217" i="50" s="1"/>
  <c r="Y218" i="50" s="1"/>
  <c r="Y219" i="50" s="1"/>
  <c r="Y220" i="50" s="1"/>
  <c r="Y221" i="50" s="1"/>
  <c r="X216" i="50"/>
  <c r="X217" i="50" s="1"/>
  <c r="X218" i="50" s="1"/>
  <c r="X219" i="50" s="1"/>
  <c r="X220" i="50" s="1"/>
  <c r="X221" i="50" s="1"/>
  <c r="F206" i="50"/>
  <c r="G206" i="50" s="1"/>
  <c r="H206" i="50" s="1"/>
  <c r="I206" i="50" s="1"/>
  <c r="J206" i="50" s="1"/>
  <c r="K206" i="50" s="1"/>
  <c r="Y199" i="50"/>
  <c r="Y200" i="50" s="1"/>
  <c r="Y201" i="50" s="1"/>
  <c r="Y202" i="50" s="1"/>
  <c r="Y203" i="50" s="1"/>
  <c r="Y204" i="50" s="1"/>
  <c r="X199" i="50"/>
  <c r="X200" i="50" s="1"/>
  <c r="X201" i="50" s="1"/>
  <c r="X202" i="50" s="1"/>
  <c r="X203" i="50" s="1"/>
  <c r="X204" i="50" s="1"/>
  <c r="F189" i="50"/>
  <c r="G189" i="50" s="1"/>
  <c r="H189" i="50" s="1"/>
  <c r="I189" i="50" s="1"/>
  <c r="J189" i="50" s="1"/>
  <c r="K189" i="50" s="1"/>
  <c r="Y182" i="50"/>
  <c r="Y183" i="50" s="1"/>
  <c r="Y184" i="50" s="1"/>
  <c r="Y185" i="50" s="1"/>
  <c r="Y186" i="50" s="1"/>
  <c r="Y187" i="50" s="1"/>
  <c r="X182" i="50"/>
  <c r="X183" i="50" s="1"/>
  <c r="X184" i="50" s="1"/>
  <c r="X185" i="50" s="1"/>
  <c r="X186" i="50" s="1"/>
  <c r="X187" i="50" s="1"/>
  <c r="F172" i="50"/>
  <c r="G172" i="50" s="1"/>
  <c r="H172" i="50" s="1"/>
  <c r="I172" i="50" s="1"/>
  <c r="J172" i="50" s="1"/>
  <c r="K172" i="50" s="1"/>
  <c r="Y165" i="50"/>
  <c r="Y166" i="50" s="1"/>
  <c r="Y167" i="50" s="1"/>
  <c r="Y168" i="50" s="1"/>
  <c r="Y169" i="50" s="1"/>
  <c r="Y170" i="50" s="1"/>
  <c r="X165" i="50"/>
  <c r="X166" i="50" s="1"/>
  <c r="X167" i="50" s="1"/>
  <c r="X168" i="50" s="1"/>
  <c r="X169" i="50" s="1"/>
  <c r="X170" i="50" s="1"/>
  <c r="F155" i="50"/>
  <c r="G155" i="50" s="1"/>
  <c r="H155" i="50" s="1"/>
  <c r="I155" i="50" s="1"/>
  <c r="J155" i="50" s="1"/>
  <c r="K155" i="50" s="1"/>
  <c r="Y148" i="50"/>
  <c r="Y149" i="50" s="1"/>
  <c r="Y150" i="50" s="1"/>
  <c r="Y151" i="50" s="1"/>
  <c r="Y152" i="50" s="1"/>
  <c r="Y153" i="50" s="1"/>
  <c r="X148" i="50"/>
  <c r="X149" i="50" s="1"/>
  <c r="X150" i="50" s="1"/>
  <c r="X151" i="50" s="1"/>
  <c r="X152" i="50" s="1"/>
  <c r="X153" i="50" s="1"/>
  <c r="F138" i="50"/>
  <c r="G138" i="50" s="1"/>
  <c r="H138" i="50" s="1"/>
  <c r="I138" i="50" s="1"/>
  <c r="J138" i="50" s="1"/>
  <c r="K138" i="50" s="1"/>
  <c r="Y131" i="50"/>
  <c r="Y132" i="50" s="1"/>
  <c r="Y133" i="50" s="1"/>
  <c r="Y134" i="50" s="1"/>
  <c r="Y135" i="50" s="1"/>
  <c r="Y136" i="50" s="1"/>
  <c r="X131" i="50"/>
  <c r="X132" i="50" s="1"/>
  <c r="X133" i="50" s="1"/>
  <c r="X134" i="50" s="1"/>
  <c r="X135" i="50" s="1"/>
  <c r="X136" i="50" s="1"/>
  <c r="F130" i="50"/>
  <c r="G130" i="50" s="1"/>
  <c r="H130" i="50" s="1"/>
  <c r="I130" i="50" s="1"/>
  <c r="J130" i="50" s="1"/>
  <c r="K130" i="50" s="1"/>
  <c r="AV17" i="14" l="1"/>
  <c r="AV18" i="14"/>
  <c r="AV19" i="14"/>
  <c r="AV20" i="14"/>
  <c r="AV21" i="14"/>
  <c r="AV22" i="14"/>
  <c r="AV23" i="14"/>
  <c r="AV24" i="14"/>
  <c r="AV25" i="14"/>
  <c r="AV26" i="14"/>
  <c r="AB73" i="50"/>
  <c r="D98" i="50" s="1"/>
  <c r="AD73" i="50"/>
  <c r="AF73" i="50" s="1"/>
  <c r="AE73" i="50"/>
  <c r="AB74" i="50"/>
  <c r="D99" i="50" s="1"/>
  <c r="AD74" i="50"/>
  <c r="AF74" i="50" s="1"/>
  <c r="AE74" i="50"/>
  <c r="AB75" i="50"/>
  <c r="D100" i="50" s="1"/>
  <c r="Y100" i="50" s="1"/>
  <c r="AD75" i="50"/>
  <c r="AE75" i="50"/>
  <c r="AF75" i="50"/>
  <c r="AB76" i="50"/>
  <c r="D101" i="50" s="1"/>
  <c r="AD76" i="50"/>
  <c r="AF76" i="50" s="1"/>
  <c r="AE76" i="50"/>
  <c r="AB77" i="50"/>
  <c r="D102" i="50" s="1"/>
  <c r="AD77" i="50"/>
  <c r="AF77" i="50" s="1"/>
  <c r="AE77" i="50"/>
  <c r="AB78" i="50"/>
  <c r="D103" i="50" s="1"/>
  <c r="AD78" i="50"/>
  <c r="AF78" i="50" s="1"/>
  <c r="AE78" i="50"/>
  <c r="AB79" i="50"/>
  <c r="D104" i="50" s="1"/>
  <c r="Y104" i="50" s="1"/>
  <c r="AD79" i="50"/>
  <c r="AF79" i="50" s="1"/>
  <c r="AE79" i="50"/>
  <c r="AB80" i="50"/>
  <c r="D105" i="50" s="1"/>
  <c r="AD80" i="50"/>
  <c r="AF80" i="50" s="1"/>
  <c r="AE80" i="50"/>
  <c r="AB81" i="50"/>
  <c r="D106" i="50" s="1"/>
  <c r="AD81" i="50"/>
  <c r="AF81" i="50" s="1"/>
  <c r="AE81" i="50"/>
  <c r="AB82" i="50"/>
  <c r="D107" i="50" s="1"/>
  <c r="AD82" i="50"/>
  <c r="AF82" i="50" s="1"/>
  <c r="AE82" i="50"/>
  <c r="G73" i="50"/>
  <c r="H73" i="50"/>
  <c r="J73" i="50"/>
  <c r="AA98" i="50"/>
  <c r="G74" i="50"/>
  <c r="H74" i="50"/>
  <c r="J74" i="50"/>
  <c r="AA99" i="50"/>
  <c r="G75" i="50"/>
  <c r="H75" i="50"/>
  <c r="J75" i="50"/>
  <c r="AA100" i="50"/>
  <c r="G76" i="50"/>
  <c r="H76" i="50"/>
  <c r="J76" i="50"/>
  <c r="AA101" i="50"/>
  <c r="G77" i="50"/>
  <c r="H77" i="50"/>
  <c r="J77" i="50"/>
  <c r="AA102" i="50"/>
  <c r="G78" i="50"/>
  <c r="H78" i="50"/>
  <c r="J78" i="50"/>
  <c r="AA103" i="50"/>
  <c r="G79" i="50"/>
  <c r="H79" i="50"/>
  <c r="J79" i="50"/>
  <c r="AA104" i="50"/>
  <c r="G80" i="50"/>
  <c r="H80" i="50"/>
  <c r="J80" i="50"/>
  <c r="AA105" i="50"/>
  <c r="G81" i="50"/>
  <c r="H81" i="50"/>
  <c r="J81" i="50"/>
  <c r="AA106" i="50"/>
  <c r="G82" i="50"/>
  <c r="H82" i="50"/>
  <c r="J82" i="50"/>
  <c r="AA107" i="50"/>
  <c r="J99" i="50"/>
  <c r="Z99" i="50" s="1"/>
  <c r="C302" i="50" s="1"/>
  <c r="C310" i="50" s="1"/>
  <c r="J100" i="50"/>
  <c r="Z100" i="50" s="1"/>
  <c r="C319" i="50" s="1"/>
  <c r="C327" i="50" s="1"/>
  <c r="J101" i="50"/>
  <c r="Z101" i="50" s="1"/>
  <c r="C336" i="50" s="1"/>
  <c r="C344" i="50" s="1"/>
  <c r="J102" i="50"/>
  <c r="Z102" i="50" s="1"/>
  <c r="C353" i="50" s="1"/>
  <c r="C361" i="50" s="1"/>
  <c r="J103" i="50"/>
  <c r="Z103" i="50" s="1"/>
  <c r="C370" i="50" s="1"/>
  <c r="C378" i="50" s="1"/>
  <c r="J104" i="50"/>
  <c r="Z104" i="50" s="1"/>
  <c r="C387" i="50" s="1"/>
  <c r="C395" i="50" s="1"/>
  <c r="J105" i="50"/>
  <c r="Z105" i="50" s="1"/>
  <c r="C404" i="50" s="1"/>
  <c r="C412" i="50" s="1"/>
  <c r="J106" i="50"/>
  <c r="Z106" i="50" s="1"/>
  <c r="C421" i="50" s="1"/>
  <c r="C429" i="50" s="1"/>
  <c r="J107" i="50"/>
  <c r="Z107" i="50" s="1"/>
  <c r="C438" i="50" s="1"/>
  <c r="C446" i="50" s="1"/>
  <c r="F436" i="50"/>
  <c r="G436" i="50" s="1"/>
  <c r="H436" i="50" s="1"/>
  <c r="I436" i="50" s="1"/>
  <c r="J436" i="50" s="1"/>
  <c r="K436" i="50" s="1"/>
  <c r="F419" i="50"/>
  <c r="G419" i="50" s="1"/>
  <c r="H419" i="50" s="1"/>
  <c r="I419" i="50" s="1"/>
  <c r="J419" i="50" s="1"/>
  <c r="K419" i="50" s="1"/>
  <c r="F402" i="50"/>
  <c r="G402" i="50" s="1"/>
  <c r="H402" i="50" s="1"/>
  <c r="I402" i="50" s="1"/>
  <c r="J402" i="50" s="1"/>
  <c r="K402" i="50" s="1"/>
  <c r="F385" i="50"/>
  <c r="G385" i="50" s="1"/>
  <c r="H385" i="50" s="1"/>
  <c r="I385" i="50" s="1"/>
  <c r="J385" i="50" s="1"/>
  <c r="K385" i="50" s="1"/>
  <c r="F368" i="50"/>
  <c r="G368" i="50" s="1"/>
  <c r="H368" i="50" s="1"/>
  <c r="I368" i="50" s="1"/>
  <c r="J368" i="50" s="1"/>
  <c r="K368" i="50" s="1"/>
  <c r="F351" i="50"/>
  <c r="G351" i="50" s="1"/>
  <c r="H351" i="50" s="1"/>
  <c r="I351" i="50" s="1"/>
  <c r="J351" i="50" s="1"/>
  <c r="K351" i="50" s="1"/>
  <c r="F334" i="50"/>
  <c r="G334" i="50" s="1"/>
  <c r="H334" i="50" s="1"/>
  <c r="I334" i="50" s="1"/>
  <c r="J334" i="50" s="1"/>
  <c r="K334" i="50" s="1"/>
  <c r="F317" i="50"/>
  <c r="G317" i="50" s="1"/>
  <c r="H317" i="50" s="1"/>
  <c r="I317" i="50" s="1"/>
  <c r="J317" i="50" s="1"/>
  <c r="K317" i="50" s="1"/>
  <c r="F300" i="50"/>
  <c r="G300" i="50" s="1"/>
  <c r="H300" i="50" s="1"/>
  <c r="I300" i="50" s="1"/>
  <c r="J300" i="50" s="1"/>
  <c r="K300" i="50" s="1"/>
  <c r="F283" i="50"/>
  <c r="G283" i="50" s="1"/>
  <c r="H283" i="50" s="1"/>
  <c r="I283" i="50" s="1"/>
  <c r="J283" i="50" s="1"/>
  <c r="K283" i="50" s="1"/>
  <c r="AV37" i="14"/>
  <c r="AV38" i="14"/>
  <c r="AV39" i="14"/>
  <c r="AV40" i="14"/>
  <c r="AV41" i="14"/>
  <c r="AV42" i="14"/>
  <c r="AV43" i="14"/>
  <c r="AV44" i="14"/>
  <c r="AV45" i="14"/>
  <c r="AV46" i="14"/>
  <c r="L383" i="58"/>
  <c r="Z381" i="58"/>
  <c r="Q379" i="58"/>
  <c r="P378" i="58"/>
  <c r="O377" i="58"/>
  <c r="N376" i="58"/>
  <c r="M375" i="58"/>
  <c r="L374" i="58"/>
  <c r="K373" i="58"/>
  <c r="J372" i="58"/>
  <c r="I371" i="58"/>
  <c r="H370" i="58"/>
  <c r="G369" i="58"/>
  <c r="F368" i="58"/>
  <c r="L367" i="58"/>
  <c r="Z365" i="58"/>
  <c r="B361" i="58"/>
  <c r="D361" i="58" s="1"/>
  <c r="L345" i="58"/>
  <c r="Z343" i="58"/>
  <c r="Q341" i="58"/>
  <c r="P340" i="58"/>
  <c r="O339" i="58"/>
  <c r="N338" i="58"/>
  <c r="M337" i="58"/>
  <c r="L336" i="58"/>
  <c r="K335" i="58"/>
  <c r="J334" i="58"/>
  <c r="I333" i="58"/>
  <c r="H332" i="58"/>
  <c r="G331" i="58"/>
  <c r="F330" i="58"/>
  <c r="L329" i="58"/>
  <c r="Z327" i="58"/>
  <c r="B323" i="58"/>
  <c r="D323" i="58" s="1"/>
  <c r="L307" i="58"/>
  <c r="Z305" i="58"/>
  <c r="Q303" i="58"/>
  <c r="P302" i="58"/>
  <c r="O301" i="58"/>
  <c r="N300" i="58"/>
  <c r="M299" i="58"/>
  <c r="L298" i="58"/>
  <c r="K297" i="58"/>
  <c r="J296" i="58"/>
  <c r="I295" i="58"/>
  <c r="H294" i="58"/>
  <c r="G293" i="58"/>
  <c r="F292" i="58"/>
  <c r="L291" i="58"/>
  <c r="Z289" i="58"/>
  <c r="B285" i="58"/>
  <c r="D285" i="58" s="1"/>
  <c r="L269" i="58"/>
  <c r="Z267" i="58"/>
  <c r="Q265" i="58"/>
  <c r="P264" i="58"/>
  <c r="O263" i="58"/>
  <c r="N262" i="58"/>
  <c r="M261" i="58"/>
  <c r="L260" i="58"/>
  <c r="K259" i="58"/>
  <c r="J258" i="58"/>
  <c r="I257" i="58"/>
  <c r="H256" i="58"/>
  <c r="G255" i="58"/>
  <c r="F254" i="58"/>
  <c r="L253" i="58"/>
  <c r="Z251" i="58"/>
  <c r="B247" i="58"/>
  <c r="D247" i="58" s="1"/>
  <c r="L231" i="58"/>
  <c r="Z229" i="58"/>
  <c r="Q227" i="58"/>
  <c r="P226" i="58"/>
  <c r="O225" i="58"/>
  <c r="N224" i="58"/>
  <c r="M223" i="58"/>
  <c r="L222" i="58"/>
  <c r="K221" i="58"/>
  <c r="J220" i="58"/>
  <c r="I219" i="58"/>
  <c r="H218" i="58"/>
  <c r="G217" i="58"/>
  <c r="F216" i="58"/>
  <c r="L215" i="58"/>
  <c r="Z213" i="58"/>
  <c r="B209" i="58"/>
  <c r="D209" i="58" s="1"/>
  <c r="L193" i="58"/>
  <c r="Z191" i="58"/>
  <c r="Q189" i="58"/>
  <c r="P188" i="58"/>
  <c r="O187" i="58"/>
  <c r="N186" i="58"/>
  <c r="M185" i="58"/>
  <c r="L184" i="58"/>
  <c r="K183" i="58"/>
  <c r="J182" i="58"/>
  <c r="I181" i="58"/>
  <c r="H180" i="58"/>
  <c r="G179" i="58"/>
  <c r="F178" i="58"/>
  <c r="L177" i="58"/>
  <c r="Z175" i="58"/>
  <c r="B171" i="58"/>
  <c r="D171" i="58" s="1"/>
  <c r="L155" i="58"/>
  <c r="Z153" i="58"/>
  <c r="Q151" i="58"/>
  <c r="P150" i="58"/>
  <c r="O149" i="58"/>
  <c r="N148" i="58"/>
  <c r="M147" i="58"/>
  <c r="L146" i="58"/>
  <c r="K145" i="58"/>
  <c r="J144" i="58"/>
  <c r="I143" i="58"/>
  <c r="H142" i="58"/>
  <c r="G141" i="58"/>
  <c r="F140" i="58"/>
  <c r="L139" i="58"/>
  <c r="Z137" i="58"/>
  <c r="B133" i="58"/>
  <c r="D133" i="58" s="1"/>
  <c r="L117" i="58"/>
  <c r="M117" i="58" s="1"/>
  <c r="N117" i="58" s="1"/>
  <c r="O117" i="58" s="1"/>
  <c r="P117" i="58" s="1"/>
  <c r="Q117" i="58" s="1"/>
  <c r="Z115" i="58"/>
  <c r="Q113" i="58"/>
  <c r="P112" i="58"/>
  <c r="O111" i="58"/>
  <c r="N110" i="58"/>
  <c r="M109" i="58"/>
  <c r="L108" i="58"/>
  <c r="K107" i="58"/>
  <c r="J106" i="58"/>
  <c r="I105" i="58"/>
  <c r="H104" i="58"/>
  <c r="G103" i="58"/>
  <c r="F102" i="58"/>
  <c r="L101" i="58"/>
  <c r="M101" i="58" s="1"/>
  <c r="N101" i="58" s="1"/>
  <c r="O101" i="58" s="1"/>
  <c r="P101" i="58" s="1"/>
  <c r="Q101" i="58" s="1"/>
  <c r="Z99" i="58"/>
  <c r="B95" i="58"/>
  <c r="D95" i="58" s="1"/>
  <c r="L79" i="58"/>
  <c r="Z77" i="58"/>
  <c r="Q75" i="58"/>
  <c r="P74" i="58"/>
  <c r="O73" i="58"/>
  <c r="N72" i="58"/>
  <c r="M71" i="58"/>
  <c r="L70" i="58"/>
  <c r="K69" i="58"/>
  <c r="J68" i="58"/>
  <c r="I67" i="58"/>
  <c r="H66" i="58"/>
  <c r="G65" i="58"/>
  <c r="L63" i="58"/>
  <c r="Z61" i="58"/>
  <c r="B57" i="58"/>
  <c r="Y102" i="50" l="1"/>
  <c r="Y106" i="50"/>
  <c r="J98" i="50"/>
  <c r="Z98" i="50" s="1"/>
  <c r="C285" i="50" s="1"/>
  <c r="C293" i="50" s="1"/>
  <c r="Y107" i="50"/>
  <c r="Y105" i="50"/>
  <c r="Y103" i="50"/>
  <c r="Y101" i="50"/>
  <c r="Y99" i="50"/>
  <c r="K101" i="58"/>
  <c r="J101" i="58" s="1"/>
  <c r="I101" i="58" s="1"/>
  <c r="H101" i="58" s="1"/>
  <c r="G101" i="58" s="1"/>
  <c r="F101" i="58" s="1"/>
  <c r="Y98" i="50"/>
  <c r="M367" i="58"/>
  <c r="N367" i="58" s="1"/>
  <c r="O367" i="58" s="1"/>
  <c r="P367" i="58" s="1"/>
  <c r="Q367" i="58" s="1"/>
  <c r="K367" i="58"/>
  <c r="J367" i="58" s="1"/>
  <c r="I367" i="58" s="1"/>
  <c r="H367" i="58" s="1"/>
  <c r="G367" i="58" s="1"/>
  <c r="F367" i="58" s="1"/>
  <c r="M383" i="58"/>
  <c r="N383" i="58" s="1"/>
  <c r="O383" i="58" s="1"/>
  <c r="P383" i="58" s="1"/>
  <c r="Q383" i="58" s="1"/>
  <c r="K383" i="58"/>
  <c r="J383" i="58" s="1"/>
  <c r="I383" i="58" s="1"/>
  <c r="H383" i="58" s="1"/>
  <c r="G383" i="58" s="1"/>
  <c r="F383" i="58" s="1"/>
  <c r="M329" i="58"/>
  <c r="N329" i="58" s="1"/>
  <c r="O329" i="58" s="1"/>
  <c r="P329" i="58" s="1"/>
  <c r="Q329" i="58" s="1"/>
  <c r="K329" i="58"/>
  <c r="J329" i="58" s="1"/>
  <c r="I329" i="58" s="1"/>
  <c r="H329" i="58" s="1"/>
  <c r="G329" i="58" s="1"/>
  <c r="F329" i="58" s="1"/>
  <c r="M345" i="58"/>
  <c r="N345" i="58" s="1"/>
  <c r="O345" i="58" s="1"/>
  <c r="P345" i="58" s="1"/>
  <c r="Q345" i="58" s="1"/>
  <c r="K345" i="58"/>
  <c r="J345" i="58" s="1"/>
  <c r="I345" i="58" s="1"/>
  <c r="H345" i="58" s="1"/>
  <c r="G345" i="58" s="1"/>
  <c r="F345" i="58" s="1"/>
  <c r="M291" i="58"/>
  <c r="N291" i="58" s="1"/>
  <c r="O291" i="58" s="1"/>
  <c r="P291" i="58" s="1"/>
  <c r="Q291" i="58" s="1"/>
  <c r="K291" i="58"/>
  <c r="J291" i="58" s="1"/>
  <c r="I291" i="58" s="1"/>
  <c r="H291" i="58" s="1"/>
  <c r="G291" i="58" s="1"/>
  <c r="F291" i="58" s="1"/>
  <c r="M307" i="58"/>
  <c r="N307" i="58" s="1"/>
  <c r="O307" i="58" s="1"/>
  <c r="P307" i="58" s="1"/>
  <c r="Q307" i="58" s="1"/>
  <c r="K307" i="58"/>
  <c r="J307" i="58" s="1"/>
  <c r="I307" i="58" s="1"/>
  <c r="H307" i="58" s="1"/>
  <c r="G307" i="58" s="1"/>
  <c r="F307" i="58" s="1"/>
  <c r="M269" i="58"/>
  <c r="N269" i="58" s="1"/>
  <c r="O269" i="58" s="1"/>
  <c r="P269" i="58" s="1"/>
  <c r="Q269" i="58" s="1"/>
  <c r="K269" i="58"/>
  <c r="J269" i="58" s="1"/>
  <c r="I269" i="58" s="1"/>
  <c r="H269" i="58" s="1"/>
  <c r="G269" i="58" s="1"/>
  <c r="F269" i="58" s="1"/>
  <c r="M253" i="58"/>
  <c r="N253" i="58" s="1"/>
  <c r="O253" i="58" s="1"/>
  <c r="P253" i="58" s="1"/>
  <c r="Q253" i="58" s="1"/>
  <c r="K253" i="58"/>
  <c r="J253" i="58" s="1"/>
  <c r="I253" i="58" s="1"/>
  <c r="H253" i="58" s="1"/>
  <c r="G253" i="58" s="1"/>
  <c r="F253" i="58" s="1"/>
  <c r="M231" i="58"/>
  <c r="N231" i="58" s="1"/>
  <c r="O231" i="58" s="1"/>
  <c r="P231" i="58" s="1"/>
  <c r="Q231" i="58" s="1"/>
  <c r="K231" i="58"/>
  <c r="J231" i="58" s="1"/>
  <c r="I231" i="58" s="1"/>
  <c r="H231" i="58" s="1"/>
  <c r="G231" i="58" s="1"/>
  <c r="F231" i="58" s="1"/>
  <c r="M215" i="58"/>
  <c r="N215" i="58" s="1"/>
  <c r="O215" i="58" s="1"/>
  <c r="P215" i="58" s="1"/>
  <c r="Q215" i="58" s="1"/>
  <c r="K215" i="58"/>
  <c r="J215" i="58" s="1"/>
  <c r="I215" i="58" s="1"/>
  <c r="H215" i="58" s="1"/>
  <c r="G215" i="58" s="1"/>
  <c r="F215" i="58" s="1"/>
  <c r="M177" i="58"/>
  <c r="N177" i="58" s="1"/>
  <c r="O177" i="58" s="1"/>
  <c r="P177" i="58" s="1"/>
  <c r="Q177" i="58" s="1"/>
  <c r="K177" i="58"/>
  <c r="J177" i="58" s="1"/>
  <c r="I177" i="58" s="1"/>
  <c r="H177" i="58" s="1"/>
  <c r="G177" i="58" s="1"/>
  <c r="F177" i="58" s="1"/>
  <c r="M193" i="58"/>
  <c r="N193" i="58" s="1"/>
  <c r="O193" i="58" s="1"/>
  <c r="P193" i="58" s="1"/>
  <c r="Q193" i="58" s="1"/>
  <c r="K193" i="58"/>
  <c r="J193" i="58" s="1"/>
  <c r="I193" i="58" s="1"/>
  <c r="H193" i="58" s="1"/>
  <c r="G193" i="58" s="1"/>
  <c r="F193" i="58" s="1"/>
  <c r="M139" i="58"/>
  <c r="N139" i="58" s="1"/>
  <c r="O139" i="58" s="1"/>
  <c r="P139" i="58" s="1"/>
  <c r="Q139" i="58" s="1"/>
  <c r="K139" i="58"/>
  <c r="J139" i="58" s="1"/>
  <c r="I139" i="58" s="1"/>
  <c r="H139" i="58" s="1"/>
  <c r="G139" i="58" s="1"/>
  <c r="F139" i="58" s="1"/>
  <c r="M155" i="58"/>
  <c r="N155" i="58" s="1"/>
  <c r="O155" i="58" s="1"/>
  <c r="P155" i="58" s="1"/>
  <c r="Q155" i="58" s="1"/>
  <c r="K155" i="58"/>
  <c r="J155" i="58" s="1"/>
  <c r="I155" i="58" s="1"/>
  <c r="H155" i="58" s="1"/>
  <c r="G155" i="58" s="1"/>
  <c r="F155" i="58" s="1"/>
  <c r="K117" i="58"/>
  <c r="J117" i="58" s="1"/>
  <c r="I117" i="58" s="1"/>
  <c r="H117" i="58" s="1"/>
  <c r="G117" i="58" s="1"/>
  <c r="F117" i="58" s="1"/>
  <c r="M63" i="58"/>
  <c r="N63" i="58" s="1"/>
  <c r="O63" i="58" s="1"/>
  <c r="P63" i="58" s="1"/>
  <c r="Q63" i="58" s="1"/>
  <c r="K63" i="58"/>
  <c r="J63" i="58" s="1"/>
  <c r="I63" i="58" s="1"/>
  <c r="H63" i="58" s="1"/>
  <c r="G63" i="58" s="1"/>
  <c r="F63" i="58" s="1"/>
  <c r="M79" i="58"/>
  <c r="N79" i="58" s="1"/>
  <c r="O79" i="58" s="1"/>
  <c r="P79" i="58" s="1"/>
  <c r="Q79" i="58" s="1"/>
  <c r="K79" i="58"/>
  <c r="J79" i="58" s="1"/>
  <c r="I79" i="58" s="1"/>
  <c r="H79" i="58" s="1"/>
  <c r="G79" i="58" s="1"/>
  <c r="F79" i="58" s="1"/>
  <c r="AD459" i="50"/>
  <c r="AD460" i="50"/>
  <c r="AD461" i="50"/>
  <c r="AD462" i="50"/>
  <c r="AD463" i="50"/>
  <c r="AD464" i="50"/>
  <c r="AD465" i="50"/>
  <c r="AD466" i="50"/>
  <c r="AD467" i="50"/>
  <c r="AD468" i="50"/>
  <c r="AC468" i="50" s="1"/>
  <c r="AD469" i="50"/>
  <c r="AD470" i="50"/>
  <c r="AC470" i="50" s="1"/>
  <c r="AD471" i="50"/>
  <c r="AD472" i="50"/>
  <c r="AD473" i="50"/>
  <c r="AD474" i="50"/>
  <c r="AC474" i="50" s="1"/>
  <c r="AD475" i="50"/>
  <c r="AD476" i="50"/>
  <c r="AC476" i="50" s="1"/>
  <c r="AD477" i="50"/>
  <c r="AD458" i="50"/>
  <c r="AB468" i="50"/>
  <c r="D493" i="50" s="1"/>
  <c r="AE468" i="50"/>
  <c r="AB469" i="50"/>
  <c r="D494" i="50" s="1"/>
  <c r="Y494" i="50" s="1"/>
  <c r="AE469" i="50"/>
  <c r="AB470" i="50"/>
  <c r="D495" i="50" s="1"/>
  <c r="AE470" i="50"/>
  <c r="AB471" i="50"/>
  <c r="D496" i="50" s="1"/>
  <c r="AE471" i="50"/>
  <c r="AB472" i="50"/>
  <c r="D497" i="50" s="1"/>
  <c r="AC472" i="50"/>
  <c r="AE472" i="50"/>
  <c r="AF472" i="50"/>
  <c r="AB473" i="50"/>
  <c r="D498" i="50" s="1"/>
  <c r="AE473" i="50"/>
  <c r="AB474" i="50"/>
  <c r="D499" i="50" s="1"/>
  <c r="AE474" i="50"/>
  <c r="AB475" i="50"/>
  <c r="D500" i="50" s="1"/>
  <c r="Y500" i="50" s="1"/>
  <c r="AE475" i="50"/>
  <c r="AB476" i="50"/>
  <c r="D501" i="50" s="1"/>
  <c r="AE476" i="50"/>
  <c r="AB477" i="50"/>
  <c r="D502" i="50" s="1"/>
  <c r="Y502" i="50" s="1"/>
  <c r="AE477" i="50"/>
  <c r="G468" i="50"/>
  <c r="H468" i="50"/>
  <c r="J468" i="50"/>
  <c r="AA493" i="50"/>
  <c r="G469" i="50"/>
  <c r="H469" i="50"/>
  <c r="J469" i="50"/>
  <c r="AA494" i="50"/>
  <c r="G470" i="50"/>
  <c r="H470" i="50"/>
  <c r="J470" i="50"/>
  <c r="AA495" i="50"/>
  <c r="G471" i="50"/>
  <c r="H471" i="50"/>
  <c r="J471" i="50"/>
  <c r="AA496" i="50"/>
  <c r="G472" i="50"/>
  <c r="H472" i="50"/>
  <c r="J472" i="50"/>
  <c r="AA497" i="50"/>
  <c r="G473" i="50"/>
  <c r="H473" i="50"/>
  <c r="J473" i="50"/>
  <c r="AA498" i="50"/>
  <c r="G474" i="50"/>
  <c r="H474" i="50"/>
  <c r="J474" i="50"/>
  <c r="AA499" i="50"/>
  <c r="G475" i="50"/>
  <c r="H475" i="50"/>
  <c r="J475" i="50"/>
  <c r="AA500" i="50"/>
  <c r="G476" i="50"/>
  <c r="H476" i="50"/>
  <c r="J476" i="50"/>
  <c r="AA501" i="50"/>
  <c r="G477" i="50"/>
  <c r="H477" i="50"/>
  <c r="J477" i="50"/>
  <c r="AA502" i="50"/>
  <c r="F831" i="50"/>
  <c r="G831" i="50" s="1"/>
  <c r="H831" i="50" s="1"/>
  <c r="I831" i="50" s="1"/>
  <c r="J831" i="50" s="1"/>
  <c r="K831" i="50" s="1"/>
  <c r="F814" i="50"/>
  <c r="G814" i="50" s="1"/>
  <c r="H814" i="50" s="1"/>
  <c r="I814" i="50" s="1"/>
  <c r="J814" i="50" s="1"/>
  <c r="K814" i="50" s="1"/>
  <c r="F797" i="50"/>
  <c r="G797" i="50" s="1"/>
  <c r="H797" i="50" s="1"/>
  <c r="I797" i="50" s="1"/>
  <c r="J797" i="50" s="1"/>
  <c r="K797" i="50" s="1"/>
  <c r="F780" i="50"/>
  <c r="G780" i="50" s="1"/>
  <c r="H780" i="50" s="1"/>
  <c r="I780" i="50" s="1"/>
  <c r="J780" i="50" s="1"/>
  <c r="K780" i="50" s="1"/>
  <c r="F763" i="50"/>
  <c r="G763" i="50" s="1"/>
  <c r="H763" i="50" s="1"/>
  <c r="I763" i="50" s="1"/>
  <c r="J763" i="50" s="1"/>
  <c r="K763" i="50" s="1"/>
  <c r="F746" i="50"/>
  <c r="G746" i="50" s="1"/>
  <c r="H746" i="50" s="1"/>
  <c r="I746" i="50" s="1"/>
  <c r="J746" i="50" s="1"/>
  <c r="K746" i="50" s="1"/>
  <c r="F729" i="50"/>
  <c r="G729" i="50" s="1"/>
  <c r="H729" i="50" s="1"/>
  <c r="I729" i="50" s="1"/>
  <c r="J729" i="50" s="1"/>
  <c r="K729" i="50" s="1"/>
  <c r="F712" i="50"/>
  <c r="G712" i="50" s="1"/>
  <c r="H712" i="50" s="1"/>
  <c r="I712" i="50" s="1"/>
  <c r="J712" i="50" s="1"/>
  <c r="K712" i="50" s="1"/>
  <c r="F695" i="50"/>
  <c r="G695" i="50" s="1"/>
  <c r="H695" i="50" s="1"/>
  <c r="I695" i="50" s="1"/>
  <c r="J695" i="50" s="1"/>
  <c r="K695" i="50" s="1"/>
  <c r="F678" i="50"/>
  <c r="G678" i="50" s="1"/>
  <c r="H678" i="50" s="1"/>
  <c r="I678" i="50" s="1"/>
  <c r="J678" i="50" s="1"/>
  <c r="K678" i="50" s="1"/>
  <c r="AF468" i="50" l="1"/>
  <c r="AF476" i="50"/>
  <c r="Y496" i="50"/>
  <c r="AF470" i="50"/>
  <c r="Y498" i="50"/>
  <c r="AF474" i="50"/>
  <c r="J501" i="50"/>
  <c r="Z501" i="50" s="1"/>
  <c r="C816" i="50" s="1"/>
  <c r="C824" i="50" s="1"/>
  <c r="J499" i="50"/>
  <c r="Z499" i="50" s="1"/>
  <c r="C782" i="50" s="1"/>
  <c r="C790" i="50" s="1"/>
  <c r="J497" i="50"/>
  <c r="Z497" i="50" s="1"/>
  <c r="C748" i="50" s="1"/>
  <c r="C756" i="50" s="1"/>
  <c r="J495" i="50"/>
  <c r="Z495" i="50" s="1"/>
  <c r="C714" i="50" s="1"/>
  <c r="C722" i="50" s="1"/>
  <c r="D57" i="58"/>
  <c r="Y501" i="50"/>
  <c r="Y499" i="50"/>
  <c r="Y497" i="50"/>
  <c r="Y495" i="50"/>
  <c r="AC475" i="50"/>
  <c r="J500" i="50"/>
  <c r="Z500" i="50" s="1"/>
  <c r="C799" i="50" s="1"/>
  <c r="C807" i="50" s="1"/>
  <c r="AC471" i="50"/>
  <c r="J496" i="50"/>
  <c r="Z496" i="50" s="1"/>
  <c r="C731" i="50" s="1"/>
  <c r="C739" i="50" s="1"/>
  <c r="AC477" i="50"/>
  <c r="J502" i="50"/>
  <c r="Z502" i="50" s="1"/>
  <c r="C833" i="50" s="1"/>
  <c r="C841" i="50" s="1"/>
  <c r="AC473" i="50"/>
  <c r="J498" i="50"/>
  <c r="Z498" i="50" s="1"/>
  <c r="C765" i="50" s="1"/>
  <c r="C773" i="50" s="1"/>
  <c r="AC469" i="50"/>
  <c r="J494" i="50"/>
  <c r="Z494" i="50" s="1"/>
  <c r="C697" i="50" s="1"/>
  <c r="C705" i="50" s="1"/>
  <c r="J493" i="50"/>
  <c r="Z493" i="50" s="1"/>
  <c r="C680" i="50" s="1"/>
  <c r="C688" i="50" s="1"/>
  <c r="AF477" i="50"/>
  <c r="AF475" i="50"/>
  <c r="AF473" i="50"/>
  <c r="AF471" i="50"/>
  <c r="AF469" i="50"/>
  <c r="Y493" i="50"/>
  <c r="X114" i="50" l="1"/>
  <c r="X115" i="50" s="1"/>
  <c r="X116" i="50" s="1"/>
  <c r="X117" i="50" s="1"/>
  <c r="X118" i="50" s="1"/>
  <c r="X119" i="50" s="1"/>
  <c r="R29" i="50"/>
  <c r="S29" i="50" s="1"/>
  <c r="F29" i="50"/>
  <c r="G29" i="50" s="1"/>
  <c r="AV28" i="14"/>
  <c r="AV29" i="14"/>
  <c r="AV30" i="14"/>
  <c r="AV31" i="14"/>
  <c r="AV32" i="14"/>
  <c r="AV33" i="14"/>
  <c r="AV34" i="14"/>
  <c r="AV35" i="14"/>
  <c r="AV36" i="14"/>
  <c r="AV27" i="14"/>
  <c r="AV8" i="14"/>
  <c r="AV9" i="14"/>
  <c r="AV10" i="14"/>
  <c r="AV11" i="14"/>
  <c r="AV12" i="14"/>
  <c r="AV13" i="14"/>
  <c r="AV14" i="14"/>
  <c r="AV15" i="14"/>
  <c r="AV16" i="14"/>
  <c r="AV7" i="14"/>
  <c r="T29" i="50" l="1"/>
  <c r="H29" i="50"/>
  <c r="AW7" i="14"/>
  <c r="AW8" i="14" l="1"/>
  <c r="U29" i="50"/>
  <c r="I29" i="50"/>
  <c r="W117" i="37"/>
  <c r="N550" i="60"/>
  <c r="E550" i="60" s="1"/>
  <c r="N528" i="60"/>
  <c r="E528" i="60" s="1"/>
  <c r="N506" i="60"/>
  <c r="E506" i="60" s="1"/>
  <c r="N484" i="60"/>
  <c r="E484" i="60" s="1"/>
  <c r="N462" i="60"/>
  <c r="E462" i="60" s="1"/>
  <c r="N440" i="60"/>
  <c r="E440" i="60" s="1"/>
  <c r="N418" i="60"/>
  <c r="E418" i="60" s="1"/>
  <c r="N396" i="60"/>
  <c r="E396" i="60" s="1"/>
  <c r="N374" i="60"/>
  <c r="E374" i="60" s="1"/>
  <c r="N352" i="60"/>
  <c r="E352" i="60" s="1"/>
  <c r="N330" i="60"/>
  <c r="E330" i="60" s="1"/>
  <c r="N308" i="60"/>
  <c r="E308" i="60" s="1"/>
  <c r="N286" i="60"/>
  <c r="E286" i="60" s="1"/>
  <c r="N264" i="60"/>
  <c r="E264" i="60" s="1"/>
  <c r="N242" i="60"/>
  <c r="E242" i="60" s="1"/>
  <c r="N220" i="60"/>
  <c r="E220" i="60" s="1"/>
  <c r="N198" i="60"/>
  <c r="E198" i="60" s="1"/>
  <c r="N176" i="60"/>
  <c r="E176" i="60" s="1"/>
  <c r="N154" i="60"/>
  <c r="E154" i="60" s="1"/>
  <c r="N132" i="60"/>
  <c r="E132" i="60"/>
  <c r="N110" i="60"/>
  <c r="E110" i="60" s="1"/>
  <c r="N88" i="60"/>
  <c r="E88" i="60" s="1"/>
  <c r="N66" i="60"/>
  <c r="E66" i="60" s="1"/>
  <c r="N44" i="60"/>
  <c r="E44" i="60" s="1"/>
  <c r="N22" i="60"/>
  <c r="E22" i="60" s="1"/>
  <c r="AW9" i="14" l="1"/>
  <c r="V29" i="50"/>
  <c r="J29" i="50"/>
  <c r="V569" i="60"/>
  <c r="W569" i="60" s="1"/>
  <c r="X559" i="60" s="1"/>
  <c r="O560" i="60"/>
  <c r="N556" i="60"/>
  <c r="O556" i="60" s="1"/>
  <c r="P556" i="60" s="1"/>
  <c r="Q556" i="60" s="1"/>
  <c r="R556" i="60" s="1"/>
  <c r="S556" i="60" s="1"/>
  <c r="F556" i="60"/>
  <c r="G556" i="60" s="1"/>
  <c r="H556" i="60" s="1"/>
  <c r="I556" i="60" s="1"/>
  <c r="J556" i="60" s="1"/>
  <c r="K556" i="60" s="1"/>
  <c r="C554" i="60"/>
  <c r="AE62" i="14"/>
  <c r="B550" i="60"/>
  <c r="BA74" i="14" s="1"/>
  <c r="BA113" i="14" s="1"/>
  <c r="V547" i="60"/>
  <c r="W547" i="60" s="1"/>
  <c r="O538" i="60"/>
  <c r="N534" i="60"/>
  <c r="O534" i="60" s="1"/>
  <c r="P534" i="60" s="1"/>
  <c r="Q534" i="60" s="1"/>
  <c r="R534" i="60" s="1"/>
  <c r="S534" i="60" s="1"/>
  <c r="F534" i="60"/>
  <c r="G534" i="60" s="1"/>
  <c r="H534" i="60" s="1"/>
  <c r="I534" i="60" s="1"/>
  <c r="J534" i="60" s="1"/>
  <c r="K534" i="60" s="1"/>
  <c r="C532" i="60"/>
  <c r="AE61" i="14"/>
  <c r="B528" i="60"/>
  <c r="BA73" i="14" s="1"/>
  <c r="BA112" i="14" s="1"/>
  <c r="V525" i="60"/>
  <c r="W525" i="60" s="1"/>
  <c r="X515" i="60" s="1"/>
  <c r="O516" i="60"/>
  <c r="N512" i="60"/>
  <c r="O512" i="60" s="1"/>
  <c r="P512" i="60" s="1"/>
  <c r="Q512" i="60" s="1"/>
  <c r="R512" i="60" s="1"/>
  <c r="S512" i="60" s="1"/>
  <c r="F512" i="60"/>
  <c r="G512" i="60" s="1"/>
  <c r="H512" i="60" s="1"/>
  <c r="I512" i="60" s="1"/>
  <c r="J512" i="60" s="1"/>
  <c r="K512" i="60" s="1"/>
  <c r="C510" i="60"/>
  <c r="AE60" i="14"/>
  <c r="B506" i="60"/>
  <c r="BA72" i="14" s="1"/>
  <c r="BA111" i="14" s="1"/>
  <c r="V503" i="60"/>
  <c r="W503" i="60" s="1"/>
  <c r="O494" i="60"/>
  <c r="N490" i="60"/>
  <c r="O490" i="60" s="1"/>
  <c r="P490" i="60" s="1"/>
  <c r="Q490" i="60" s="1"/>
  <c r="R490" i="60" s="1"/>
  <c r="S490" i="60" s="1"/>
  <c r="F490" i="60"/>
  <c r="G490" i="60" s="1"/>
  <c r="H490" i="60" s="1"/>
  <c r="I490" i="60" s="1"/>
  <c r="J490" i="60" s="1"/>
  <c r="K490" i="60" s="1"/>
  <c r="C488" i="60"/>
  <c r="AE59" i="14"/>
  <c r="B484" i="60"/>
  <c r="BA71" i="14" s="1"/>
  <c r="BA110" i="14" s="1"/>
  <c r="V481" i="60"/>
  <c r="W481" i="60" s="1"/>
  <c r="O472" i="60"/>
  <c r="N468" i="60"/>
  <c r="O468" i="60" s="1"/>
  <c r="P468" i="60" s="1"/>
  <c r="Q468" i="60" s="1"/>
  <c r="R468" i="60" s="1"/>
  <c r="S468" i="60" s="1"/>
  <c r="F468" i="60"/>
  <c r="G468" i="60" s="1"/>
  <c r="H468" i="60" s="1"/>
  <c r="I468" i="60" s="1"/>
  <c r="J468" i="60" s="1"/>
  <c r="K468" i="60" s="1"/>
  <c r="C466" i="60"/>
  <c r="AE58" i="14"/>
  <c r="B462" i="60"/>
  <c r="BA70" i="14" s="1"/>
  <c r="BA109" i="14" s="1"/>
  <c r="V459" i="60"/>
  <c r="W459" i="60" s="1"/>
  <c r="X449" i="60" s="1"/>
  <c r="O450" i="60"/>
  <c r="N446" i="60"/>
  <c r="O446" i="60" s="1"/>
  <c r="P446" i="60" s="1"/>
  <c r="Q446" i="60" s="1"/>
  <c r="R446" i="60" s="1"/>
  <c r="S446" i="60" s="1"/>
  <c r="F446" i="60"/>
  <c r="G446" i="60" s="1"/>
  <c r="H446" i="60" s="1"/>
  <c r="I446" i="60" s="1"/>
  <c r="J446" i="60" s="1"/>
  <c r="K446" i="60" s="1"/>
  <c r="C444" i="60"/>
  <c r="D444" i="60" s="1"/>
  <c r="D445" i="60" s="1"/>
  <c r="AE57" i="14"/>
  <c r="B440" i="60"/>
  <c r="BA69" i="14" s="1"/>
  <c r="BA108" i="14" s="1"/>
  <c r="V437" i="60"/>
  <c r="W437" i="60" s="1"/>
  <c r="Y427" i="60" s="1"/>
  <c r="O428" i="60"/>
  <c r="N424" i="60"/>
  <c r="O424" i="60" s="1"/>
  <c r="P424" i="60" s="1"/>
  <c r="Q424" i="60" s="1"/>
  <c r="R424" i="60" s="1"/>
  <c r="S424" i="60" s="1"/>
  <c r="F424" i="60"/>
  <c r="G424" i="60" s="1"/>
  <c r="H424" i="60" s="1"/>
  <c r="I424" i="60" s="1"/>
  <c r="J424" i="60" s="1"/>
  <c r="K424" i="60" s="1"/>
  <c r="C422" i="60"/>
  <c r="AE56" i="14"/>
  <c r="B418" i="60"/>
  <c r="BA68" i="14" s="1"/>
  <c r="BA107" i="14" s="1"/>
  <c r="V415" i="60"/>
  <c r="W415" i="60" s="1"/>
  <c r="Y405" i="60" s="1"/>
  <c r="O406" i="60"/>
  <c r="N402" i="60"/>
  <c r="O402" i="60" s="1"/>
  <c r="P402" i="60" s="1"/>
  <c r="Q402" i="60" s="1"/>
  <c r="R402" i="60" s="1"/>
  <c r="S402" i="60" s="1"/>
  <c r="F402" i="60"/>
  <c r="G402" i="60" s="1"/>
  <c r="H402" i="60" s="1"/>
  <c r="I402" i="60" s="1"/>
  <c r="J402" i="60" s="1"/>
  <c r="K402" i="60" s="1"/>
  <c r="C400" i="60"/>
  <c r="AE55" i="14"/>
  <c r="B396" i="60"/>
  <c r="BA67" i="14" s="1"/>
  <c r="BA106" i="14" s="1"/>
  <c r="V393" i="60"/>
  <c r="W393" i="60" s="1"/>
  <c r="Y383" i="60" s="1"/>
  <c r="O384" i="60"/>
  <c r="N380" i="60"/>
  <c r="O380" i="60" s="1"/>
  <c r="P380" i="60" s="1"/>
  <c r="Q380" i="60" s="1"/>
  <c r="R380" i="60" s="1"/>
  <c r="S380" i="60" s="1"/>
  <c r="F380" i="60"/>
  <c r="G380" i="60" s="1"/>
  <c r="H380" i="60" s="1"/>
  <c r="I380" i="60" s="1"/>
  <c r="J380" i="60" s="1"/>
  <c r="K380" i="60" s="1"/>
  <c r="C378" i="60"/>
  <c r="AE54" i="14"/>
  <c r="B374" i="60"/>
  <c r="BA66" i="14" s="1"/>
  <c r="BA105" i="14" s="1"/>
  <c r="V371" i="60"/>
  <c r="W371" i="60" s="1"/>
  <c r="O362" i="60"/>
  <c r="N358" i="60"/>
  <c r="O358" i="60" s="1"/>
  <c r="P358" i="60" s="1"/>
  <c r="Q358" i="60" s="1"/>
  <c r="R358" i="60" s="1"/>
  <c r="S358" i="60" s="1"/>
  <c r="F358" i="60"/>
  <c r="G358" i="60" s="1"/>
  <c r="H358" i="60" s="1"/>
  <c r="I358" i="60" s="1"/>
  <c r="J358" i="60" s="1"/>
  <c r="K358" i="60" s="1"/>
  <c r="C356" i="60"/>
  <c r="AE53" i="14"/>
  <c r="B352" i="60"/>
  <c r="BA65" i="14" s="1"/>
  <c r="BA104" i="14" s="1"/>
  <c r="V349" i="60"/>
  <c r="W349" i="60" s="1"/>
  <c r="W339" i="60" s="1"/>
  <c r="O340" i="60"/>
  <c r="N336" i="60"/>
  <c r="O336" i="60" s="1"/>
  <c r="P336" i="60" s="1"/>
  <c r="Q336" i="60" s="1"/>
  <c r="R336" i="60" s="1"/>
  <c r="S336" i="60" s="1"/>
  <c r="F336" i="60"/>
  <c r="G336" i="60" s="1"/>
  <c r="H336" i="60" s="1"/>
  <c r="I336" i="60" s="1"/>
  <c r="J336" i="60" s="1"/>
  <c r="K336" i="60" s="1"/>
  <c r="C334" i="60"/>
  <c r="AE52" i="14"/>
  <c r="B330" i="60"/>
  <c r="BA64" i="14" s="1"/>
  <c r="BA103" i="14" s="1"/>
  <c r="V327" i="60"/>
  <c r="W327" i="60" s="1"/>
  <c r="AA317" i="60" s="1"/>
  <c r="O318" i="60"/>
  <c r="N314" i="60"/>
  <c r="O314" i="60" s="1"/>
  <c r="P314" i="60" s="1"/>
  <c r="Q314" i="60" s="1"/>
  <c r="R314" i="60" s="1"/>
  <c r="S314" i="60" s="1"/>
  <c r="F314" i="60"/>
  <c r="G314" i="60" s="1"/>
  <c r="H314" i="60" s="1"/>
  <c r="I314" i="60" s="1"/>
  <c r="J314" i="60" s="1"/>
  <c r="K314" i="60" s="1"/>
  <c r="C312" i="60"/>
  <c r="AE51" i="14"/>
  <c r="B308" i="60"/>
  <c r="BA63" i="14" s="1"/>
  <c r="BA102" i="14" s="1"/>
  <c r="V305" i="60"/>
  <c r="W305" i="60" s="1"/>
  <c r="O296" i="60"/>
  <c r="N292" i="60"/>
  <c r="O292" i="60" s="1"/>
  <c r="P292" i="60" s="1"/>
  <c r="Q292" i="60" s="1"/>
  <c r="R292" i="60" s="1"/>
  <c r="S292" i="60" s="1"/>
  <c r="F292" i="60"/>
  <c r="G292" i="60" s="1"/>
  <c r="H292" i="60" s="1"/>
  <c r="I292" i="60" s="1"/>
  <c r="J292" i="60" s="1"/>
  <c r="K292" i="60" s="1"/>
  <c r="C290" i="60"/>
  <c r="AE50" i="14"/>
  <c r="B286" i="60"/>
  <c r="BA62" i="14" s="1"/>
  <c r="BA101" i="14" s="1"/>
  <c r="V283" i="60"/>
  <c r="W283" i="60" s="1"/>
  <c r="AA273" i="60" s="1"/>
  <c r="O274" i="60"/>
  <c r="N270" i="60"/>
  <c r="O270" i="60" s="1"/>
  <c r="P270" i="60" s="1"/>
  <c r="Q270" i="60" s="1"/>
  <c r="R270" i="60" s="1"/>
  <c r="S270" i="60" s="1"/>
  <c r="F270" i="60"/>
  <c r="G270" i="60" s="1"/>
  <c r="H270" i="60" s="1"/>
  <c r="I270" i="60" s="1"/>
  <c r="J270" i="60" s="1"/>
  <c r="K270" i="60" s="1"/>
  <c r="C268" i="60"/>
  <c r="AE49" i="14"/>
  <c r="B264" i="60"/>
  <c r="BA61" i="14" s="1"/>
  <c r="BA100" i="14" s="1"/>
  <c r="V261" i="60"/>
  <c r="W261" i="60" s="1"/>
  <c r="V251" i="60" s="1"/>
  <c r="V252" i="60" s="1"/>
  <c r="V258" i="60" s="1"/>
  <c r="O252" i="60"/>
  <c r="N248" i="60"/>
  <c r="O248" i="60" s="1"/>
  <c r="P248" i="60" s="1"/>
  <c r="Q248" i="60" s="1"/>
  <c r="R248" i="60" s="1"/>
  <c r="S248" i="60" s="1"/>
  <c r="F248" i="60"/>
  <c r="G248" i="60" s="1"/>
  <c r="H248" i="60" s="1"/>
  <c r="I248" i="60" s="1"/>
  <c r="J248" i="60" s="1"/>
  <c r="K248" i="60" s="1"/>
  <c r="C246" i="60"/>
  <c r="AE48" i="14"/>
  <c r="B242" i="60"/>
  <c r="BA60" i="14" s="1"/>
  <c r="BA99" i="14" s="1"/>
  <c r="V239" i="60"/>
  <c r="W239" i="60" s="1"/>
  <c r="O230" i="60"/>
  <c r="N226" i="60"/>
  <c r="O226" i="60" s="1"/>
  <c r="P226" i="60" s="1"/>
  <c r="Q226" i="60" s="1"/>
  <c r="R226" i="60" s="1"/>
  <c r="S226" i="60" s="1"/>
  <c r="F226" i="60"/>
  <c r="G226" i="60" s="1"/>
  <c r="H226" i="60" s="1"/>
  <c r="I226" i="60" s="1"/>
  <c r="J226" i="60" s="1"/>
  <c r="K226" i="60" s="1"/>
  <c r="C224" i="60"/>
  <c r="AE47" i="14"/>
  <c r="B220" i="60"/>
  <c r="BA59" i="14" s="1"/>
  <c r="BA98" i="14" s="1"/>
  <c r="V217" i="60"/>
  <c r="W217" i="60" s="1"/>
  <c r="AA207" i="60" s="1"/>
  <c r="O208" i="60"/>
  <c r="N204" i="60"/>
  <c r="O204" i="60" s="1"/>
  <c r="P204" i="60" s="1"/>
  <c r="Q204" i="60" s="1"/>
  <c r="R204" i="60" s="1"/>
  <c r="S204" i="60" s="1"/>
  <c r="F204" i="60"/>
  <c r="G204" i="60" s="1"/>
  <c r="H204" i="60" s="1"/>
  <c r="I204" i="60" s="1"/>
  <c r="J204" i="60" s="1"/>
  <c r="K204" i="60" s="1"/>
  <c r="C202" i="60"/>
  <c r="AE46" i="14"/>
  <c r="B198" i="60"/>
  <c r="BA58" i="14" s="1"/>
  <c r="BA97" i="14" s="1"/>
  <c r="V195" i="60"/>
  <c r="W195" i="60" s="1"/>
  <c r="Y185" i="60" s="1"/>
  <c r="O186" i="60"/>
  <c r="N182" i="60"/>
  <c r="O182" i="60" s="1"/>
  <c r="P182" i="60" s="1"/>
  <c r="Q182" i="60" s="1"/>
  <c r="R182" i="60" s="1"/>
  <c r="S182" i="60" s="1"/>
  <c r="F182" i="60"/>
  <c r="G182" i="60" s="1"/>
  <c r="H182" i="60" s="1"/>
  <c r="I182" i="60" s="1"/>
  <c r="J182" i="60" s="1"/>
  <c r="K182" i="60" s="1"/>
  <c r="C180" i="60"/>
  <c r="AE45" i="14"/>
  <c r="B176" i="60"/>
  <c r="BA57" i="14" s="1"/>
  <c r="BA96" i="14" s="1"/>
  <c r="V173" i="60"/>
  <c r="W173" i="60" s="1"/>
  <c r="O164" i="60"/>
  <c r="N160" i="60"/>
  <c r="O160" i="60" s="1"/>
  <c r="P160" i="60" s="1"/>
  <c r="Q160" i="60" s="1"/>
  <c r="R160" i="60" s="1"/>
  <c r="S160" i="60" s="1"/>
  <c r="F160" i="60"/>
  <c r="G160" i="60" s="1"/>
  <c r="H160" i="60" s="1"/>
  <c r="I160" i="60" s="1"/>
  <c r="J160" i="60" s="1"/>
  <c r="K160" i="60" s="1"/>
  <c r="C158" i="60"/>
  <c r="AE44" i="14"/>
  <c r="B154" i="60"/>
  <c r="BA56" i="14" s="1"/>
  <c r="BA95" i="14" s="1"/>
  <c r="V151" i="60"/>
  <c r="W151" i="60" s="1"/>
  <c r="X141" i="60" s="1"/>
  <c r="O142" i="60"/>
  <c r="N138" i="60"/>
  <c r="O138" i="60" s="1"/>
  <c r="P138" i="60" s="1"/>
  <c r="Q138" i="60" s="1"/>
  <c r="R138" i="60" s="1"/>
  <c r="S138" i="60" s="1"/>
  <c r="F138" i="60"/>
  <c r="G138" i="60" s="1"/>
  <c r="H138" i="60" s="1"/>
  <c r="I138" i="60" s="1"/>
  <c r="J138" i="60" s="1"/>
  <c r="K138" i="60" s="1"/>
  <c r="C136" i="60"/>
  <c r="AE43" i="14"/>
  <c r="B132" i="60"/>
  <c r="BA55" i="14" s="1"/>
  <c r="BA94" i="14" s="1"/>
  <c r="V129" i="60"/>
  <c r="W129" i="60" s="1"/>
  <c r="Y119" i="60" s="1"/>
  <c r="O120" i="60"/>
  <c r="N116" i="60"/>
  <c r="O116" i="60" s="1"/>
  <c r="P116" i="60" s="1"/>
  <c r="Q116" i="60" s="1"/>
  <c r="R116" i="60" s="1"/>
  <c r="S116" i="60" s="1"/>
  <c r="F116" i="60"/>
  <c r="G116" i="60" s="1"/>
  <c r="H116" i="60" s="1"/>
  <c r="I116" i="60" s="1"/>
  <c r="J116" i="60" s="1"/>
  <c r="K116" i="60" s="1"/>
  <c r="C114" i="60"/>
  <c r="AE42" i="14"/>
  <c r="B110" i="60"/>
  <c r="BA54" i="14" s="1"/>
  <c r="BA93" i="14" s="1"/>
  <c r="V107" i="60"/>
  <c r="W107" i="60" s="1"/>
  <c r="Y97" i="60" s="1"/>
  <c r="O98" i="60"/>
  <c r="N94" i="60"/>
  <c r="O94" i="60" s="1"/>
  <c r="P94" i="60" s="1"/>
  <c r="Q94" i="60" s="1"/>
  <c r="R94" i="60" s="1"/>
  <c r="S94" i="60" s="1"/>
  <c r="F94" i="60"/>
  <c r="G94" i="60" s="1"/>
  <c r="H94" i="60" s="1"/>
  <c r="I94" i="60" s="1"/>
  <c r="J94" i="60" s="1"/>
  <c r="K94" i="60" s="1"/>
  <c r="C92" i="60"/>
  <c r="AE41" i="14"/>
  <c r="B88" i="60"/>
  <c r="BA53" i="14" s="1"/>
  <c r="BA92" i="14" s="1"/>
  <c r="V85" i="60"/>
  <c r="W85" i="60" s="1"/>
  <c r="AA75" i="60" s="1"/>
  <c r="O76" i="60"/>
  <c r="N72" i="60"/>
  <c r="O72" i="60" s="1"/>
  <c r="P72" i="60" s="1"/>
  <c r="Q72" i="60" s="1"/>
  <c r="R72" i="60" s="1"/>
  <c r="S72" i="60" s="1"/>
  <c r="F72" i="60"/>
  <c r="G72" i="60" s="1"/>
  <c r="H72" i="60" s="1"/>
  <c r="I72" i="60" s="1"/>
  <c r="J72" i="60" s="1"/>
  <c r="K72" i="60" s="1"/>
  <c r="C70" i="60"/>
  <c r="AE40" i="14"/>
  <c r="B66" i="60"/>
  <c r="BA52" i="14" s="1"/>
  <c r="BA91" i="14" s="1"/>
  <c r="V63" i="60"/>
  <c r="W63" i="60" s="1"/>
  <c r="O54" i="60"/>
  <c r="N50" i="60"/>
  <c r="O50" i="60" s="1"/>
  <c r="P50" i="60" s="1"/>
  <c r="Q50" i="60" s="1"/>
  <c r="R50" i="60" s="1"/>
  <c r="S50" i="60" s="1"/>
  <c r="F50" i="60"/>
  <c r="G50" i="60" s="1"/>
  <c r="H50" i="60" s="1"/>
  <c r="I50" i="60" s="1"/>
  <c r="J50" i="60" s="1"/>
  <c r="K50" i="60" s="1"/>
  <c r="C48" i="60"/>
  <c r="AE39" i="14"/>
  <c r="B44" i="60"/>
  <c r="BA51" i="14" s="1"/>
  <c r="BA90" i="14" s="1"/>
  <c r="Z515" i="60" l="1"/>
  <c r="Z559" i="60"/>
  <c r="Z251" i="60"/>
  <c r="AA427" i="60"/>
  <c r="W317" i="60"/>
  <c r="Y75" i="60"/>
  <c r="AW10" i="14"/>
  <c r="K29" i="50"/>
  <c r="AA185" i="60"/>
  <c r="X207" i="60"/>
  <c r="V559" i="60"/>
  <c r="V560" i="60" s="1"/>
  <c r="V561" i="60" s="1"/>
  <c r="V563" i="60" s="1"/>
  <c r="V567" i="60" s="1"/>
  <c r="X295" i="60"/>
  <c r="Z295" i="60"/>
  <c r="W273" i="60"/>
  <c r="W427" i="60"/>
  <c r="V515" i="60"/>
  <c r="V516" i="60" s="1"/>
  <c r="V517" i="60" s="1"/>
  <c r="V519" i="60" s="1"/>
  <c r="X537" i="60"/>
  <c r="Z537" i="60"/>
  <c r="V471" i="60"/>
  <c r="V472" i="60" s="1"/>
  <c r="V478" i="60" s="1"/>
  <c r="Z471" i="60"/>
  <c r="AA339" i="60"/>
  <c r="W185" i="60"/>
  <c r="Y361" i="60"/>
  <c r="W361" i="60"/>
  <c r="AA361" i="60"/>
  <c r="V207" i="60"/>
  <c r="V208" i="60" s="1"/>
  <c r="V214" i="60" s="1"/>
  <c r="Z207" i="60"/>
  <c r="V537" i="60"/>
  <c r="V538" i="60" s="1"/>
  <c r="V539" i="60" s="1"/>
  <c r="V541" i="60" s="1"/>
  <c r="AA141" i="60"/>
  <c r="Z141" i="60"/>
  <c r="V141" i="60"/>
  <c r="V142" i="60" s="1"/>
  <c r="V148" i="60" s="1"/>
  <c r="AA251" i="60"/>
  <c r="Y251" i="60"/>
  <c r="W251" i="60"/>
  <c r="Z339" i="60"/>
  <c r="X339" i="60"/>
  <c r="V339" i="60"/>
  <c r="V340" i="60" s="1"/>
  <c r="V346" i="60" s="1"/>
  <c r="AA383" i="60"/>
  <c r="W383" i="60"/>
  <c r="Z405" i="60"/>
  <c r="X405" i="60"/>
  <c r="V405" i="60"/>
  <c r="V406" i="60" s="1"/>
  <c r="V407" i="60" s="1"/>
  <c r="V409" i="60" s="1"/>
  <c r="W75" i="60"/>
  <c r="AA119" i="60"/>
  <c r="W119" i="60"/>
  <c r="Z185" i="60"/>
  <c r="X185" i="60"/>
  <c r="V185" i="60"/>
  <c r="V186" i="60" s="1"/>
  <c r="V192" i="60" s="1"/>
  <c r="X251" i="60"/>
  <c r="V295" i="60"/>
  <c r="V296" i="60" s="1"/>
  <c r="V302" i="60" s="1"/>
  <c r="Y339" i="60"/>
  <c r="W405" i="60"/>
  <c r="AA405" i="60"/>
  <c r="Z449" i="60"/>
  <c r="V449" i="60"/>
  <c r="V450" i="60" s="1"/>
  <c r="V456" i="60" s="1"/>
  <c r="AA471" i="60"/>
  <c r="X471" i="60"/>
  <c r="AA515" i="60"/>
  <c r="Y515" i="60"/>
  <c r="W515" i="60"/>
  <c r="AA559" i="60"/>
  <c r="Y559" i="60"/>
  <c r="W559" i="60"/>
  <c r="Z493" i="60"/>
  <c r="X493" i="60"/>
  <c r="V493" i="60"/>
  <c r="V494" i="60" s="1"/>
  <c r="AA493" i="60"/>
  <c r="Y493" i="60"/>
  <c r="W493" i="60"/>
  <c r="W471" i="60"/>
  <c r="Y471" i="60"/>
  <c r="AA537" i="60"/>
  <c r="Y537" i="60"/>
  <c r="W537" i="60"/>
  <c r="V253" i="60"/>
  <c r="V255" i="60" s="1"/>
  <c r="Z273" i="60"/>
  <c r="X273" i="60"/>
  <c r="V273" i="60"/>
  <c r="V274" i="60" s="1"/>
  <c r="Z317" i="60"/>
  <c r="X317" i="60"/>
  <c r="V317" i="60"/>
  <c r="V318" i="60" s="1"/>
  <c r="Y273" i="60"/>
  <c r="AA295" i="60"/>
  <c r="Y295" i="60"/>
  <c r="W295" i="60"/>
  <c r="Y317" i="60"/>
  <c r="Z361" i="60"/>
  <c r="X361" i="60"/>
  <c r="V361" i="60"/>
  <c r="V362" i="60" s="1"/>
  <c r="Z383" i="60"/>
  <c r="X383" i="60"/>
  <c r="V383" i="60"/>
  <c r="V384" i="60" s="1"/>
  <c r="Z427" i="60"/>
  <c r="X427" i="60"/>
  <c r="V427" i="60"/>
  <c r="V428" i="60" s="1"/>
  <c r="AA449" i="60"/>
  <c r="Y449" i="60"/>
  <c r="W449" i="60"/>
  <c r="AA229" i="60"/>
  <c r="Y229" i="60"/>
  <c r="W229" i="60"/>
  <c r="Z229" i="60"/>
  <c r="X229" i="60"/>
  <c r="V229" i="60"/>
  <c r="Z163" i="60"/>
  <c r="X163" i="60"/>
  <c r="V163" i="60"/>
  <c r="V164" i="60" s="1"/>
  <c r="AA163" i="60"/>
  <c r="Y163" i="60"/>
  <c r="W163" i="60"/>
  <c r="W141" i="60"/>
  <c r="Y141" i="60"/>
  <c r="W207" i="60"/>
  <c r="Y207" i="60"/>
  <c r="Z119" i="60"/>
  <c r="X119" i="60"/>
  <c r="V119" i="60"/>
  <c r="V120" i="60" s="1"/>
  <c r="Z97" i="60"/>
  <c r="X97" i="60"/>
  <c r="V97" i="60"/>
  <c r="V98" i="60" s="1"/>
  <c r="W97" i="60"/>
  <c r="AA97" i="60"/>
  <c r="Z75" i="60"/>
  <c r="X75" i="60"/>
  <c r="V75" i="60"/>
  <c r="V76" i="60" s="1"/>
  <c r="Z53" i="60"/>
  <c r="X53" i="60"/>
  <c r="V53" i="60"/>
  <c r="V54" i="60" s="1"/>
  <c r="AA53" i="60"/>
  <c r="Y53" i="60"/>
  <c r="W53" i="60"/>
  <c r="C141" i="53"/>
  <c r="C112" i="53"/>
  <c r="C83" i="53"/>
  <c r="C54" i="53"/>
  <c r="C366" i="3"/>
  <c r="C328" i="3"/>
  <c r="C290" i="3"/>
  <c r="C252" i="3"/>
  <c r="C214" i="3"/>
  <c r="C176" i="3"/>
  <c r="C138" i="3"/>
  <c r="C366" i="56"/>
  <c r="C328" i="56"/>
  <c r="C290" i="56"/>
  <c r="C252" i="56"/>
  <c r="C214" i="56"/>
  <c r="C176" i="56"/>
  <c r="C138" i="56"/>
  <c r="V41" i="60"/>
  <c r="W41" i="60" s="1"/>
  <c r="Y31" i="60" s="1"/>
  <c r="O32" i="60"/>
  <c r="N28" i="60"/>
  <c r="O28" i="60" s="1"/>
  <c r="P28" i="60" s="1"/>
  <c r="Q28" i="60" s="1"/>
  <c r="R28" i="60" s="1"/>
  <c r="S28" i="60" s="1"/>
  <c r="F28" i="60"/>
  <c r="G28" i="60" s="1"/>
  <c r="H28" i="60" s="1"/>
  <c r="I28" i="60" s="1"/>
  <c r="J28" i="60" s="1"/>
  <c r="K28" i="60" s="1"/>
  <c r="C26" i="60"/>
  <c r="AE38" i="14"/>
  <c r="AF63" i="14" s="1"/>
  <c r="B22" i="60"/>
  <c r="F14" i="60"/>
  <c r="G14" i="60" s="1"/>
  <c r="H14" i="60" s="1"/>
  <c r="I14" i="60" s="1"/>
  <c r="J14" i="60" s="1"/>
  <c r="K14" i="60" s="1"/>
  <c r="E13" i="60"/>
  <c r="AD106" i="15"/>
  <c r="AD107" i="15"/>
  <c r="AD108" i="15"/>
  <c r="AD109" i="15"/>
  <c r="AD110" i="15"/>
  <c r="AD111" i="15"/>
  <c r="AD112" i="15"/>
  <c r="AD113" i="15"/>
  <c r="AD114" i="15"/>
  <c r="AD115" i="15"/>
  <c r="AD116" i="15"/>
  <c r="AD117" i="15"/>
  <c r="AD118" i="15"/>
  <c r="AD119" i="15"/>
  <c r="AD120" i="15"/>
  <c r="AD121" i="15"/>
  <c r="AD122" i="15"/>
  <c r="AD123" i="15"/>
  <c r="AD124" i="15"/>
  <c r="V566" i="60" l="1"/>
  <c r="AG73" i="50"/>
  <c r="AG75" i="50"/>
  <c r="AG77" i="50"/>
  <c r="AG79" i="50"/>
  <c r="AG81" i="50"/>
  <c r="AG74" i="50"/>
  <c r="AG76" i="50"/>
  <c r="AG78" i="50"/>
  <c r="AG80" i="50"/>
  <c r="AG82" i="50"/>
  <c r="AG468" i="50"/>
  <c r="AG469" i="50"/>
  <c r="AG470" i="50"/>
  <c r="AG471" i="50"/>
  <c r="AG472" i="50"/>
  <c r="AG473" i="50"/>
  <c r="AG474" i="50"/>
  <c r="AG475" i="50"/>
  <c r="AG476" i="50"/>
  <c r="AG477" i="50"/>
  <c r="AW11" i="14"/>
  <c r="AW12" i="14" s="1"/>
  <c r="AA31" i="60"/>
  <c r="AA98" i="60"/>
  <c r="AA104" i="60" s="1"/>
  <c r="Z98" i="60"/>
  <c r="Z99" i="60" s="1"/>
  <c r="Y208" i="60"/>
  <c r="Y214" i="60" s="1"/>
  <c r="Y142" i="60"/>
  <c r="Y148" i="60" s="1"/>
  <c r="W186" i="60"/>
  <c r="W192" i="60" s="1"/>
  <c r="X428" i="60"/>
  <c r="X429" i="60" s="1"/>
  <c r="Y384" i="60"/>
  <c r="Y390" i="60" s="1"/>
  <c r="Z362" i="60"/>
  <c r="Z368" i="60" s="1"/>
  <c r="AA296" i="60"/>
  <c r="AA302" i="60" s="1"/>
  <c r="Y538" i="60"/>
  <c r="Y539" i="60" s="1"/>
  <c r="AA208" i="60"/>
  <c r="AA209" i="60" s="1"/>
  <c r="Y560" i="60"/>
  <c r="Y561" i="60" s="1"/>
  <c r="W516" i="60"/>
  <c r="W522" i="60" s="1"/>
  <c r="AA516" i="60"/>
  <c r="AA517" i="60" s="1"/>
  <c r="W406" i="60"/>
  <c r="W412" i="60" s="1"/>
  <c r="Z186" i="60"/>
  <c r="Z187" i="60" s="1"/>
  <c r="Z406" i="60"/>
  <c r="X340" i="60"/>
  <c r="X341" i="60" s="1"/>
  <c r="W252" i="60"/>
  <c r="W253" i="60" s="1"/>
  <c r="AA252" i="60"/>
  <c r="AA253" i="60" s="1"/>
  <c r="Z76" i="60"/>
  <c r="Z77" i="60" s="1"/>
  <c r="Z120" i="60"/>
  <c r="Z126" i="60" s="1"/>
  <c r="Z428" i="60"/>
  <c r="Z429" i="60" s="1"/>
  <c r="Z384" i="60"/>
  <c r="Z385" i="60" s="1"/>
  <c r="X318" i="60"/>
  <c r="X324" i="60" s="1"/>
  <c r="W560" i="60"/>
  <c r="W561" i="60" s="1"/>
  <c r="AA560" i="60"/>
  <c r="AA561" i="60" s="1"/>
  <c r="Z516" i="60"/>
  <c r="Z522" i="60" s="1"/>
  <c r="AG459" i="50"/>
  <c r="AG461" i="50"/>
  <c r="AG463" i="50"/>
  <c r="AG465" i="50"/>
  <c r="AG467" i="50"/>
  <c r="AG64" i="50"/>
  <c r="AG66" i="50"/>
  <c r="AG68" i="50"/>
  <c r="AG70" i="50"/>
  <c r="AG72" i="50"/>
  <c r="AE106" i="15"/>
  <c r="AE108" i="15"/>
  <c r="AE110" i="15"/>
  <c r="AE112" i="15"/>
  <c r="AE114" i="15"/>
  <c r="AE116" i="15"/>
  <c r="AE118" i="15"/>
  <c r="AE120" i="15"/>
  <c r="AE122" i="15"/>
  <c r="AE124" i="15"/>
  <c r="AH118" i="37"/>
  <c r="AH120" i="37"/>
  <c r="AH122" i="37"/>
  <c r="AH124" i="37"/>
  <c r="AH126" i="37"/>
  <c r="AH128" i="37"/>
  <c r="AH130" i="37"/>
  <c r="AH132" i="37"/>
  <c r="AH134" i="37"/>
  <c r="AH136" i="37"/>
  <c r="AG460" i="50"/>
  <c r="AG462" i="50"/>
  <c r="AG464" i="50"/>
  <c r="AG466" i="50"/>
  <c r="AG458" i="50"/>
  <c r="AG65" i="50"/>
  <c r="AG67" i="50"/>
  <c r="AG69" i="50"/>
  <c r="AG71" i="50"/>
  <c r="AG63" i="50"/>
  <c r="AE107" i="15"/>
  <c r="AE109" i="15"/>
  <c r="AE111" i="15"/>
  <c r="AE113" i="15"/>
  <c r="AE115" i="15"/>
  <c r="AE117" i="15"/>
  <c r="AE119" i="15"/>
  <c r="AE121" i="15"/>
  <c r="AE123" i="15"/>
  <c r="AE105" i="15"/>
  <c r="AH119" i="37"/>
  <c r="AH121" i="37"/>
  <c r="AH123" i="37"/>
  <c r="AH125" i="37"/>
  <c r="AH127" i="37"/>
  <c r="AH129" i="37"/>
  <c r="AH131" i="37"/>
  <c r="AH133" i="37"/>
  <c r="AH135" i="37"/>
  <c r="AH117" i="37"/>
  <c r="W208" i="60"/>
  <c r="W209" i="60" s="1"/>
  <c r="Y296" i="60"/>
  <c r="Y297" i="60" s="1"/>
  <c r="V544" i="60"/>
  <c r="V187" i="60"/>
  <c r="V189" i="60" s="1"/>
  <c r="V190" i="60" s="1"/>
  <c r="V209" i="60"/>
  <c r="V211" i="60" s="1"/>
  <c r="V215" i="60" s="1"/>
  <c r="V412" i="60"/>
  <c r="W296" i="60"/>
  <c r="W297" i="60" s="1"/>
  <c r="AA472" i="60"/>
  <c r="AA478" i="60" s="1"/>
  <c r="X186" i="60"/>
  <c r="X187" i="60" s="1"/>
  <c r="V522" i="60"/>
  <c r="V564" i="60"/>
  <c r="V297" i="60"/>
  <c r="V299" i="60" s="1"/>
  <c r="V300" i="60" s="1"/>
  <c r="X252" i="60"/>
  <c r="X253" i="60" s="1"/>
  <c r="Y54" i="60"/>
  <c r="Y55" i="60" s="1"/>
  <c r="X76" i="60"/>
  <c r="X77" i="60" s="1"/>
  <c r="AA76" i="60"/>
  <c r="AA82" i="60" s="1"/>
  <c r="V143" i="60"/>
  <c r="V145" i="60" s="1"/>
  <c r="V149" i="60" s="1"/>
  <c r="V451" i="60"/>
  <c r="V453" i="60" s="1"/>
  <c r="V454" i="60" s="1"/>
  <c r="W472" i="60"/>
  <c r="W478" i="60" s="1"/>
  <c r="V473" i="60"/>
  <c r="V475" i="60" s="1"/>
  <c r="V476" i="60" s="1"/>
  <c r="W142" i="60"/>
  <c r="W143" i="60" s="1"/>
  <c r="Y164" i="60"/>
  <c r="Y170" i="60" s="1"/>
  <c r="V341" i="60"/>
  <c r="V343" i="60" s="1"/>
  <c r="V347" i="60" s="1"/>
  <c r="X274" i="60"/>
  <c r="X280" i="60" s="1"/>
  <c r="Z560" i="60"/>
  <c r="Z561" i="60" s="1"/>
  <c r="AA538" i="60"/>
  <c r="AA539" i="60" s="1"/>
  <c r="Y516" i="60"/>
  <c r="Y522" i="60" s="1"/>
  <c r="AA406" i="60"/>
  <c r="W362" i="60"/>
  <c r="W368" i="60" s="1"/>
  <c r="Y340" i="60"/>
  <c r="Y346" i="60" s="1"/>
  <c r="W230" i="60"/>
  <c r="W231" i="60" s="1"/>
  <c r="AA230" i="60"/>
  <c r="AA231" i="60" s="1"/>
  <c r="W450" i="60"/>
  <c r="W451" i="60" s="1"/>
  <c r="AA450" i="60"/>
  <c r="AA451" i="60" s="1"/>
  <c r="Z450" i="60"/>
  <c r="X406" i="60"/>
  <c r="AA186" i="60"/>
  <c r="X120" i="60"/>
  <c r="X126" i="60" s="1"/>
  <c r="X230" i="60"/>
  <c r="X236" i="60" s="1"/>
  <c r="X362" i="60"/>
  <c r="X363" i="60" s="1"/>
  <c r="W340" i="60"/>
  <c r="W341" i="60" s="1"/>
  <c r="Y318" i="60"/>
  <c r="Y324" i="60" s="1"/>
  <c r="W538" i="60"/>
  <c r="W544" i="60" s="1"/>
  <c r="W494" i="60"/>
  <c r="W500" i="60" s="1"/>
  <c r="AA494" i="60"/>
  <c r="AA495" i="60" s="1"/>
  <c r="AA120" i="60"/>
  <c r="AA121" i="60" s="1"/>
  <c r="AA142" i="60"/>
  <c r="AA143" i="60" s="1"/>
  <c r="C15" i="60"/>
  <c r="BA50" i="14"/>
  <c r="X472" i="60"/>
  <c r="X473" i="60" s="1"/>
  <c r="X516" i="60"/>
  <c r="Z340" i="60"/>
  <c r="Y252" i="60"/>
  <c r="W54" i="60"/>
  <c r="W55" i="60" s="1"/>
  <c r="AA54" i="60"/>
  <c r="AA60" i="60" s="1"/>
  <c r="X208" i="60"/>
  <c r="X214" i="60" s="1"/>
  <c r="Y186" i="60"/>
  <c r="Y187" i="60" s="1"/>
  <c r="W164" i="60"/>
  <c r="W165" i="60" s="1"/>
  <c r="AA164" i="60"/>
  <c r="AA170" i="60" s="1"/>
  <c r="Y450" i="60"/>
  <c r="Y456" i="60" s="1"/>
  <c r="Y406" i="60"/>
  <c r="Y412" i="60" s="1"/>
  <c r="X384" i="60"/>
  <c r="X385" i="60" s="1"/>
  <c r="AA340" i="60"/>
  <c r="AA341" i="60" s="1"/>
  <c r="Y274" i="60"/>
  <c r="Y280" i="60" s="1"/>
  <c r="Z274" i="60"/>
  <c r="Z275" i="60" s="1"/>
  <c r="Z252" i="60"/>
  <c r="Z258" i="60" s="1"/>
  <c r="Z538" i="60"/>
  <c r="Z544" i="60" s="1"/>
  <c r="Y472" i="60"/>
  <c r="Y478" i="60" s="1"/>
  <c r="X450" i="60"/>
  <c r="X560" i="60"/>
  <c r="V523" i="60"/>
  <c r="V520" i="60"/>
  <c r="X494" i="60"/>
  <c r="Z472" i="60"/>
  <c r="X538" i="60"/>
  <c r="V545" i="60"/>
  <c r="V542" i="60"/>
  <c r="Y494" i="60"/>
  <c r="V500" i="60"/>
  <c r="V495" i="60"/>
  <c r="V497" i="60" s="1"/>
  <c r="Z494" i="60"/>
  <c r="V434" i="60"/>
  <c r="V429" i="60"/>
  <c r="V431" i="60" s="1"/>
  <c r="W428" i="60"/>
  <c r="V413" i="60"/>
  <c r="V410" i="60"/>
  <c r="V390" i="60"/>
  <c r="V385" i="60"/>
  <c r="V387" i="60" s="1"/>
  <c r="W384" i="60"/>
  <c r="Y362" i="60"/>
  <c r="V324" i="60"/>
  <c r="V319" i="60"/>
  <c r="V321" i="60" s="1"/>
  <c r="Z318" i="60"/>
  <c r="W318" i="60"/>
  <c r="V280" i="60"/>
  <c r="V275" i="60"/>
  <c r="V277" i="60" s="1"/>
  <c r="W274" i="60"/>
  <c r="N444" i="60"/>
  <c r="C440" i="60"/>
  <c r="Y428" i="60"/>
  <c r="AA428" i="60"/>
  <c r="AA384" i="60"/>
  <c r="V368" i="60"/>
  <c r="V363" i="60"/>
  <c r="V365" i="60" s="1"/>
  <c r="X296" i="60"/>
  <c r="AA362" i="60"/>
  <c r="AA318" i="60"/>
  <c r="Z296" i="60"/>
  <c r="AA274" i="60"/>
  <c r="V259" i="60"/>
  <c r="V256" i="60"/>
  <c r="Z230" i="60"/>
  <c r="Z236" i="60" s="1"/>
  <c r="V230" i="60"/>
  <c r="V231" i="60" s="1"/>
  <c r="V233" i="60" s="1"/>
  <c r="Y230" i="60"/>
  <c r="V170" i="60"/>
  <c r="V165" i="60"/>
  <c r="V167" i="60" s="1"/>
  <c r="Z164" i="60"/>
  <c r="Z142" i="60"/>
  <c r="Z208" i="60"/>
  <c r="X164" i="60"/>
  <c r="X142" i="60"/>
  <c r="Y120" i="60"/>
  <c r="V126" i="60"/>
  <c r="V121" i="60"/>
  <c r="V123" i="60" s="1"/>
  <c r="W120" i="60"/>
  <c r="V104" i="60"/>
  <c r="V99" i="60"/>
  <c r="V101" i="60" s="1"/>
  <c r="W98" i="60"/>
  <c r="X98" i="60"/>
  <c r="Y98" i="60"/>
  <c r="Y76" i="60"/>
  <c r="V82" i="60"/>
  <c r="V77" i="60"/>
  <c r="V79" i="60" s="1"/>
  <c r="Z82" i="60"/>
  <c r="W76" i="60"/>
  <c r="X54" i="60"/>
  <c r="V60" i="60"/>
  <c r="V55" i="60"/>
  <c r="V57" i="60" s="1"/>
  <c r="Z54" i="60"/>
  <c r="W31" i="60"/>
  <c r="Z31" i="60"/>
  <c r="Z32" i="60" s="1"/>
  <c r="X31" i="60"/>
  <c r="X32" i="60" s="1"/>
  <c r="V31" i="60"/>
  <c r="V32" i="60" s="1"/>
  <c r="W258" i="60" l="1"/>
  <c r="AS82" i="50"/>
  <c r="AN82" i="50"/>
  <c r="AJ82" i="50"/>
  <c r="AR82" i="50"/>
  <c r="AM82" i="50"/>
  <c r="AI82" i="50"/>
  <c r="AU82" i="50"/>
  <c r="AQ82" i="50"/>
  <c r="AL82" i="50"/>
  <c r="AT82" i="50"/>
  <c r="AP82" i="50"/>
  <c r="AK82" i="50"/>
  <c r="AS78" i="50"/>
  <c r="AN78" i="50"/>
  <c r="AJ78" i="50"/>
  <c r="AR78" i="50"/>
  <c r="AM78" i="50"/>
  <c r="AI78" i="50"/>
  <c r="AU78" i="50"/>
  <c r="AQ78" i="50"/>
  <c r="AL78" i="50"/>
  <c r="AT78" i="50"/>
  <c r="AP78" i="50"/>
  <c r="AK78" i="50"/>
  <c r="AS74" i="50"/>
  <c r="AN74" i="50"/>
  <c r="AJ74" i="50"/>
  <c r="AR74" i="50"/>
  <c r="AM74" i="50"/>
  <c r="AI74" i="50"/>
  <c r="AU74" i="50"/>
  <c r="AQ74" i="50"/>
  <c r="AL74" i="50"/>
  <c r="AT74" i="50"/>
  <c r="AP74" i="50"/>
  <c r="AK74" i="50"/>
  <c r="AS79" i="50"/>
  <c r="AN79" i="50"/>
  <c r="AJ79" i="50"/>
  <c r="AT79" i="50"/>
  <c r="AP79" i="50"/>
  <c r="AK79" i="50"/>
  <c r="AI79" i="50"/>
  <c r="AU79" i="50"/>
  <c r="AQ79" i="50"/>
  <c r="AL79" i="50"/>
  <c r="AR79" i="50"/>
  <c r="AM79" i="50"/>
  <c r="AS75" i="50"/>
  <c r="AN75" i="50"/>
  <c r="AJ75" i="50"/>
  <c r="AT75" i="50"/>
  <c r="AP75" i="50"/>
  <c r="AK75" i="50"/>
  <c r="AI75" i="50"/>
  <c r="AU75" i="50"/>
  <c r="AQ75" i="50"/>
  <c r="AL75" i="50"/>
  <c r="AR75" i="50"/>
  <c r="AM75" i="50"/>
  <c r="AI80" i="50"/>
  <c r="AS80" i="50"/>
  <c r="AN80" i="50"/>
  <c r="AJ80" i="50"/>
  <c r="AR80" i="50"/>
  <c r="AM80" i="50"/>
  <c r="AU80" i="50"/>
  <c r="AQ80" i="50"/>
  <c r="AL80" i="50"/>
  <c r="AT80" i="50"/>
  <c r="AP80" i="50"/>
  <c r="AK80" i="50"/>
  <c r="AI76" i="50"/>
  <c r="AS76" i="50"/>
  <c r="AN76" i="50"/>
  <c r="AJ76" i="50"/>
  <c r="AR76" i="50"/>
  <c r="AM76" i="50"/>
  <c r="AU76" i="50"/>
  <c r="AQ76" i="50"/>
  <c r="AL76" i="50"/>
  <c r="AT76" i="50"/>
  <c r="AP76" i="50"/>
  <c r="AK76" i="50"/>
  <c r="AI81" i="50"/>
  <c r="AS81" i="50"/>
  <c r="AN81" i="50"/>
  <c r="AJ81" i="50"/>
  <c r="AT81" i="50"/>
  <c r="AP81" i="50"/>
  <c r="AK81" i="50"/>
  <c r="AU81" i="50"/>
  <c r="AQ81" i="50"/>
  <c r="AL81" i="50"/>
  <c r="AR81" i="50"/>
  <c r="AM81" i="50"/>
  <c r="AI77" i="50"/>
  <c r="AS77" i="50"/>
  <c r="AN77" i="50"/>
  <c r="AJ77" i="50"/>
  <c r="AT77" i="50"/>
  <c r="AP77" i="50"/>
  <c r="AK77" i="50"/>
  <c r="AU77" i="50"/>
  <c r="AQ77" i="50"/>
  <c r="AL77" i="50"/>
  <c r="AR77" i="50"/>
  <c r="AM77" i="50"/>
  <c r="AI73" i="50"/>
  <c r="AS73" i="50"/>
  <c r="AN73" i="50"/>
  <c r="AJ73" i="50"/>
  <c r="AT73" i="50"/>
  <c r="AP73" i="50"/>
  <c r="AK73" i="50"/>
  <c r="AU73" i="50"/>
  <c r="AQ73" i="50"/>
  <c r="AL73" i="50"/>
  <c r="AR73" i="50"/>
  <c r="AM73" i="50"/>
  <c r="Y385" i="60"/>
  <c r="Z434" i="60"/>
  <c r="W517" i="60"/>
  <c r="W519" i="60" s="1"/>
  <c r="AI477" i="50"/>
  <c r="AU477" i="50"/>
  <c r="AQ477" i="50"/>
  <c r="AT477" i="50"/>
  <c r="AP477" i="50"/>
  <c r="AN477" i="50"/>
  <c r="AJ477" i="50"/>
  <c r="AM477" i="50"/>
  <c r="AS477" i="50"/>
  <c r="AR477" i="50"/>
  <c r="AL477" i="50"/>
  <c r="AK477" i="50"/>
  <c r="AI475" i="50"/>
  <c r="AU475" i="50"/>
  <c r="AQ475" i="50"/>
  <c r="AT475" i="50"/>
  <c r="AP475" i="50"/>
  <c r="AN475" i="50"/>
  <c r="AJ475" i="50"/>
  <c r="AM475" i="50"/>
  <c r="AS475" i="50"/>
  <c r="AR475" i="50"/>
  <c r="AL475" i="50"/>
  <c r="AK475" i="50"/>
  <c r="AI473" i="50"/>
  <c r="AU473" i="50"/>
  <c r="AQ473" i="50"/>
  <c r="AT473" i="50"/>
  <c r="AP473" i="50"/>
  <c r="AN473" i="50"/>
  <c r="AJ473" i="50"/>
  <c r="AM473" i="50"/>
  <c r="AS473" i="50"/>
  <c r="AR473" i="50"/>
  <c r="AL473" i="50"/>
  <c r="AK473" i="50"/>
  <c r="AI471" i="50"/>
  <c r="AU471" i="50"/>
  <c r="AQ471" i="50"/>
  <c r="AT471" i="50"/>
  <c r="AP471" i="50"/>
  <c r="AN471" i="50"/>
  <c r="AJ471" i="50"/>
  <c r="AM471" i="50"/>
  <c r="AS471" i="50"/>
  <c r="AR471" i="50"/>
  <c r="AL471" i="50"/>
  <c r="AK471" i="50"/>
  <c r="AI469" i="50"/>
  <c r="AU469" i="50"/>
  <c r="AQ469" i="50"/>
  <c r="AT469" i="50"/>
  <c r="AP469" i="50"/>
  <c r="AN469" i="50"/>
  <c r="AJ469" i="50"/>
  <c r="AM469" i="50"/>
  <c r="AS469" i="50"/>
  <c r="AR469" i="50"/>
  <c r="AL469" i="50"/>
  <c r="AK469" i="50"/>
  <c r="AI476" i="50"/>
  <c r="AS476" i="50"/>
  <c r="AR476" i="50"/>
  <c r="AL476" i="50"/>
  <c r="AM476" i="50"/>
  <c r="AU476" i="50"/>
  <c r="AQ476" i="50"/>
  <c r="AT476" i="50"/>
  <c r="AP476" i="50"/>
  <c r="AJ476" i="50"/>
  <c r="AK476" i="50"/>
  <c r="AN476" i="50"/>
  <c r="AI474" i="50"/>
  <c r="AS474" i="50"/>
  <c r="AR474" i="50"/>
  <c r="AL474" i="50"/>
  <c r="AM474" i="50"/>
  <c r="AU474" i="50"/>
  <c r="AQ474" i="50"/>
  <c r="AT474" i="50"/>
  <c r="AP474" i="50"/>
  <c r="AN474" i="50"/>
  <c r="AK474" i="50"/>
  <c r="AJ474" i="50"/>
  <c r="AI472" i="50"/>
  <c r="AS472" i="50"/>
  <c r="AR472" i="50"/>
  <c r="AL472" i="50"/>
  <c r="AM472" i="50"/>
  <c r="AU472" i="50"/>
  <c r="AQ472" i="50"/>
  <c r="AT472" i="50"/>
  <c r="AP472" i="50"/>
  <c r="AJ472" i="50"/>
  <c r="AK472" i="50"/>
  <c r="AN472" i="50"/>
  <c r="AI470" i="50"/>
  <c r="AS470" i="50"/>
  <c r="AR470" i="50"/>
  <c r="AL470" i="50"/>
  <c r="AM470" i="50"/>
  <c r="AU470" i="50"/>
  <c r="AQ470" i="50"/>
  <c r="AT470" i="50"/>
  <c r="AP470" i="50"/>
  <c r="AN470" i="50"/>
  <c r="AK470" i="50"/>
  <c r="AJ470" i="50"/>
  <c r="AI468" i="50"/>
  <c r="AS468" i="50"/>
  <c r="AR468" i="50"/>
  <c r="AL468" i="50"/>
  <c r="AM468" i="50"/>
  <c r="AU468" i="50"/>
  <c r="AQ468" i="50"/>
  <c r="AT468" i="50"/>
  <c r="AP468" i="50"/>
  <c r="AJ468" i="50"/>
  <c r="AK468" i="50"/>
  <c r="AN468" i="50"/>
  <c r="AW13" i="14"/>
  <c r="Y143" i="60"/>
  <c r="W566" i="60"/>
  <c r="V193" i="60"/>
  <c r="AA99" i="60"/>
  <c r="X319" i="60"/>
  <c r="AA77" i="60"/>
  <c r="W187" i="60"/>
  <c r="W189" i="60" s="1"/>
  <c r="W193" i="60" s="1"/>
  <c r="Y209" i="60"/>
  <c r="AA297" i="60"/>
  <c r="W407" i="60"/>
  <c r="W409" i="60" s="1"/>
  <c r="W413" i="60" s="1"/>
  <c r="AA214" i="60"/>
  <c r="AP464" i="50"/>
  <c r="AR464" i="50"/>
  <c r="AT464" i="50"/>
  <c r="AQ464" i="50"/>
  <c r="AS464" i="50"/>
  <c r="AU464" i="50"/>
  <c r="AP460" i="50"/>
  <c r="AR460" i="50"/>
  <c r="AT460" i="50"/>
  <c r="AQ460" i="50"/>
  <c r="AS460" i="50"/>
  <c r="AU460" i="50"/>
  <c r="AP467" i="50"/>
  <c r="AR467" i="50"/>
  <c r="AT467" i="50"/>
  <c r="AQ467" i="50"/>
  <c r="AS467" i="50"/>
  <c r="AU467" i="50"/>
  <c r="AP463" i="50"/>
  <c r="AR463" i="50"/>
  <c r="AT463" i="50"/>
  <c r="AQ463" i="50"/>
  <c r="AS463" i="50"/>
  <c r="AU463" i="50"/>
  <c r="AP459" i="50"/>
  <c r="AR459" i="50"/>
  <c r="AT459" i="50"/>
  <c r="AQ459" i="50"/>
  <c r="AS459" i="50"/>
  <c r="AU459" i="50"/>
  <c r="AP466" i="50"/>
  <c r="AR466" i="50"/>
  <c r="AT466" i="50"/>
  <c r="AQ466" i="50"/>
  <c r="AS466" i="50"/>
  <c r="AU466" i="50"/>
  <c r="AP462" i="50"/>
  <c r="AR462" i="50"/>
  <c r="AT462" i="50"/>
  <c r="AQ462" i="50"/>
  <c r="AS462" i="50"/>
  <c r="AU462" i="50"/>
  <c r="AP465" i="50"/>
  <c r="AR465" i="50"/>
  <c r="AT465" i="50"/>
  <c r="AQ465" i="50"/>
  <c r="AS465" i="50"/>
  <c r="AU465" i="50"/>
  <c r="AP461" i="50"/>
  <c r="AR461" i="50"/>
  <c r="AT461" i="50"/>
  <c r="AQ461" i="50"/>
  <c r="AS461" i="50"/>
  <c r="AU461" i="50"/>
  <c r="AI464" i="50"/>
  <c r="AK464" i="50"/>
  <c r="AM464" i="50"/>
  <c r="AJ464" i="50"/>
  <c r="AL464" i="50"/>
  <c r="AN464" i="50"/>
  <c r="AI460" i="50"/>
  <c r="AK460" i="50"/>
  <c r="AM460" i="50"/>
  <c r="AJ460" i="50"/>
  <c r="AL460" i="50"/>
  <c r="AN460" i="50"/>
  <c r="AI467" i="50"/>
  <c r="AK467" i="50"/>
  <c r="AM467" i="50"/>
  <c r="AJ467" i="50"/>
  <c r="AL467" i="50"/>
  <c r="AN467" i="50"/>
  <c r="AI463" i="50"/>
  <c r="AK463" i="50"/>
  <c r="AM463" i="50"/>
  <c r="AJ463" i="50"/>
  <c r="AL463" i="50"/>
  <c r="AN463" i="50"/>
  <c r="AI459" i="50"/>
  <c r="AK459" i="50"/>
  <c r="AM459" i="50"/>
  <c r="AJ459" i="50"/>
  <c r="AL459" i="50"/>
  <c r="AN459" i="50"/>
  <c r="AI466" i="50"/>
  <c r="AK466" i="50"/>
  <c r="AM466" i="50"/>
  <c r="AJ466" i="50"/>
  <c r="AL466" i="50"/>
  <c r="AN466" i="50"/>
  <c r="AI462" i="50"/>
  <c r="AK462" i="50"/>
  <c r="AM462" i="50"/>
  <c r="AJ462" i="50"/>
  <c r="AL462" i="50"/>
  <c r="AN462" i="50"/>
  <c r="AI465" i="50"/>
  <c r="AK465" i="50"/>
  <c r="AM465" i="50"/>
  <c r="AJ465" i="50"/>
  <c r="AL465" i="50"/>
  <c r="AN465" i="50"/>
  <c r="AI461" i="50"/>
  <c r="AK461" i="50"/>
  <c r="AM461" i="50"/>
  <c r="AJ461" i="50"/>
  <c r="AL461" i="50"/>
  <c r="AN461" i="50"/>
  <c r="AP71" i="50"/>
  <c r="AR71" i="50"/>
  <c r="AT71" i="50"/>
  <c r="AQ71" i="50"/>
  <c r="AS71" i="50"/>
  <c r="AU71" i="50"/>
  <c r="AP67" i="50"/>
  <c r="AR67" i="50"/>
  <c r="AT67" i="50"/>
  <c r="AQ67" i="50"/>
  <c r="AS67" i="50"/>
  <c r="AU67" i="50"/>
  <c r="AP70" i="50"/>
  <c r="AR70" i="50"/>
  <c r="AT70" i="50"/>
  <c r="AQ70" i="50"/>
  <c r="AS70" i="50"/>
  <c r="AU70" i="50"/>
  <c r="AP66" i="50"/>
  <c r="AR66" i="50"/>
  <c r="AT66" i="50"/>
  <c r="AQ66" i="50"/>
  <c r="AS66" i="50"/>
  <c r="AU66" i="50"/>
  <c r="AP69" i="50"/>
  <c r="AR69" i="50"/>
  <c r="AT69" i="50"/>
  <c r="AQ69" i="50"/>
  <c r="AS69" i="50"/>
  <c r="AU69" i="50"/>
  <c r="AP65" i="50"/>
  <c r="AR65" i="50"/>
  <c r="AT65" i="50"/>
  <c r="AQ65" i="50"/>
  <c r="AS65" i="50"/>
  <c r="AU65" i="50"/>
  <c r="AP72" i="50"/>
  <c r="AR72" i="50"/>
  <c r="AT72" i="50"/>
  <c r="AQ72" i="50"/>
  <c r="AS72" i="50"/>
  <c r="AU72" i="50"/>
  <c r="AP68" i="50"/>
  <c r="AR68" i="50"/>
  <c r="AT68" i="50"/>
  <c r="AQ68" i="50"/>
  <c r="AS68" i="50"/>
  <c r="AU68" i="50"/>
  <c r="AI71" i="50"/>
  <c r="AK71" i="50"/>
  <c r="AM71" i="50"/>
  <c r="AJ71" i="50"/>
  <c r="AL71" i="50"/>
  <c r="AN71" i="50"/>
  <c r="AI67" i="50"/>
  <c r="AK67" i="50"/>
  <c r="AM67" i="50"/>
  <c r="AJ67" i="50"/>
  <c r="AL67" i="50"/>
  <c r="AN67" i="50"/>
  <c r="AI70" i="50"/>
  <c r="AK70" i="50"/>
  <c r="AM70" i="50"/>
  <c r="AJ70" i="50"/>
  <c r="AL70" i="50"/>
  <c r="AN70" i="50"/>
  <c r="AI66" i="50"/>
  <c r="AK66" i="50"/>
  <c r="AM66" i="50"/>
  <c r="AJ66" i="50"/>
  <c r="AL66" i="50"/>
  <c r="AN66" i="50"/>
  <c r="AI69" i="50"/>
  <c r="AK69" i="50"/>
  <c r="AM69" i="50"/>
  <c r="AJ69" i="50"/>
  <c r="AL69" i="50"/>
  <c r="AN69" i="50"/>
  <c r="AI65" i="50"/>
  <c r="AK65" i="50"/>
  <c r="AM65" i="50"/>
  <c r="AJ65" i="50"/>
  <c r="AL65" i="50"/>
  <c r="AN65" i="50"/>
  <c r="AI72" i="50"/>
  <c r="AK72" i="50"/>
  <c r="AM72" i="50"/>
  <c r="AJ72" i="50"/>
  <c r="AL72" i="50"/>
  <c r="AN72" i="50"/>
  <c r="AI68" i="50"/>
  <c r="AK68" i="50"/>
  <c r="AM68" i="50"/>
  <c r="AJ68" i="50"/>
  <c r="AL68" i="50"/>
  <c r="AN68" i="50"/>
  <c r="W214" i="60"/>
  <c r="W255" i="60"/>
  <c r="W259" i="60" s="1"/>
  <c r="AA566" i="60"/>
  <c r="Y566" i="60"/>
  <c r="X192" i="60"/>
  <c r="BA89" i="14"/>
  <c r="BA80" i="14"/>
  <c r="AA522" i="60"/>
  <c r="W236" i="60"/>
  <c r="W563" i="60"/>
  <c r="W567" i="60" s="1"/>
  <c r="Z104" i="60"/>
  <c r="Z121" i="60"/>
  <c r="Z363" i="60"/>
  <c r="X434" i="60"/>
  <c r="Z390" i="60"/>
  <c r="V479" i="60"/>
  <c r="Y544" i="60"/>
  <c r="AA544" i="60"/>
  <c r="Z517" i="60"/>
  <c r="Z192" i="60"/>
  <c r="X346" i="60"/>
  <c r="AA258" i="60"/>
  <c r="Z412" i="60"/>
  <c r="Z407" i="60"/>
  <c r="W302" i="60"/>
  <c r="Y302" i="60"/>
  <c r="Z566" i="60"/>
  <c r="W60" i="60"/>
  <c r="V212" i="60"/>
  <c r="W211" i="60" s="1"/>
  <c r="X258" i="60"/>
  <c r="V303" i="60"/>
  <c r="AA473" i="60"/>
  <c r="Y60" i="60"/>
  <c r="W363" i="60"/>
  <c r="Y517" i="60"/>
  <c r="X82" i="60"/>
  <c r="V146" i="60"/>
  <c r="W145" i="60" s="1"/>
  <c r="W148" i="60"/>
  <c r="Z253" i="60"/>
  <c r="V344" i="60"/>
  <c r="W343" i="60" s="1"/>
  <c r="W347" i="60" s="1"/>
  <c r="Y319" i="60"/>
  <c r="W456" i="60"/>
  <c r="W473" i="60"/>
  <c r="W475" i="60" s="1"/>
  <c r="W479" i="60" s="1"/>
  <c r="AA148" i="60"/>
  <c r="Y165" i="60"/>
  <c r="AA346" i="60"/>
  <c r="V457" i="60"/>
  <c r="Y192" i="60"/>
  <c r="X275" i="60"/>
  <c r="W346" i="60"/>
  <c r="AA126" i="60"/>
  <c r="X121" i="60"/>
  <c r="W170" i="60"/>
  <c r="X209" i="60"/>
  <c r="Y341" i="60"/>
  <c r="Y275" i="60"/>
  <c r="X390" i="60"/>
  <c r="X368" i="60"/>
  <c r="W495" i="60"/>
  <c r="X231" i="60"/>
  <c r="AA456" i="60"/>
  <c r="AA500" i="60"/>
  <c r="W539" i="60"/>
  <c r="W541" i="60" s="1"/>
  <c r="X478" i="60"/>
  <c r="Y473" i="60"/>
  <c r="W453" i="60"/>
  <c r="W457" i="60" s="1"/>
  <c r="Y451" i="60"/>
  <c r="AA412" i="60"/>
  <c r="AA407" i="60"/>
  <c r="AA55" i="60"/>
  <c r="AA165" i="60"/>
  <c r="AA236" i="60"/>
  <c r="Y407" i="60"/>
  <c r="Z280" i="60"/>
  <c r="Z539" i="60"/>
  <c r="Z456" i="60"/>
  <c r="Z451" i="60"/>
  <c r="X412" i="60"/>
  <c r="X407" i="60"/>
  <c r="Z231" i="60"/>
  <c r="AA187" i="60"/>
  <c r="AA192" i="60"/>
  <c r="X451" i="60"/>
  <c r="X456" i="60"/>
  <c r="Y253" i="60"/>
  <c r="Y258" i="60"/>
  <c r="X522" i="60"/>
  <c r="X517" i="60"/>
  <c r="V236" i="60"/>
  <c r="X561" i="60"/>
  <c r="X566" i="60"/>
  <c r="Z346" i="60"/>
  <c r="Z341" i="60"/>
  <c r="V501" i="60"/>
  <c r="V498" i="60"/>
  <c r="Y500" i="60"/>
  <c r="Y495" i="60"/>
  <c r="X544" i="60"/>
  <c r="X539" i="60"/>
  <c r="X500" i="60"/>
  <c r="X495" i="60"/>
  <c r="Z500" i="60"/>
  <c r="Z495" i="60"/>
  <c r="Z478" i="60"/>
  <c r="Z473" i="60"/>
  <c r="Z302" i="60"/>
  <c r="Z297" i="60"/>
  <c r="AA368" i="60"/>
  <c r="AA363" i="60"/>
  <c r="V369" i="60"/>
  <c r="V366" i="60"/>
  <c r="AA390" i="60"/>
  <c r="AA385" i="60"/>
  <c r="Y434" i="60"/>
  <c r="Y429" i="60"/>
  <c r="V278" i="60"/>
  <c r="V281" i="60"/>
  <c r="Z324" i="60"/>
  <c r="Z319" i="60"/>
  <c r="Y368" i="60"/>
  <c r="Y363" i="60"/>
  <c r="V391" i="60"/>
  <c r="V388" i="60"/>
  <c r="V435" i="60"/>
  <c r="V432" i="60"/>
  <c r="AA280" i="60"/>
  <c r="AA275" i="60"/>
  <c r="AA324" i="60"/>
  <c r="AA319" i="60"/>
  <c r="X302" i="60"/>
  <c r="X297" i="60"/>
  <c r="AA434" i="60"/>
  <c r="AA429" i="60"/>
  <c r="W280" i="60"/>
  <c r="W275" i="60"/>
  <c r="W299" i="60"/>
  <c r="W324" i="60"/>
  <c r="W319" i="60"/>
  <c r="V322" i="60"/>
  <c r="V325" i="60"/>
  <c r="W390" i="60"/>
  <c r="W385" i="60"/>
  <c r="W434" i="60"/>
  <c r="W429" i="60"/>
  <c r="Y231" i="60"/>
  <c r="Y236" i="60"/>
  <c r="X170" i="60"/>
  <c r="X165" i="60"/>
  <c r="Z170" i="60"/>
  <c r="Z165" i="60"/>
  <c r="V237" i="60"/>
  <c r="V234" i="60"/>
  <c r="W233" i="60" s="1"/>
  <c r="W237" i="60" s="1"/>
  <c r="X148" i="60"/>
  <c r="X143" i="60"/>
  <c r="Z214" i="60"/>
  <c r="Z209" i="60"/>
  <c r="Z148" i="60"/>
  <c r="Z143" i="60"/>
  <c r="V171" i="60"/>
  <c r="V168" i="60"/>
  <c r="W167" i="60" s="1"/>
  <c r="W171" i="60" s="1"/>
  <c r="W126" i="60"/>
  <c r="W121" i="60"/>
  <c r="V127" i="60"/>
  <c r="V124" i="60"/>
  <c r="Y126" i="60"/>
  <c r="Y121" i="60"/>
  <c r="X104" i="60"/>
  <c r="X99" i="60"/>
  <c r="V105" i="60"/>
  <c r="V102" i="60"/>
  <c r="Y104" i="60"/>
  <c r="Y99" i="60"/>
  <c r="W104" i="60"/>
  <c r="W99" i="60"/>
  <c r="W82" i="60"/>
  <c r="W77" i="60"/>
  <c r="V83" i="60"/>
  <c r="V80" i="60"/>
  <c r="Y82" i="60"/>
  <c r="Y77" i="60"/>
  <c r="Z60" i="60"/>
  <c r="Z55" i="60"/>
  <c r="V61" i="60"/>
  <c r="V58" i="60"/>
  <c r="W57" i="60" s="1"/>
  <c r="W61" i="60" s="1"/>
  <c r="X60" i="60"/>
  <c r="X55" i="60"/>
  <c r="V38" i="60"/>
  <c r="V33" i="60"/>
  <c r="V35" i="60" s="1"/>
  <c r="Z38" i="60"/>
  <c r="Z33" i="60"/>
  <c r="W32" i="60"/>
  <c r="X38" i="60"/>
  <c r="X33" i="60"/>
  <c r="AA32" i="60"/>
  <c r="Y32" i="60"/>
  <c r="W123" i="60" l="1"/>
  <c r="W127" i="60" s="1"/>
  <c r="AW14" i="14"/>
  <c r="AW15" i="14" s="1"/>
  <c r="W256" i="60"/>
  <c r="X255" i="60" s="1"/>
  <c r="X256" i="60" s="1"/>
  <c r="Y255" i="60" s="1"/>
  <c r="Y259" i="60" s="1"/>
  <c r="W564" i="60"/>
  <c r="X563" i="60" s="1"/>
  <c r="X567" i="60" s="1"/>
  <c r="W410" i="60"/>
  <c r="X409" i="60" s="1"/>
  <c r="X410" i="60" s="1"/>
  <c r="Y409" i="60" s="1"/>
  <c r="Y413" i="60" s="1"/>
  <c r="W365" i="60"/>
  <c r="W369" i="60" s="1"/>
  <c r="W149" i="60"/>
  <c r="W146" i="60"/>
  <c r="X145" i="60" s="1"/>
  <c r="W190" i="60"/>
  <c r="X189" i="60" s="1"/>
  <c r="X193" i="60" s="1"/>
  <c r="W476" i="60"/>
  <c r="X475" i="60" s="1"/>
  <c r="X476" i="60" s="1"/>
  <c r="Y475" i="60" s="1"/>
  <c r="Y479" i="60" s="1"/>
  <c r="W79" i="60"/>
  <c r="W83" i="60" s="1"/>
  <c r="W497" i="60"/>
  <c r="W501" i="60" s="1"/>
  <c r="W454" i="60"/>
  <c r="X453" i="60" s="1"/>
  <c r="X454" i="60" s="1"/>
  <c r="Y453" i="60" s="1"/>
  <c r="Y457" i="60" s="1"/>
  <c r="W344" i="60"/>
  <c r="X343" i="60" s="1"/>
  <c r="X347" i="60" s="1"/>
  <c r="W321" i="60"/>
  <c r="W325" i="60" s="1"/>
  <c r="W387" i="60"/>
  <c r="W391" i="60" s="1"/>
  <c r="W545" i="60"/>
  <c r="W542" i="60"/>
  <c r="X541" i="60" s="1"/>
  <c r="X545" i="60" s="1"/>
  <c r="W523" i="60"/>
  <c r="W520" i="60"/>
  <c r="X519" i="60" s="1"/>
  <c r="X523" i="60" s="1"/>
  <c r="W277" i="60"/>
  <c r="W303" i="60"/>
  <c r="W300" i="60"/>
  <c r="X299" i="60" s="1"/>
  <c r="X303" i="60" s="1"/>
  <c r="W431" i="60"/>
  <c r="W234" i="60"/>
  <c r="X233" i="60" s="1"/>
  <c r="W168" i="60"/>
  <c r="X167" i="60" s="1"/>
  <c r="X171" i="60" s="1"/>
  <c r="W215" i="60"/>
  <c r="W212" i="60"/>
  <c r="X211" i="60" s="1"/>
  <c r="X215" i="60" s="1"/>
  <c r="W124" i="60"/>
  <c r="X123" i="60" s="1"/>
  <c r="X127" i="60" s="1"/>
  <c r="W101" i="60"/>
  <c r="W58" i="60"/>
  <c r="X57" i="60" s="1"/>
  <c r="X61" i="60" s="1"/>
  <c r="Y38" i="60"/>
  <c r="Y33" i="60"/>
  <c r="V39" i="60"/>
  <c r="V36" i="60"/>
  <c r="AA38" i="60"/>
  <c r="AA33" i="60"/>
  <c r="W38" i="60"/>
  <c r="W33" i="60"/>
  <c r="X259" i="60" l="1"/>
  <c r="AW16" i="14"/>
  <c r="AW17" i="14" s="1"/>
  <c r="X479" i="60"/>
  <c r="X190" i="60"/>
  <c r="Y189" i="60" s="1"/>
  <c r="Y193" i="60" s="1"/>
  <c r="W366" i="60"/>
  <c r="X365" i="60" s="1"/>
  <c r="X366" i="60" s="1"/>
  <c r="Y365" i="60" s="1"/>
  <c r="Y369" i="60" s="1"/>
  <c r="X564" i="60"/>
  <c r="Y563" i="60" s="1"/>
  <c r="Y567" i="60" s="1"/>
  <c r="W80" i="60"/>
  <c r="X79" i="60" s="1"/>
  <c r="X83" i="60" s="1"/>
  <c r="X146" i="60"/>
  <c r="Y145" i="60" s="1"/>
  <c r="Y149" i="60" s="1"/>
  <c r="X149" i="60"/>
  <c r="W498" i="60"/>
  <c r="X497" i="60" s="1"/>
  <c r="X501" i="60" s="1"/>
  <c r="Y476" i="60"/>
  <c r="Z475" i="60" s="1"/>
  <c r="Z479" i="60" s="1"/>
  <c r="Y454" i="60"/>
  <c r="Z453" i="60" s="1"/>
  <c r="Z454" i="60" s="1"/>
  <c r="AA453" i="60" s="1"/>
  <c r="AA457" i="60" s="1"/>
  <c r="X300" i="60"/>
  <c r="Y299" i="60" s="1"/>
  <c r="Y303" i="60" s="1"/>
  <c r="X457" i="60"/>
  <c r="X344" i="60"/>
  <c r="Y343" i="60" s="1"/>
  <c r="Y347" i="60" s="1"/>
  <c r="W322" i="60"/>
  <c r="X321" i="60" s="1"/>
  <c r="X322" i="60" s="1"/>
  <c r="Y321" i="60" s="1"/>
  <c r="Y410" i="60"/>
  <c r="Z409" i="60" s="1"/>
  <c r="Z413" i="60" s="1"/>
  <c r="Y256" i="60"/>
  <c r="Z255" i="60" s="1"/>
  <c r="Z259" i="60" s="1"/>
  <c r="X413" i="60"/>
  <c r="W388" i="60"/>
  <c r="X387" i="60" s="1"/>
  <c r="X542" i="60"/>
  <c r="Y541" i="60" s="1"/>
  <c r="Y542" i="60" s="1"/>
  <c r="Z541" i="60" s="1"/>
  <c r="X520" i="60"/>
  <c r="Y519" i="60" s="1"/>
  <c r="W435" i="60"/>
  <c r="W432" i="60"/>
  <c r="X431" i="60" s="1"/>
  <c r="X435" i="60" s="1"/>
  <c r="W281" i="60"/>
  <c r="W278" i="60"/>
  <c r="X277" i="60" s="1"/>
  <c r="X281" i="60" s="1"/>
  <c r="X168" i="60"/>
  <c r="Y167" i="60" s="1"/>
  <c r="Y171" i="60" s="1"/>
  <c r="X212" i="60"/>
  <c r="Y211" i="60" s="1"/>
  <c r="Y215" i="60" s="1"/>
  <c r="X237" i="60"/>
  <c r="X234" i="60"/>
  <c r="Y233" i="60" s="1"/>
  <c r="X124" i="60"/>
  <c r="Y123" i="60" s="1"/>
  <c r="W105" i="60"/>
  <c r="W102" i="60"/>
  <c r="X101" i="60" s="1"/>
  <c r="X105" i="60" s="1"/>
  <c r="X58" i="60"/>
  <c r="Y57" i="60" s="1"/>
  <c r="Y61" i="60" s="1"/>
  <c r="W35" i="60"/>
  <c r="X80" i="60" l="1"/>
  <c r="Y79" i="60" s="1"/>
  <c r="Y83" i="60" s="1"/>
  <c r="AW18" i="14"/>
  <c r="Y168" i="60"/>
  <c r="Z167" i="60" s="1"/>
  <c r="Z171" i="60" s="1"/>
  <c r="Y190" i="60"/>
  <c r="Z189" i="60" s="1"/>
  <c r="Z193" i="60" s="1"/>
  <c r="X369" i="60"/>
  <c r="Z476" i="60"/>
  <c r="AA475" i="60" s="1"/>
  <c r="AA479" i="60" s="1"/>
  <c r="X498" i="60"/>
  <c r="Y497" i="60" s="1"/>
  <c r="Y501" i="60" s="1"/>
  <c r="Z410" i="60"/>
  <c r="AA409" i="60" s="1"/>
  <c r="AA413" i="60" s="1"/>
  <c r="Y564" i="60"/>
  <c r="Z563" i="60" s="1"/>
  <c r="Z567" i="60" s="1"/>
  <c r="Z457" i="60"/>
  <c r="Y146" i="60"/>
  <c r="Z145" i="60" s="1"/>
  <c r="Z149" i="60" s="1"/>
  <c r="Y300" i="60"/>
  <c r="Z299" i="60" s="1"/>
  <c r="Z303" i="60" s="1"/>
  <c r="Y545" i="60"/>
  <c r="AA454" i="60"/>
  <c r="Y344" i="60"/>
  <c r="Z343" i="60" s="1"/>
  <c r="Z347" i="60" s="1"/>
  <c r="X325" i="60"/>
  <c r="X278" i="60"/>
  <c r="Y277" i="60" s="1"/>
  <c r="Y281" i="60" s="1"/>
  <c r="Z256" i="60"/>
  <c r="AA255" i="60" s="1"/>
  <c r="X391" i="60"/>
  <c r="X388" i="60"/>
  <c r="Y387" i="60" s="1"/>
  <c r="X432" i="60"/>
  <c r="Y431" i="60" s="1"/>
  <c r="Y435" i="60" s="1"/>
  <c r="Y523" i="60"/>
  <c r="Y520" i="60"/>
  <c r="Z519" i="60" s="1"/>
  <c r="Z545" i="60"/>
  <c r="Z542" i="60"/>
  <c r="AA541" i="60" s="1"/>
  <c r="Y325" i="60"/>
  <c r="Y322" i="60"/>
  <c r="Z321" i="60" s="1"/>
  <c r="Y366" i="60"/>
  <c r="Z365" i="60" s="1"/>
  <c r="Y237" i="60"/>
  <c r="Y234" i="60"/>
  <c r="Z233" i="60" s="1"/>
  <c r="Z237" i="60" s="1"/>
  <c r="Y212" i="60"/>
  <c r="Z211" i="60" s="1"/>
  <c r="Z215" i="60" s="1"/>
  <c r="Y127" i="60"/>
  <c r="Y124" i="60"/>
  <c r="Z123" i="60" s="1"/>
  <c r="Z127" i="60" s="1"/>
  <c r="X102" i="60"/>
  <c r="Y101" i="60" s="1"/>
  <c r="Y58" i="60"/>
  <c r="Z57" i="60" s="1"/>
  <c r="Z61" i="60" s="1"/>
  <c r="W39" i="60"/>
  <c r="W36" i="60"/>
  <c r="X35" i="60" s="1"/>
  <c r="X39" i="60" s="1"/>
  <c r="Z190" i="60" l="1"/>
  <c r="AA189" i="60" s="1"/>
  <c r="AA193" i="60" s="1"/>
  <c r="Y80" i="60"/>
  <c r="Z79" i="60" s="1"/>
  <c r="Z83" i="60" s="1"/>
  <c r="Z168" i="60"/>
  <c r="AA167" i="60" s="1"/>
  <c r="AA171" i="60" s="1"/>
  <c r="AW19" i="14"/>
  <c r="AA410" i="60"/>
  <c r="Y498" i="60"/>
  <c r="Z497" i="60" s="1"/>
  <c r="Z498" i="60" s="1"/>
  <c r="AA497" i="60" s="1"/>
  <c r="AA501" i="60" s="1"/>
  <c r="AA476" i="60"/>
  <c r="Z564" i="60"/>
  <c r="AA563" i="60" s="1"/>
  <c r="AA564" i="60" s="1"/>
  <c r="Z146" i="60"/>
  <c r="AA145" i="60" s="1"/>
  <c r="AA149" i="60" s="1"/>
  <c r="Z300" i="60"/>
  <c r="AA299" i="60" s="1"/>
  <c r="Y278" i="60"/>
  <c r="Z277" i="60" s="1"/>
  <c r="Z281" i="60" s="1"/>
  <c r="Z344" i="60"/>
  <c r="AA343" i="60" s="1"/>
  <c r="AA347" i="60" s="1"/>
  <c r="Y432" i="60"/>
  <c r="Z431" i="60" s="1"/>
  <c r="Z435" i="60" s="1"/>
  <c r="Z58" i="60"/>
  <c r="AA57" i="60" s="1"/>
  <c r="AA61" i="60" s="1"/>
  <c r="AA259" i="60"/>
  <c r="AA256" i="60"/>
  <c r="Y391" i="60"/>
  <c r="Y388" i="60"/>
  <c r="Z387" i="60" s="1"/>
  <c r="Z388" i="60" s="1"/>
  <c r="AA387" i="60" s="1"/>
  <c r="AA391" i="60" s="1"/>
  <c r="AA545" i="60"/>
  <c r="AA542" i="60"/>
  <c r="Z523" i="60"/>
  <c r="Z520" i="60"/>
  <c r="AA519" i="60" s="1"/>
  <c r="AA523" i="60" s="1"/>
  <c r="Z369" i="60"/>
  <c r="Z366" i="60"/>
  <c r="AA365" i="60" s="1"/>
  <c r="AA369" i="60" s="1"/>
  <c r="Z325" i="60"/>
  <c r="Z322" i="60"/>
  <c r="AA321" i="60" s="1"/>
  <c r="AA325" i="60" s="1"/>
  <c r="Z234" i="60"/>
  <c r="AA233" i="60" s="1"/>
  <c r="Z212" i="60"/>
  <c r="AA211" i="60" s="1"/>
  <c r="Z124" i="60"/>
  <c r="AA123" i="60" s="1"/>
  <c r="Y105" i="60"/>
  <c r="Y102" i="60"/>
  <c r="Z101" i="60" s="1"/>
  <c r="Z102" i="60" s="1"/>
  <c r="AA101" i="60" s="1"/>
  <c r="AA105" i="60" s="1"/>
  <c r="X36" i="60"/>
  <c r="Y35" i="60" s="1"/>
  <c r="Y39" i="60" s="1"/>
  <c r="Z80" i="60" l="1"/>
  <c r="AA79" i="60" s="1"/>
  <c r="AA83" i="60" s="1"/>
  <c r="AA190" i="60"/>
  <c r="AA168" i="60"/>
  <c r="AW20" i="14"/>
  <c r="Z501" i="60"/>
  <c r="AA567" i="60"/>
  <c r="AA146" i="60"/>
  <c r="AA303" i="60"/>
  <c r="AA300" i="60"/>
  <c r="Z432" i="60"/>
  <c r="AA431" i="60" s="1"/>
  <c r="AA435" i="60" s="1"/>
  <c r="Z278" i="60"/>
  <c r="AA277" i="60" s="1"/>
  <c r="AA281" i="60" s="1"/>
  <c r="AA344" i="60"/>
  <c r="AA58" i="60"/>
  <c r="Y36" i="60"/>
  <c r="Z35" i="60" s="1"/>
  <c r="Z39" i="60" s="1"/>
  <c r="AA322" i="60"/>
  <c r="AA366" i="60"/>
  <c r="AA520" i="60"/>
  <c r="AA498" i="60"/>
  <c r="Z391" i="60"/>
  <c r="AA388" i="60"/>
  <c r="AA215" i="60"/>
  <c r="AA212" i="60"/>
  <c r="AA237" i="60"/>
  <c r="AA234" i="60"/>
  <c r="AA127" i="60"/>
  <c r="AA124" i="60"/>
  <c r="Z105" i="60"/>
  <c r="AA102" i="60"/>
  <c r="AA80" i="60" l="1"/>
  <c r="AW21" i="14"/>
  <c r="AA278" i="60"/>
  <c r="AA432" i="60"/>
  <c r="Z36" i="60"/>
  <c r="AA35" i="60" s="1"/>
  <c r="AA39" i="60" s="1"/>
  <c r="AW22" i="14" l="1"/>
  <c r="AA36" i="60"/>
  <c r="W119" i="37"/>
  <c r="W120" i="37"/>
  <c r="W121" i="37"/>
  <c r="W122" i="37"/>
  <c r="W123" i="37"/>
  <c r="W124" i="37"/>
  <c r="W125" i="37"/>
  <c r="W126" i="37"/>
  <c r="W127" i="37"/>
  <c r="W128" i="37"/>
  <c r="W129" i="37"/>
  <c r="W130" i="37"/>
  <c r="W131" i="37"/>
  <c r="W132" i="37"/>
  <c r="W133" i="37"/>
  <c r="W134" i="37"/>
  <c r="W135" i="37"/>
  <c r="W136" i="37"/>
  <c r="AW23" i="14" l="1"/>
  <c r="N409" i="41"/>
  <c r="L417" i="41"/>
  <c r="K417" i="41"/>
  <c r="O405" i="41"/>
  <c r="AW24" i="14" l="1"/>
  <c r="C39" i="1"/>
  <c r="AA50" i="38" s="1"/>
  <c r="C16" i="38" s="1"/>
  <c r="AB105" i="15"/>
  <c r="AB106" i="15"/>
  <c r="C48" i="1"/>
  <c r="I143" i="37" s="1"/>
  <c r="B145" i="37"/>
  <c r="W145" i="37" s="1"/>
  <c r="B146" i="37"/>
  <c r="W146" i="37" s="1"/>
  <c r="B147" i="37"/>
  <c r="W147" i="37" s="1"/>
  <c r="B148" i="37"/>
  <c r="W148" i="37" s="1"/>
  <c r="B149" i="37"/>
  <c r="W149" i="37" s="1"/>
  <c r="B150" i="37"/>
  <c r="W150" i="37" s="1"/>
  <c r="B151" i="37"/>
  <c r="W151" i="37" s="1"/>
  <c r="B152" i="37"/>
  <c r="W152" i="37" s="1"/>
  <c r="B153" i="37"/>
  <c r="W153" i="37" s="1"/>
  <c r="B154" i="37"/>
  <c r="W154" i="37" s="1"/>
  <c r="B155" i="37"/>
  <c r="W155" i="37" s="1"/>
  <c r="B156" i="37"/>
  <c r="W156" i="37" s="1"/>
  <c r="B157" i="37"/>
  <c r="W157" i="37" s="1"/>
  <c r="B158" i="37"/>
  <c r="W158" i="37" s="1"/>
  <c r="B159" i="37"/>
  <c r="W159" i="37" s="1"/>
  <c r="B160" i="37"/>
  <c r="W160" i="37" s="1"/>
  <c r="B161" i="37"/>
  <c r="W161" i="37" s="1"/>
  <c r="B162" i="37"/>
  <c r="W162" i="37" s="1"/>
  <c r="B163" i="37"/>
  <c r="W163" i="37" s="1"/>
  <c r="B144" i="37"/>
  <c r="W144" i="37" s="1"/>
  <c r="D158" i="15"/>
  <c r="B158" i="15" s="1"/>
  <c r="D159" i="15"/>
  <c r="B159" i="15" s="1"/>
  <c r="D160" i="15"/>
  <c r="B160" i="15" s="1"/>
  <c r="D161" i="15"/>
  <c r="B161" i="15" s="1"/>
  <c r="D162" i="15"/>
  <c r="B162" i="15" s="1"/>
  <c r="D163" i="15"/>
  <c r="B163" i="15" s="1"/>
  <c r="D164" i="15"/>
  <c r="D165" i="15"/>
  <c r="D166" i="15"/>
  <c r="D167" i="15"/>
  <c r="B167" i="15" s="1"/>
  <c r="D168" i="15"/>
  <c r="B168" i="15" s="1"/>
  <c r="D169" i="15"/>
  <c r="D170" i="15"/>
  <c r="D171" i="15"/>
  <c r="B171" i="15" s="1"/>
  <c r="D172" i="15"/>
  <c r="D173" i="15"/>
  <c r="B173" i="15" s="1"/>
  <c r="D174" i="15"/>
  <c r="D175" i="15"/>
  <c r="D176" i="15"/>
  <c r="B176" i="15" s="1"/>
  <c r="D177" i="15"/>
  <c r="B177" i="15" s="1"/>
  <c r="AF118" i="37"/>
  <c r="AB133" i="15"/>
  <c r="D185" i="15" s="1"/>
  <c r="I185" i="15" s="1"/>
  <c r="AF117" i="37"/>
  <c r="AF119" i="37"/>
  <c r="AF120" i="37"/>
  <c r="AF121" i="37"/>
  <c r="AF122" i="37"/>
  <c r="AF123" i="37"/>
  <c r="AF124" i="37"/>
  <c r="AF125" i="37"/>
  <c r="AF126" i="37"/>
  <c r="AF127" i="37"/>
  <c r="AF128" i="37"/>
  <c r="AF129" i="37"/>
  <c r="AF130" i="37"/>
  <c r="AF131" i="37"/>
  <c r="AF132" i="37"/>
  <c r="AF133" i="37"/>
  <c r="AF134" i="37"/>
  <c r="AF135" i="37"/>
  <c r="AF136" i="37"/>
  <c r="X50" i="38"/>
  <c r="W50" i="38"/>
  <c r="X51" i="38"/>
  <c r="W51" i="38"/>
  <c r="V51" i="38"/>
  <c r="V50" i="38"/>
  <c r="X73" i="38" s="1"/>
  <c r="N9" i="41"/>
  <c r="J9" i="41" s="1"/>
  <c r="AA117" i="37"/>
  <c r="W118" i="37"/>
  <c r="D134" i="56"/>
  <c r="AE26" i="14" s="1"/>
  <c r="D172" i="56"/>
  <c r="AE27" i="14" s="1"/>
  <c r="D210" i="56"/>
  <c r="AE28" i="14" s="1"/>
  <c r="D248" i="56"/>
  <c r="AE29" i="14" s="1"/>
  <c r="D286" i="56"/>
  <c r="AE30" i="14" s="1"/>
  <c r="D324" i="56"/>
  <c r="AE31" i="14" s="1"/>
  <c r="D362" i="56"/>
  <c r="AE32" i="14" s="1"/>
  <c r="W52" i="38"/>
  <c r="W53" i="38"/>
  <c r="P73" i="38"/>
  <c r="K73" i="38" s="1"/>
  <c r="X52" i="38"/>
  <c r="X53" i="38"/>
  <c r="C93" i="56"/>
  <c r="AR51" i="14" s="1"/>
  <c r="C131" i="56"/>
  <c r="AR52" i="14" s="1"/>
  <c r="C169" i="56"/>
  <c r="AR53" i="14" s="1"/>
  <c r="AR92" i="14" s="1"/>
  <c r="C207" i="56"/>
  <c r="AR54" i="14" s="1"/>
  <c r="AR93" i="14" s="1"/>
  <c r="C245" i="56"/>
  <c r="AR55" i="14" s="1"/>
  <c r="AR94" i="14" s="1"/>
  <c r="C283" i="56"/>
  <c r="AR56" i="14" s="1"/>
  <c r="AR95" i="14" s="1"/>
  <c r="C321" i="56"/>
  <c r="AR57" i="14" s="1"/>
  <c r="AR96" i="14" s="1"/>
  <c r="C359" i="56"/>
  <c r="AR58" i="14" s="1"/>
  <c r="AR97" i="14" s="1"/>
  <c r="C397" i="56"/>
  <c r="AR59" i="14" s="1"/>
  <c r="AR98" i="14" s="1"/>
  <c r="C55" i="3"/>
  <c r="AR60" i="14" s="1"/>
  <c r="P74" i="38"/>
  <c r="L74" i="38" s="1"/>
  <c r="Q74" i="38"/>
  <c r="C93" i="3"/>
  <c r="C131" i="3"/>
  <c r="C169" i="3"/>
  <c r="C207" i="3"/>
  <c r="AR64" i="14" s="1"/>
  <c r="AR103" i="14" s="1"/>
  <c r="C245" i="3"/>
  <c r="AR65" i="14" s="1"/>
  <c r="AR104" i="14" s="1"/>
  <c r="C283" i="3"/>
  <c r="AR66" i="14" s="1"/>
  <c r="AR105" i="14" s="1"/>
  <c r="C321" i="3"/>
  <c r="AR67" i="14" s="1"/>
  <c r="AR106" i="14" s="1"/>
  <c r="C359" i="3"/>
  <c r="AR68" i="14" s="1"/>
  <c r="AR107" i="14" s="1"/>
  <c r="C397" i="3"/>
  <c r="AR69" i="14" s="1"/>
  <c r="AR108" i="14" s="1"/>
  <c r="C46" i="53"/>
  <c r="AR70" i="14" s="1"/>
  <c r="C75" i="53"/>
  <c r="AR71" i="14" s="1"/>
  <c r="AR110" i="14" s="1"/>
  <c r="C104" i="53"/>
  <c r="AR72" i="14" s="1"/>
  <c r="AR111" i="14" s="1"/>
  <c r="C133" i="53"/>
  <c r="AR73" i="14" s="1"/>
  <c r="AR112" i="14" s="1"/>
  <c r="C162" i="53"/>
  <c r="AR74" i="14" s="1"/>
  <c r="AR113" i="14" s="1"/>
  <c r="BC75" i="14"/>
  <c r="BC114" i="14" s="1"/>
  <c r="BC76" i="14"/>
  <c r="BC115" i="14" s="1"/>
  <c r="BC77" i="14"/>
  <c r="BC116" i="14" s="1"/>
  <c r="BC78" i="14"/>
  <c r="BC117" i="14" s="1"/>
  <c r="BC79" i="14"/>
  <c r="BC118" i="14" s="1"/>
  <c r="B141" i="53"/>
  <c r="Y52" i="38"/>
  <c r="Y53" i="38"/>
  <c r="Y54" i="38"/>
  <c r="Y55" i="38"/>
  <c r="Y56" i="38"/>
  <c r="Y57" i="38"/>
  <c r="Y58" i="38"/>
  <c r="Y59" i="38"/>
  <c r="Y60" i="38"/>
  <c r="Y61" i="38"/>
  <c r="Y62" i="38"/>
  <c r="Y63" i="38"/>
  <c r="Y64" i="38"/>
  <c r="Y65" i="38"/>
  <c r="Y66" i="38"/>
  <c r="Y67" i="38"/>
  <c r="Y68" i="38"/>
  <c r="Y69" i="38"/>
  <c r="AG117" i="37"/>
  <c r="AG118" i="37"/>
  <c r="AG119" i="37"/>
  <c r="AG120" i="37"/>
  <c r="AG121" i="37"/>
  <c r="AG122" i="37"/>
  <c r="AG123" i="37"/>
  <c r="AG124" i="37"/>
  <c r="AG125" i="37"/>
  <c r="AG126" i="37"/>
  <c r="AG127" i="37"/>
  <c r="AG128" i="37"/>
  <c r="AG129" i="37"/>
  <c r="AG130" i="37"/>
  <c r="AG131" i="37"/>
  <c r="AG132" i="37"/>
  <c r="AG133" i="37"/>
  <c r="AG134" i="37"/>
  <c r="AG135" i="37"/>
  <c r="AG136" i="37"/>
  <c r="B112" i="53"/>
  <c r="B83" i="53"/>
  <c r="B54" i="53"/>
  <c r="B19" i="51"/>
  <c r="F27" i="51" s="1"/>
  <c r="F8" i="51" s="1"/>
  <c r="AM27" i="14" s="1"/>
  <c r="B25" i="53"/>
  <c r="C41" i="53"/>
  <c r="B366" i="3"/>
  <c r="L373" i="3"/>
  <c r="L374" i="3"/>
  <c r="L375" i="3"/>
  <c r="L376" i="3"/>
  <c r="L382" i="3"/>
  <c r="L377" i="3"/>
  <c r="L378" i="3"/>
  <c r="L379" i="3"/>
  <c r="L380" i="3"/>
  <c r="L381" i="3"/>
  <c r="M373" i="3"/>
  <c r="M374" i="3"/>
  <c r="M375" i="3"/>
  <c r="M376" i="3"/>
  <c r="M382" i="3"/>
  <c r="M377" i="3"/>
  <c r="M378" i="3"/>
  <c r="M379" i="3"/>
  <c r="M380" i="3"/>
  <c r="M381" i="3"/>
  <c r="N373" i="3"/>
  <c r="N374" i="3"/>
  <c r="N375" i="3"/>
  <c r="N376" i="3"/>
  <c r="N382" i="3"/>
  <c r="N377" i="3"/>
  <c r="N378" i="3"/>
  <c r="N379" i="3"/>
  <c r="N380" i="3"/>
  <c r="N381" i="3"/>
  <c r="O373" i="3"/>
  <c r="O374" i="3"/>
  <c r="O375" i="3"/>
  <c r="O376" i="3"/>
  <c r="O382" i="3"/>
  <c r="O377" i="3"/>
  <c r="O378" i="3"/>
  <c r="O379" i="3"/>
  <c r="O380" i="3"/>
  <c r="O381" i="3"/>
  <c r="P373" i="3"/>
  <c r="P374" i="3"/>
  <c r="P375" i="3"/>
  <c r="P376" i="3"/>
  <c r="P382" i="3"/>
  <c r="P377" i="3"/>
  <c r="P378" i="3"/>
  <c r="P379" i="3"/>
  <c r="P380" i="3"/>
  <c r="P381" i="3"/>
  <c r="Q373" i="3"/>
  <c r="Q374" i="3"/>
  <c r="Q375" i="3"/>
  <c r="Q376" i="3"/>
  <c r="Q382" i="3"/>
  <c r="Q377" i="3"/>
  <c r="Q378" i="3"/>
  <c r="Q379" i="3"/>
  <c r="Q380" i="3"/>
  <c r="Q381" i="3"/>
  <c r="B328" i="3"/>
  <c r="L335" i="3"/>
  <c r="L336" i="3"/>
  <c r="L337" i="3"/>
  <c r="L338" i="3"/>
  <c r="L344" i="3"/>
  <c r="L339" i="3"/>
  <c r="L340" i="3"/>
  <c r="L341" i="3"/>
  <c r="L342" i="3"/>
  <c r="L343" i="3"/>
  <c r="M335" i="3"/>
  <c r="M336" i="3"/>
  <c r="M337" i="3"/>
  <c r="M338" i="3"/>
  <c r="M344" i="3"/>
  <c r="M339" i="3"/>
  <c r="M340" i="3"/>
  <c r="M341" i="3"/>
  <c r="M342" i="3"/>
  <c r="M343" i="3"/>
  <c r="N335" i="3"/>
  <c r="N336" i="3"/>
  <c r="N337" i="3"/>
  <c r="N338" i="3"/>
  <c r="N344" i="3"/>
  <c r="N339" i="3"/>
  <c r="N340" i="3"/>
  <c r="N341" i="3"/>
  <c r="N342" i="3"/>
  <c r="N343" i="3"/>
  <c r="O335" i="3"/>
  <c r="O336" i="3"/>
  <c r="O337" i="3"/>
  <c r="O338" i="3"/>
  <c r="O344" i="3"/>
  <c r="O339" i="3"/>
  <c r="O340" i="3"/>
  <c r="O341" i="3"/>
  <c r="O342" i="3"/>
  <c r="O343" i="3"/>
  <c r="P335" i="3"/>
  <c r="P336" i="3"/>
  <c r="P337" i="3"/>
  <c r="P338" i="3"/>
  <c r="P344" i="3"/>
  <c r="P339" i="3"/>
  <c r="P340" i="3"/>
  <c r="P341" i="3"/>
  <c r="P342" i="3"/>
  <c r="P343" i="3"/>
  <c r="Q335" i="3"/>
  <c r="Q336" i="3"/>
  <c r="Q337" i="3"/>
  <c r="Q338" i="3"/>
  <c r="Q344" i="3"/>
  <c r="Q339" i="3"/>
  <c r="Q340" i="3"/>
  <c r="Q341" i="3"/>
  <c r="Q342" i="3"/>
  <c r="Q343" i="3"/>
  <c r="B290" i="3"/>
  <c r="L297" i="3"/>
  <c r="L298" i="3"/>
  <c r="L299" i="3"/>
  <c r="L300" i="3"/>
  <c r="L306" i="3"/>
  <c r="L301" i="3"/>
  <c r="L302" i="3"/>
  <c r="L303" i="3"/>
  <c r="L304" i="3"/>
  <c r="L305" i="3"/>
  <c r="M297" i="3"/>
  <c r="M298" i="3"/>
  <c r="M299" i="3"/>
  <c r="M300" i="3"/>
  <c r="M306" i="3"/>
  <c r="M301" i="3"/>
  <c r="M302" i="3"/>
  <c r="M303" i="3"/>
  <c r="M304" i="3"/>
  <c r="M305" i="3"/>
  <c r="N297" i="3"/>
  <c r="N298" i="3"/>
  <c r="N299" i="3"/>
  <c r="N300" i="3"/>
  <c r="N306" i="3"/>
  <c r="N301" i="3"/>
  <c r="N302" i="3"/>
  <c r="N303" i="3"/>
  <c r="N304" i="3"/>
  <c r="N305" i="3"/>
  <c r="O297" i="3"/>
  <c r="O298" i="3"/>
  <c r="O299" i="3"/>
  <c r="O300" i="3"/>
  <c r="O306" i="3"/>
  <c r="O301" i="3"/>
  <c r="O302" i="3"/>
  <c r="O303" i="3"/>
  <c r="O304" i="3"/>
  <c r="O305" i="3"/>
  <c r="P297" i="3"/>
  <c r="P298" i="3"/>
  <c r="P299" i="3"/>
  <c r="P300" i="3"/>
  <c r="P306" i="3"/>
  <c r="P301" i="3"/>
  <c r="P302" i="3"/>
  <c r="P303" i="3"/>
  <c r="P304" i="3"/>
  <c r="P305" i="3"/>
  <c r="Q297" i="3"/>
  <c r="Q298" i="3"/>
  <c r="Q299" i="3"/>
  <c r="Q300" i="3"/>
  <c r="Q306" i="3"/>
  <c r="Q301" i="3"/>
  <c r="Q302" i="3"/>
  <c r="Q303" i="3"/>
  <c r="Q304" i="3"/>
  <c r="Q305" i="3"/>
  <c r="B252" i="3"/>
  <c r="L259" i="3"/>
  <c r="L260" i="3"/>
  <c r="L261" i="3"/>
  <c r="L262" i="3"/>
  <c r="L268" i="3"/>
  <c r="L263" i="3"/>
  <c r="L264" i="3"/>
  <c r="L265" i="3"/>
  <c r="L266" i="3"/>
  <c r="L267" i="3"/>
  <c r="M259" i="3"/>
  <c r="M260" i="3"/>
  <c r="M261" i="3"/>
  <c r="M262" i="3"/>
  <c r="M268" i="3"/>
  <c r="M263" i="3"/>
  <c r="M264" i="3"/>
  <c r="M265" i="3"/>
  <c r="M266" i="3"/>
  <c r="M267" i="3"/>
  <c r="N259" i="3"/>
  <c r="N260" i="3"/>
  <c r="N261" i="3"/>
  <c r="N262" i="3"/>
  <c r="N268" i="3"/>
  <c r="N263" i="3"/>
  <c r="N264" i="3"/>
  <c r="N265" i="3"/>
  <c r="N266" i="3"/>
  <c r="N267" i="3"/>
  <c r="O259" i="3"/>
  <c r="O260" i="3"/>
  <c r="O261" i="3"/>
  <c r="O262" i="3"/>
  <c r="O268" i="3"/>
  <c r="O263" i="3"/>
  <c r="O264" i="3"/>
  <c r="O265" i="3"/>
  <c r="O266" i="3"/>
  <c r="O267" i="3"/>
  <c r="P259" i="3"/>
  <c r="P260" i="3"/>
  <c r="P261" i="3"/>
  <c r="P262" i="3"/>
  <c r="P268" i="3"/>
  <c r="P263" i="3"/>
  <c r="P264" i="3"/>
  <c r="P265" i="3"/>
  <c r="P266" i="3"/>
  <c r="P267" i="3"/>
  <c r="Q259" i="3"/>
  <c r="Q260" i="3"/>
  <c r="Q261" i="3"/>
  <c r="Q262" i="3"/>
  <c r="Q268" i="3"/>
  <c r="Q263" i="3"/>
  <c r="Q264" i="3"/>
  <c r="Q265" i="3"/>
  <c r="Q266" i="3"/>
  <c r="Q267" i="3"/>
  <c r="B214" i="3"/>
  <c r="L221" i="3"/>
  <c r="L222" i="3"/>
  <c r="L223" i="3"/>
  <c r="L224" i="3"/>
  <c r="L230" i="3"/>
  <c r="L225" i="3"/>
  <c r="L226" i="3"/>
  <c r="L227" i="3"/>
  <c r="L228" i="3"/>
  <c r="L229" i="3"/>
  <c r="M221" i="3"/>
  <c r="M222" i="3"/>
  <c r="M223" i="3"/>
  <c r="M224" i="3"/>
  <c r="M230" i="3"/>
  <c r="M225" i="3"/>
  <c r="M226" i="3"/>
  <c r="M227" i="3"/>
  <c r="M228" i="3"/>
  <c r="M229" i="3"/>
  <c r="N221" i="3"/>
  <c r="N222" i="3"/>
  <c r="N223" i="3"/>
  <c r="N224" i="3"/>
  <c r="N230" i="3"/>
  <c r="N225" i="3"/>
  <c r="N226" i="3"/>
  <c r="N227" i="3"/>
  <c r="N228" i="3"/>
  <c r="N229" i="3"/>
  <c r="O221" i="3"/>
  <c r="O222" i="3"/>
  <c r="O223" i="3"/>
  <c r="O224" i="3"/>
  <c r="O230" i="3"/>
  <c r="O225" i="3"/>
  <c r="O226" i="3"/>
  <c r="O227" i="3"/>
  <c r="O228" i="3"/>
  <c r="O229" i="3"/>
  <c r="P221" i="3"/>
  <c r="P222" i="3"/>
  <c r="P223" i="3"/>
  <c r="P224" i="3"/>
  <c r="P230" i="3"/>
  <c r="P225" i="3"/>
  <c r="P226" i="3"/>
  <c r="P227" i="3"/>
  <c r="P228" i="3"/>
  <c r="P229" i="3"/>
  <c r="Q221" i="3"/>
  <c r="Q222" i="3"/>
  <c r="Q223" i="3"/>
  <c r="Q224" i="3"/>
  <c r="Q230" i="3"/>
  <c r="Q225" i="3"/>
  <c r="Q226" i="3"/>
  <c r="Q227" i="3"/>
  <c r="Q228" i="3"/>
  <c r="Q229" i="3"/>
  <c r="B176" i="3"/>
  <c r="L183" i="3"/>
  <c r="L184" i="3"/>
  <c r="L185" i="3"/>
  <c r="L186" i="3"/>
  <c r="L192" i="3"/>
  <c r="L187" i="3"/>
  <c r="L188" i="3"/>
  <c r="L189" i="3"/>
  <c r="L190" i="3"/>
  <c r="L191" i="3"/>
  <c r="M183" i="3"/>
  <c r="M184" i="3"/>
  <c r="M185" i="3"/>
  <c r="M186" i="3"/>
  <c r="M192" i="3"/>
  <c r="M187" i="3"/>
  <c r="M188" i="3"/>
  <c r="M189" i="3"/>
  <c r="M190" i="3"/>
  <c r="M191" i="3"/>
  <c r="N183" i="3"/>
  <c r="N184" i="3"/>
  <c r="N185" i="3"/>
  <c r="N186" i="3"/>
  <c r="N192" i="3"/>
  <c r="N187" i="3"/>
  <c r="N188" i="3"/>
  <c r="N189" i="3"/>
  <c r="N190" i="3"/>
  <c r="N191" i="3"/>
  <c r="O183" i="3"/>
  <c r="O184" i="3"/>
  <c r="O185" i="3"/>
  <c r="O186" i="3"/>
  <c r="O192" i="3"/>
  <c r="O187" i="3"/>
  <c r="O188" i="3"/>
  <c r="O189" i="3"/>
  <c r="O190" i="3"/>
  <c r="O191" i="3"/>
  <c r="P183" i="3"/>
  <c r="P184" i="3"/>
  <c r="P185" i="3"/>
  <c r="P186" i="3"/>
  <c r="P192" i="3"/>
  <c r="P187" i="3"/>
  <c r="P188" i="3"/>
  <c r="P189" i="3"/>
  <c r="P190" i="3"/>
  <c r="P191" i="3"/>
  <c r="Q183" i="3"/>
  <c r="Q184" i="3"/>
  <c r="Q185" i="3"/>
  <c r="Q186" i="3"/>
  <c r="Q192" i="3"/>
  <c r="Q187" i="3"/>
  <c r="Q188" i="3"/>
  <c r="Q189" i="3"/>
  <c r="Q190" i="3"/>
  <c r="Q191" i="3"/>
  <c r="B138" i="3"/>
  <c r="L145" i="3"/>
  <c r="L146" i="3"/>
  <c r="L147" i="3"/>
  <c r="L148" i="3"/>
  <c r="L154" i="3"/>
  <c r="L149" i="3"/>
  <c r="L150" i="3"/>
  <c r="L151" i="3"/>
  <c r="L152" i="3"/>
  <c r="L153" i="3"/>
  <c r="M145" i="3"/>
  <c r="M146" i="3"/>
  <c r="M147" i="3"/>
  <c r="M148" i="3"/>
  <c r="M154" i="3"/>
  <c r="M149" i="3"/>
  <c r="M150" i="3"/>
  <c r="M151" i="3"/>
  <c r="M152" i="3"/>
  <c r="M153" i="3"/>
  <c r="N145" i="3"/>
  <c r="N146" i="3"/>
  <c r="N147" i="3"/>
  <c r="N148" i="3"/>
  <c r="N154" i="3"/>
  <c r="N149" i="3"/>
  <c r="N150" i="3"/>
  <c r="N151" i="3"/>
  <c r="N152" i="3"/>
  <c r="N153" i="3"/>
  <c r="O145" i="3"/>
  <c r="O146" i="3"/>
  <c r="O147" i="3"/>
  <c r="O148" i="3"/>
  <c r="O154" i="3"/>
  <c r="O149" i="3"/>
  <c r="O150" i="3"/>
  <c r="O151" i="3"/>
  <c r="O152" i="3"/>
  <c r="O153" i="3"/>
  <c r="P145" i="3"/>
  <c r="P146" i="3"/>
  <c r="P147" i="3"/>
  <c r="P148" i="3"/>
  <c r="P154" i="3"/>
  <c r="P149" i="3"/>
  <c r="P150" i="3"/>
  <c r="P151" i="3"/>
  <c r="P152" i="3"/>
  <c r="P153" i="3"/>
  <c r="Q145" i="3"/>
  <c r="Q146" i="3"/>
  <c r="Q147" i="3"/>
  <c r="Q148" i="3"/>
  <c r="Q154" i="3"/>
  <c r="Q149" i="3"/>
  <c r="Q150" i="3"/>
  <c r="Q151" i="3"/>
  <c r="Q152" i="3"/>
  <c r="Q153" i="3"/>
  <c r="B100" i="3"/>
  <c r="L107" i="3"/>
  <c r="L108" i="3"/>
  <c r="L109" i="3"/>
  <c r="L110" i="3"/>
  <c r="L116" i="3"/>
  <c r="L111" i="3"/>
  <c r="L112" i="3"/>
  <c r="L113" i="3"/>
  <c r="L114" i="3"/>
  <c r="L115" i="3"/>
  <c r="M107" i="3"/>
  <c r="M108" i="3"/>
  <c r="M109" i="3"/>
  <c r="M110" i="3"/>
  <c r="M116" i="3"/>
  <c r="M111" i="3"/>
  <c r="M112" i="3"/>
  <c r="M113" i="3"/>
  <c r="M114" i="3"/>
  <c r="M115" i="3"/>
  <c r="N107" i="3"/>
  <c r="N108" i="3"/>
  <c r="N109" i="3"/>
  <c r="N110" i="3"/>
  <c r="N116" i="3"/>
  <c r="N111" i="3"/>
  <c r="N112" i="3"/>
  <c r="N113" i="3"/>
  <c r="N114" i="3"/>
  <c r="N115" i="3"/>
  <c r="O107" i="3"/>
  <c r="O108" i="3"/>
  <c r="O109" i="3"/>
  <c r="O110" i="3"/>
  <c r="O116" i="3"/>
  <c r="O111" i="3"/>
  <c r="O112" i="3"/>
  <c r="O113" i="3"/>
  <c r="O114" i="3"/>
  <c r="O115" i="3"/>
  <c r="P107" i="3"/>
  <c r="P108" i="3"/>
  <c r="P109" i="3"/>
  <c r="P110" i="3"/>
  <c r="P116" i="3"/>
  <c r="P111" i="3"/>
  <c r="P112" i="3"/>
  <c r="P113" i="3"/>
  <c r="P114" i="3"/>
  <c r="P115" i="3"/>
  <c r="Q107" i="3"/>
  <c r="Q108" i="3"/>
  <c r="Q109" i="3"/>
  <c r="Q110" i="3"/>
  <c r="Q116" i="3"/>
  <c r="Q111" i="3"/>
  <c r="Q112" i="3"/>
  <c r="Q113" i="3"/>
  <c r="Q114" i="3"/>
  <c r="Q115" i="3"/>
  <c r="B19" i="47"/>
  <c r="B24" i="3"/>
  <c r="G25" i="47"/>
  <c r="L31" i="3"/>
  <c r="L32" i="3"/>
  <c r="L33" i="3"/>
  <c r="L34" i="3"/>
  <c r="L40" i="3"/>
  <c r="L35" i="3"/>
  <c r="L36" i="3"/>
  <c r="L37" i="3"/>
  <c r="L38" i="3"/>
  <c r="L39" i="3"/>
  <c r="C50" i="3"/>
  <c r="M31" i="3"/>
  <c r="M32" i="3"/>
  <c r="M33" i="3"/>
  <c r="M34" i="3"/>
  <c r="M40" i="3"/>
  <c r="M35" i="3"/>
  <c r="M36" i="3"/>
  <c r="M37" i="3"/>
  <c r="M38" i="3"/>
  <c r="M39" i="3"/>
  <c r="N31" i="3"/>
  <c r="N32" i="3"/>
  <c r="N33" i="3"/>
  <c r="N34" i="3"/>
  <c r="N40" i="3"/>
  <c r="N35" i="3"/>
  <c r="N36" i="3"/>
  <c r="N37" i="3"/>
  <c r="N38" i="3"/>
  <c r="N39" i="3"/>
  <c r="O31" i="3"/>
  <c r="O32" i="3"/>
  <c r="O33" i="3"/>
  <c r="O34" i="3"/>
  <c r="O40" i="3"/>
  <c r="O35" i="3"/>
  <c r="O36" i="3"/>
  <c r="O37" i="3"/>
  <c r="O38" i="3"/>
  <c r="O39" i="3"/>
  <c r="P31" i="3"/>
  <c r="P32" i="3"/>
  <c r="P33" i="3"/>
  <c r="P34" i="3"/>
  <c r="P40" i="3"/>
  <c r="P35" i="3"/>
  <c r="P36" i="3"/>
  <c r="P37" i="3"/>
  <c r="P38" i="3"/>
  <c r="P39" i="3"/>
  <c r="Q31" i="3"/>
  <c r="Q32" i="3"/>
  <c r="Q33" i="3"/>
  <c r="Q34" i="3"/>
  <c r="Q40" i="3"/>
  <c r="Q35" i="3"/>
  <c r="Q36" i="3"/>
  <c r="Q37" i="3"/>
  <c r="Q38" i="3"/>
  <c r="Q39" i="3"/>
  <c r="B366" i="56"/>
  <c r="L373" i="56"/>
  <c r="L374" i="56"/>
  <c r="L375" i="56"/>
  <c r="L376" i="56"/>
  <c r="L382" i="56"/>
  <c r="L377" i="56"/>
  <c r="L378" i="56"/>
  <c r="L379" i="56"/>
  <c r="L380" i="56"/>
  <c r="L381" i="56"/>
  <c r="C392" i="56"/>
  <c r="M373" i="56"/>
  <c r="M374" i="56"/>
  <c r="M375" i="56"/>
  <c r="M376" i="56"/>
  <c r="M382" i="56"/>
  <c r="M377" i="56"/>
  <c r="M378" i="56"/>
  <c r="M379" i="56"/>
  <c r="M380" i="56"/>
  <c r="M381" i="56"/>
  <c r="N373" i="56"/>
  <c r="N374" i="56"/>
  <c r="N375" i="56"/>
  <c r="N376" i="56"/>
  <c r="N382" i="56"/>
  <c r="N377" i="56"/>
  <c r="N378" i="56"/>
  <c r="N379" i="56"/>
  <c r="N380" i="56"/>
  <c r="N381" i="56"/>
  <c r="O373" i="56"/>
  <c r="O374" i="56"/>
  <c r="O375" i="56"/>
  <c r="O376" i="56"/>
  <c r="O382" i="56"/>
  <c r="O377" i="56"/>
  <c r="O378" i="56"/>
  <c r="O379" i="56"/>
  <c r="O380" i="56"/>
  <c r="O381" i="56"/>
  <c r="P373" i="56"/>
  <c r="P374" i="56"/>
  <c r="P375" i="56"/>
  <c r="P376" i="56"/>
  <c r="P382" i="56"/>
  <c r="P377" i="56"/>
  <c r="P378" i="56"/>
  <c r="P379" i="56"/>
  <c r="P380" i="56"/>
  <c r="P381" i="56"/>
  <c r="Q373" i="56"/>
  <c r="Q374" i="56"/>
  <c r="Q375" i="56"/>
  <c r="Q376" i="56"/>
  <c r="Q382" i="56"/>
  <c r="Q377" i="56"/>
  <c r="Q378" i="56"/>
  <c r="Q379" i="56"/>
  <c r="Q380" i="56"/>
  <c r="Q381" i="56"/>
  <c r="B328" i="56"/>
  <c r="L335" i="56"/>
  <c r="L336" i="56"/>
  <c r="L337" i="56"/>
  <c r="L338" i="56"/>
  <c r="L344" i="56"/>
  <c r="L339" i="56"/>
  <c r="L340" i="56"/>
  <c r="L341" i="56"/>
  <c r="L342" i="56"/>
  <c r="L343" i="56"/>
  <c r="C354" i="56"/>
  <c r="M335" i="56"/>
  <c r="M336" i="56"/>
  <c r="M337" i="56"/>
  <c r="M338" i="56"/>
  <c r="M344" i="56"/>
  <c r="M339" i="56"/>
  <c r="M340" i="56"/>
  <c r="M341" i="56"/>
  <c r="M342" i="56"/>
  <c r="M343" i="56"/>
  <c r="N335" i="56"/>
  <c r="N336" i="56"/>
  <c r="N337" i="56"/>
  <c r="N338" i="56"/>
  <c r="N344" i="56"/>
  <c r="N339" i="56"/>
  <c r="N340" i="56"/>
  <c r="N341" i="56"/>
  <c r="N342" i="56"/>
  <c r="N343" i="56"/>
  <c r="O335" i="56"/>
  <c r="O336" i="56"/>
  <c r="O337" i="56"/>
  <c r="O338" i="56"/>
  <c r="O344" i="56"/>
  <c r="O339" i="56"/>
  <c r="O340" i="56"/>
  <c r="O341" i="56"/>
  <c r="O342" i="56"/>
  <c r="O343" i="56"/>
  <c r="P335" i="56"/>
  <c r="P336" i="56"/>
  <c r="P337" i="56"/>
  <c r="P338" i="56"/>
  <c r="P344" i="56"/>
  <c r="P339" i="56"/>
  <c r="P340" i="56"/>
  <c r="P341" i="56"/>
  <c r="P342" i="56"/>
  <c r="P343" i="56"/>
  <c r="Q335" i="56"/>
  <c r="Q336" i="56"/>
  <c r="Q337" i="56"/>
  <c r="Q338" i="56"/>
  <c r="Q344" i="56"/>
  <c r="Q339" i="56"/>
  <c r="Q340" i="56"/>
  <c r="Q341" i="56"/>
  <c r="Q342" i="56"/>
  <c r="Q343" i="56"/>
  <c r="B290" i="56"/>
  <c r="L297" i="56"/>
  <c r="L298" i="56"/>
  <c r="L299" i="56"/>
  <c r="L300" i="56"/>
  <c r="L306" i="56"/>
  <c r="L301" i="56"/>
  <c r="L302" i="56"/>
  <c r="L303" i="56"/>
  <c r="L304" i="56"/>
  <c r="L305" i="56"/>
  <c r="C316" i="56"/>
  <c r="M297" i="56"/>
  <c r="M298" i="56"/>
  <c r="M299" i="56"/>
  <c r="M300" i="56"/>
  <c r="M306" i="56"/>
  <c r="M301" i="56"/>
  <c r="M302" i="56"/>
  <c r="M303" i="56"/>
  <c r="M304" i="56"/>
  <c r="M305" i="56"/>
  <c r="N297" i="56"/>
  <c r="N298" i="56"/>
  <c r="N299" i="56"/>
  <c r="N300" i="56"/>
  <c r="N306" i="56"/>
  <c r="N301" i="56"/>
  <c r="N302" i="56"/>
  <c r="N303" i="56"/>
  <c r="N304" i="56"/>
  <c r="N305" i="56"/>
  <c r="O297" i="56"/>
  <c r="O298" i="56"/>
  <c r="O299" i="56"/>
  <c r="O300" i="56"/>
  <c r="O306" i="56"/>
  <c r="O301" i="56"/>
  <c r="O302" i="56"/>
  <c r="O303" i="56"/>
  <c r="O304" i="56"/>
  <c r="O305" i="56"/>
  <c r="P297" i="56"/>
  <c r="P298" i="56"/>
  <c r="P299" i="56"/>
  <c r="P300" i="56"/>
  <c r="P306" i="56"/>
  <c r="P301" i="56"/>
  <c r="P302" i="56"/>
  <c r="P303" i="56"/>
  <c r="P304" i="56"/>
  <c r="P305" i="56"/>
  <c r="Q297" i="56"/>
  <c r="Q298" i="56"/>
  <c r="Q299" i="56"/>
  <c r="Q300" i="56"/>
  <c r="Q306" i="56"/>
  <c r="Q301" i="56"/>
  <c r="Q302" i="56"/>
  <c r="Q303" i="56"/>
  <c r="Q304" i="56"/>
  <c r="Q305" i="56"/>
  <c r="B252" i="56"/>
  <c r="L259" i="56"/>
  <c r="L260" i="56"/>
  <c r="L261" i="56"/>
  <c r="L262" i="56"/>
  <c r="L268" i="56"/>
  <c r="L263" i="56"/>
  <c r="L264" i="56"/>
  <c r="L265" i="56"/>
  <c r="L266" i="56"/>
  <c r="L267" i="56"/>
  <c r="C278" i="56"/>
  <c r="M259" i="56"/>
  <c r="M260" i="56"/>
  <c r="M261" i="56"/>
  <c r="M262" i="56"/>
  <c r="M268" i="56"/>
  <c r="M263" i="56"/>
  <c r="M264" i="56"/>
  <c r="M265" i="56"/>
  <c r="M266" i="56"/>
  <c r="M267" i="56"/>
  <c r="N259" i="56"/>
  <c r="N260" i="56"/>
  <c r="N261" i="56"/>
  <c r="N262" i="56"/>
  <c r="N268" i="56"/>
  <c r="N263" i="56"/>
  <c r="N264" i="56"/>
  <c r="N265" i="56"/>
  <c r="N266" i="56"/>
  <c r="N267" i="56"/>
  <c r="O259" i="56"/>
  <c r="O260" i="56"/>
  <c r="O261" i="56"/>
  <c r="O262" i="56"/>
  <c r="O268" i="56"/>
  <c r="O263" i="56"/>
  <c r="O264" i="56"/>
  <c r="O265" i="56"/>
  <c r="O266" i="56"/>
  <c r="O267" i="56"/>
  <c r="P259" i="56"/>
  <c r="P260" i="56"/>
  <c r="P261" i="56"/>
  <c r="P262" i="56"/>
  <c r="P268" i="56"/>
  <c r="P263" i="56"/>
  <c r="P264" i="56"/>
  <c r="P265" i="56"/>
  <c r="P266" i="56"/>
  <c r="P267" i="56"/>
  <c r="Q259" i="56"/>
  <c r="Q260" i="56"/>
  <c r="Q261" i="56"/>
  <c r="Q262" i="56"/>
  <c r="Q268" i="56"/>
  <c r="Q263" i="56"/>
  <c r="Q264" i="56"/>
  <c r="Q265" i="56"/>
  <c r="Q266" i="56"/>
  <c r="Q267" i="56"/>
  <c r="B214" i="56"/>
  <c r="L221" i="56"/>
  <c r="L222" i="56"/>
  <c r="L223" i="56"/>
  <c r="L224" i="56"/>
  <c r="L230" i="56"/>
  <c r="L225" i="56"/>
  <c r="L226" i="56"/>
  <c r="L227" i="56"/>
  <c r="L228" i="56"/>
  <c r="L229" i="56"/>
  <c r="C240" i="56"/>
  <c r="M221" i="56"/>
  <c r="M222" i="56"/>
  <c r="M223" i="56"/>
  <c r="M224" i="56"/>
  <c r="M230" i="56"/>
  <c r="M225" i="56"/>
  <c r="M226" i="56"/>
  <c r="M227" i="56"/>
  <c r="M228" i="56"/>
  <c r="M229" i="56"/>
  <c r="N221" i="56"/>
  <c r="N222" i="56"/>
  <c r="N223" i="56"/>
  <c r="N224" i="56"/>
  <c r="N230" i="56"/>
  <c r="N225" i="56"/>
  <c r="N226" i="56"/>
  <c r="N227" i="56"/>
  <c r="N228" i="56"/>
  <c r="N229" i="56"/>
  <c r="O221" i="56"/>
  <c r="O222" i="56"/>
  <c r="O223" i="56"/>
  <c r="O224" i="56"/>
  <c r="O230" i="56"/>
  <c r="O225" i="56"/>
  <c r="O226" i="56"/>
  <c r="O227" i="56"/>
  <c r="O228" i="56"/>
  <c r="O229" i="56"/>
  <c r="P221" i="56"/>
  <c r="P222" i="56"/>
  <c r="P223" i="56"/>
  <c r="P224" i="56"/>
  <c r="P230" i="56"/>
  <c r="P225" i="56"/>
  <c r="P226" i="56"/>
  <c r="P227" i="56"/>
  <c r="P228" i="56"/>
  <c r="P229" i="56"/>
  <c r="Q221" i="56"/>
  <c r="Q222" i="56"/>
  <c r="Q223" i="56"/>
  <c r="Q224" i="56"/>
  <c r="Q230" i="56"/>
  <c r="Q225" i="56"/>
  <c r="Q226" i="56"/>
  <c r="Q227" i="56"/>
  <c r="Q228" i="56"/>
  <c r="Q229" i="56"/>
  <c r="B176" i="56"/>
  <c r="L183" i="56"/>
  <c r="L184" i="56"/>
  <c r="L185" i="56"/>
  <c r="L186" i="56"/>
  <c r="L192" i="56"/>
  <c r="L187" i="56"/>
  <c r="L188" i="56"/>
  <c r="L189" i="56"/>
  <c r="L190" i="56"/>
  <c r="L191" i="56"/>
  <c r="C202" i="56"/>
  <c r="M183" i="56"/>
  <c r="M184" i="56"/>
  <c r="M185" i="56"/>
  <c r="M186" i="56"/>
  <c r="M192" i="56"/>
  <c r="M187" i="56"/>
  <c r="M188" i="56"/>
  <c r="M189" i="56"/>
  <c r="M190" i="56"/>
  <c r="M191" i="56"/>
  <c r="N183" i="56"/>
  <c r="N184" i="56"/>
  <c r="N185" i="56"/>
  <c r="N186" i="56"/>
  <c r="N192" i="56"/>
  <c r="N187" i="56"/>
  <c r="N188" i="56"/>
  <c r="N189" i="56"/>
  <c r="N190" i="56"/>
  <c r="N191" i="56"/>
  <c r="O183" i="56"/>
  <c r="O184" i="56"/>
  <c r="O185" i="56"/>
  <c r="O186" i="56"/>
  <c r="O192" i="56"/>
  <c r="O187" i="56"/>
  <c r="O188" i="56"/>
  <c r="O189" i="56"/>
  <c r="O190" i="56"/>
  <c r="O191" i="56"/>
  <c r="P183" i="56"/>
  <c r="P184" i="56"/>
  <c r="P185" i="56"/>
  <c r="P186" i="56"/>
  <c r="P192" i="56"/>
  <c r="P187" i="56"/>
  <c r="P188" i="56"/>
  <c r="P189" i="56"/>
  <c r="P190" i="56"/>
  <c r="P191" i="56"/>
  <c r="Q183" i="56"/>
  <c r="Q184" i="56"/>
  <c r="Q185" i="56"/>
  <c r="Q186" i="56"/>
  <c r="Q192" i="56"/>
  <c r="Q187" i="56"/>
  <c r="Q188" i="56"/>
  <c r="Q189" i="56"/>
  <c r="Q190" i="56"/>
  <c r="Q191" i="56"/>
  <c r="B138" i="56"/>
  <c r="L145" i="56"/>
  <c r="L146" i="56"/>
  <c r="L147" i="56"/>
  <c r="L148" i="56"/>
  <c r="L154" i="56"/>
  <c r="L149" i="56"/>
  <c r="L150" i="56"/>
  <c r="L151" i="56"/>
  <c r="L152" i="56"/>
  <c r="L153" i="56"/>
  <c r="C164" i="56"/>
  <c r="M145" i="56"/>
  <c r="M146" i="56"/>
  <c r="M147" i="56"/>
  <c r="M148" i="56"/>
  <c r="M154" i="56"/>
  <c r="M149" i="56"/>
  <c r="M150" i="56"/>
  <c r="M151" i="56"/>
  <c r="M152" i="56"/>
  <c r="M153" i="56"/>
  <c r="N145" i="56"/>
  <c r="N146" i="56"/>
  <c r="N147" i="56"/>
  <c r="N148" i="56"/>
  <c r="N154" i="56"/>
  <c r="N149" i="56"/>
  <c r="N150" i="56"/>
  <c r="N151" i="56"/>
  <c r="N152" i="56"/>
  <c r="N153" i="56"/>
  <c r="O145" i="56"/>
  <c r="O146" i="56"/>
  <c r="O147" i="56"/>
  <c r="O148" i="56"/>
  <c r="O154" i="56"/>
  <c r="O149" i="56"/>
  <c r="O150" i="56"/>
  <c r="O151" i="56"/>
  <c r="O152" i="56"/>
  <c r="O153" i="56"/>
  <c r="P145" i="56"/>
  <c r="P146" i="56"/>
  <c r="P147" i="56"/>
  <c r="P148" i="56"/>
  <c r="P154" i="56"/>
  <c r="P149" i="56"/>
  <c r="P150" i="56"/>
  <c r="P151" i="56"/>
  <c r="P152" i="56"/>
  <c r="P153" i="56"/>
  <c r="Q145" i="56"/>
  <c r="Q146" i="56"/>
  <c r="Q147" i="56"/>
  <c r="Q148" i="56"/>
  <c r="Q154" i="56"/>
  <c r="Q149" i="56"/>
  <c r="Q150" i="56"/>
  <c r="Q151" i="56"/>
  <c r="Q152" i="56"/>
  <c r="Q153" i="56"/>
  <c r="B100" i="56"/>
  <c r="L107" i="56"/>
  <c r="L108" i="56"/>
  <c r="L109" i="56"/>
  <c r="L110" i="56"/>
  <c r="L116" i="56"/>
  <c r="L111" i="56"/>
  <c r="L112" i="56"/>
  <c r="L113" i="56"/>
  <c r="L114" i="56"/>
  <c r="L115" i="56"/>
  <c r="C126" i="56"/>
  <c r="M107" i="56"/>
  <c r="M108" i="56"/>
  <c r="M109" i="56"/>
  <c r="M110" i="56"/>
  <c r="M116" i="56"/>
  <c r="M111" i="56"/>
  <c r="M112" i="56"/>
  <c r="M113" i="56"/>
  <c r="M114" i="56"/>
  <c r="M115" i="56"/>
  <c r="N107" i="56"/>
  <c r="N108" i="56"/>
  <c r="N109" i="56"/>
  <c r="N110" i="56"/>
  <c r="N116" i="56"/>
  <c r="N111" i="56"/>
  <c r="N112" i="56"/>
  <c r="N113" i="56"/>
  <c r="N114" i="56"/>
  <c r="N115" i="56"/>
  <c r="O107" i="56"/>
  <c r="O108" i="56"/>
  <c r="O109" i="56"/>
  <c r="O110" i="56"/>
  <c r="O116" i="56"/>
  <c r="O111" i="56"/>
  <c r="O112" i="56"/>
  <c r="O113" i="56"/>
  <c r="O114" i="56"/>
  <c r="O115" i="56"/>
  <c r="P107" i="56"/>
  <c r="P108" i="56"/>
  <c r="P109" i="56"/>
  <c r="P110" i="56"/>
  <c r="P116" i="56"/>
  <c r="P111" i="56"/>
  <c r="P112" i="56"/>
  <c r="P113" i="56"/>
  <c r="P114" i="56"/>
  <c r="P115" i="56"/>
  <c r="Q107" i="56"/>
  <c r="Q108" i="56"/>
  <c r="Q109" i="56"/>
  <c r="Q110" i="56"/>
  <c r="Q116" i="56"/>
  <c r="Q111" i="56"/>
  <c r="Q112" i="56"/>
  <c r="Q113" i="56"/>
  <c r="Q114" i="56"/>
  <c r="Q115" i="56"/>
  <c r="B62" i="56"/>
  <c r="L69" i="56"/>
  <c r="L70" i="56"/>
  <c r="L71" i="56"/>
  <c r="L72" i="56"/>
  <c r="L78" i="56"/>
  <c r="L73" i="56"/>
  <c r="L74" i="56"/>
  <c r="L75" i="56"/>
  <c r="L76" i="56"/>
  <c r="L77" i="56"/>
  <c r="C88" i="56"/>
  <c r="M69" i="56"/>
  <c r="M70" i="56"/>
  <c r="M71" i="56"/>
  <c r="M72" i="56"/>
  <c r="M78" i="56"/>
  <c r="M73" i="56"/>
  <c r="M74" i="56"/>
  <c r="M75" i="56"/>
  <c r="M76" i="56"/>
  <c r="M77" i="56"/>
  <c r="N69" i="56"/>
  <c r="N70" i="56"/>
  <c r="N71" i="56"/>
  <c r="N72" i="56"/>
  <c r="N78" i="56"/>
  <c r="N73" i="56"/>
  <c r="N74" i="56"/>
  <c r="N75" i="56"/>
  <c r="N76" i="56"/>
  <c r="N77" i="56"/>
  <c r="O69" i="56"/>
  <c r="O70" i="56"/>
  <c r="O71" i="56"/>
  <c r="O72" i="56"/>
  <c r="O78" i="56"/>
  <c r="O73" i="56"/>
  <c r="O74" i="56"/>
  <c r="O75" i="56"/>
  <c r="O76" i="56"/>
  <c r="O77" i="56"/>
  <c r="P69" i="56"/>
  <c r="P70" i="56"/>
  <c r="P71" i="56"/>
  <c r="P72" i="56"/>
  <c r="P78" i="56"/>
  <c r="P73" i="56"/>
  <c r="P74" i="56"/>
  <c r="P75" i="56"/>
  <c r="P76" i="56"/>
  <c r="P77" i="56"/>
  <c r="Q69" i="56"/>
  <c r="Q70" i="56"/>
  <c r="Q71" i="56"/>
  <c r="Q72" i="56"/>
  <c r="Q78" i="56"/>
  <c r="Q73" i="56"/>
  <c r="Q74" i="56"/>
  <c r="Q75" i="56"/>
  <c r="Q76" i="56"/>
  <c r="Q77" i="56"/>
  <c r="B24" i="56"/>
  <c r="P31" i="56"/>
  <c r="P32" i="56"/>
  <c r="P33" i="56"/>
  <c r="P34" i="56"/>
  <c r="P40" i="56"/>
  <c r="P35" i="56"/>
  <c r="P36" i="56"/>
  <c r="P37" i="56"/>
  <c r="P38" i="56"/>
  <c r="P39" i="56"/>
  <c r="C50" i="56"/>
  <c r="O31" i="56"/>
  <c r="O32" i="56"/>
  <c r="O33" i="56"/>
  <c r="O34" i="56"/>
  <c r="O40" i="56"/>
  <c r="O35" i="56"/>
  <c r="O36" i="56"/>
  <c r="O37" i="56"/>
  <c r="O38" i="56"/>
  <c r="O39" i="56"/>
  <c r="N31" i="56"/>
  <c r="N32" i="56"/>
  <c r="N33" i="56"/>
  <c r="N34" i="56"/>
  <c r="N40" i="56"/>
  <c r="N35" i="56"/>
  <c r="N36" i="56"/>
  <c r="N37" i="56"/>
  <c r="N38" i="56"/>
  <c r="N39" i="56"/>
  <c r="M31" i="56"/>
  <c r="M32" i="56"/>
  <c r="M33" i="56"/>
  <c r="M34" i="56"/>
  <c r="M40" i="56"/>
  <c r="M35" i="56"/>
  <c r="M36" i="56"/>
  <c r="M37" i="56"/>
  <c r="M38" i="56"/>
  <c r="M39" i="56"/>
  <c r="L31" i="56"/>
  <c r="L32" i="56"/>
  <c r="L33" i="56"/>
  <c r="L34" i="56"/>
  <c r="L40" i="56"/>
  <c r="L35" i="56"/>
  <c r="L36" i="56"/>
  <c r="L37" i="56"/>
  <c r="L38" i="56"/>
  <c r="L39" i="56"/>
  <c r="N66" i="41"/>
  <c r="N81" i="41"/>
  <c r="N96" i="41"/>
  <c r="N111" i="41"/>
  <c r="N126" i="41"/>
  <c r="N141" i="41"/>
  <c r="N156" i="41"/>
  <c r="N171" i="41"/>
  <c r="N186" i="41"/>
  <c r="N201" i="41"/>
  <c r="N216" i="41"/>
  <c r="N231" i="41"/>
  <c r="N246" i="41"/>
  <c r="N261" i="41"/>
  <c r="N276" i="41"/>
  <c r="N291" i="41"/>
  <c r="N306" i="41"/>
  <c r="N321" i="41"/>
  <c r="N336" i="41"/>
  <c r="N351" i="41"/>
  <c r="C157" i="53"/>
  <c r="C128" i="53"/>
  <c r="C99" i="53"/>
  <c r="C70" i="53"/>
  <c r="C392" i="3"/>
  <c r="C354" i="3"/>
  <c r="C316" i="3"/>
  <c r="C278" i="3"/>
  <c r="C240" i="3"/>
  <c r="C202" i="3"/>
  <c r="C164" i="3"/>
  <c r="C126" i="3"/>
  <c r="B62" i="3"/>
  <c r="Q69" i="3"/>
  <c r="Q70" i="3"/>
  <c r="Q71" i="3"/>
  <c r="Q72" i="3"/>
  <c r="Q78" i="3"/>
  <c r="Q73" i="3"/>
  <c r="Q74" i="3"/>
  <c r="Q75" i="3"/>
  <c r="Q76" i="3"/>
  <c r="Q77" i="3"/>
  <c r="C88" i="3"/>
  <c r="P69" i="3"/>
  <c r="P70" i="3"/>
  <c r="P71" i="3"/>
  <c r="P72" i="3"/>
  <c r="P78" i="3"/>
  <c r="P73" i="3"/>
  <c r="P74" i="3"/>
  <c r="P75" i="3"/>
  <c r="P76" i="3"/>
  <c r="P77" i="3"/>
  <c r="O69" i="3"/>
  <c r="O70" i="3"/>
  <c r="O71" i="3"/>
  <c r="O72" i="3"/>
  <c r="O78" i="3"/>
  <c r="O73" i="3"/>
  <c r="O74" i="3"/>
  <c r="O75" i="3"/>
  <c r="O76" i="3"/>
  <c r="O77" i="3"/>
  <c r="N69" i="3"/>
  <c r="N70" i="3"/>
  <c r="N71" i="3"/>
  <c r="N72" i="3"/>
  <c r="N78" i="3"/>
  <c r="N73" i="3"/>
  <c r="N74" i="3"/>
  <c r="N75" i="3"/>
  <c r="N76" i="3"/>
  <c r="N77" i="3"/>
  <c r="M69" i="3"/>
  <c r="M70" i="3"/>
  <c r="M71" i="3"/>
  <c r="M72" i="3"/>
  <c r="M78" i="3"/>
  <c r="M73" i="3"/>
  <c r="M74" i="3"/>
  <c r="M75" i="3"/>
  <c r="M76" i="3"/>
  <c r="M77" i="3"/>
  <c r="L69" i="3"/>
  <c r="L70" i="3"/>
  <c r="L71" i="3"/>
  <c r="L72" i="3"/>
  <c r="L78" i="3"/>
  <c r="L73" i="3"/>
  <c r="L74" i="3"/>
  <c r="L75" i="3"/>
  <c r="L76" i="3"/>
  <c r="L77" i="3"/>
  <c r="E28" i="47"/>
  <c r="E23" i="47"/>
  <c r="F23" i="47"/>
  <c r="Q31" i="56"/>
  <c r="Q32" i="56"/>
  <c r="Q33" i="56"/>
  <c r="Q34" i="56"/>
  <c r="Q40" i="56"/>
  <c r="Q35" i="56"/>
  <c r="Q36" i="56"/>
  <c r="Q37" i="56"/>
  <c r="Q38" i="56"/>
  <c r="Q39" i="56"/>
  <c r="N405" i="41"/>
  <c r="AU88" i="14"/>
  <c r="AV88" i="14" s="1"/>
  <c r="AW88" i="14" s="1"/>
  <c r="AX88" i="14" s="1"/>
  <c r="AY88" i="14" s="1"/>
  <c r="AZ88" i="14" s="1"/>
  <c r="AU49" i="14"/>
  <c r="AV49" i="14" s="1"/>
  <c r="AW49" i="14" s="1"/>
  <c r="AX49" i="14" s="1"/>
  <c r="AY49" i="14" s="1"/>
  <c r="AZ49" i="14" s="1"/>
  <c r="L136" i="53"/>
  <c r="L107" i="53"/>
  <c r="L78" i="53"/>
  <c r="L49" i="53"/>
  <c r="L362" i="3"/>
  <c r="L324" i="3"/>
  <c r="L286" i="3"/>
  <c r="L248" i="3"/>
  <c r="L210" i="3"/>
  <c r="L172" i="3"/>
  <c r="L134" i="3"/>
  <c r="L96" i="3"/>
  <c r="L58" i="3"/>
  <c r="D58" i="3" s="1"/>
  <c r="AF24" i="14" s="1"/>
  <c r="L362" i="56"/>
  <c r="L324" i="56"/>
  <c r="L286" i="56"/>
  <c r="L248" i="56"/>
  <c r="L210" i="56"/>
  <c r="L172" i="56"/>
  <c r="L134" i="56"/>
  <c r="L96" i="56"/>
  <c r="D96" i="56" s="1"/>
  <c r="AE25" i="14" s="1"/>
  <c r="L58" i="56"/>
  <c r="D58" i="56" s="1"/>
  <c r="AE24" i="14" s="1"/>
  <c r="K330" i="7"/>
  <c r="K329" i="7"/>
  <c r="K326" i="7"/>
  <c r="K325" i="7"/>
  <c r="K323" i="7"/>
  <c r="K320" i="7"/>
  <c r="K319" i="7"/>
  <c r="K316" i="7"/>
  <c r="K315" i="7"/>
  <c r="K313" i="7"/>
  <c r="K22" i="7"/>
  <c r="K301" i="7" s="1"/>
  <c r="K23" i="7"/>
  <c r="K68" i="7" s="1"/>
  <c r="K24" i="7"/>
  <c r="K69" i="7" s="1"/>
  <c r="K21" i="7"/>
  <c r="K66" i="7" s="1"/>
  <c r="K294" i="7"/>
  <c r="K295" i="7"/>
  <c r="K296" i="7"/>
  <c r="K293" i="7"/>
  <c r="K96" i="7"/>
  <c r="K95" i="7"/>
  <c r="K92" i="7"/>
  <c r="K91" i="7"/>
  <c r="K89" i="7"/>
  <c r="K86" i="7"/>
  <c r="K85" i="7"/>
  <c r="K82" i="7"/>
  <c r="K81" i="7"/>
  <c r="K79" i="7"/>
  <c r="K60" i="7"/>
  <c r="K61" i="7"/>
  <c r="K62" i="7"/>
  <c r="K59" i="7"/>
  <c r="D78" i="7"/>
  <c r="E78" i="7" s="1"/>
  <c r="F78" i="7" s="1"/>
  <c r="G78" i="7" s="1"/>
  <c r="H78" i="7" s="1"/>
  <c r="I78" i="7" s="1"/>
  <c r="D58" i="7"/>
  <c r="E58" i="7" s="1"/>
  <c r="F58" i="7" s="1"/>
  <c r="G58" i="7" s="1"/>
  <c r="H58" i="7" s="1"/>
  <c r="I58" i="7" s="1"/>
  <c r="D312" i="7"/>
  <c r="E312" i="7" s="1"/>
  <c r="F312" i="7" s="1"/>
  <c r="G312" i="7" s="1"/>
  <c r="H312" i="7" s="1"/>
  <c r="I312" i="7" s="1"/>
  <c r="D292" i="7"/>
  <c r="E292" i="7" s="1"/>
  <c r="F292" i="7" s="1"/>
  <c r="G292" i="7" s="1"/>
  <c r="H292" i="7" s="1"/>
  <c r="I292" i="7" s="1"/>
  <c r="G339" i="7"/>
  <c r="L339" i="7" s="1"/>
  <c r="M339" i="7"/>
  <c r="G340" i="7"/>
  <c r="L340" i="7" s="1"/>
  <c r="M340" i="7"/>
  <c r="G341" i="7"/>
  <c r="L341" i="7" s="1"/>
  <c r="M341" i="7"/>
  <c r="M342" i="7"/>
  <c r="M343" i="7"/>
  <c r="M344" i="7"/>
  <c r="M345" i="7"/>
  <c r="M346" i="7"/>
  <c r="M347" i="7"/>
  <c r="M348" i="7"/>
  <c r="M349" i="7"/>
  <c r="M350" i="7"/>
  <c r="M351" i="7"/>
  <c r="M352" i="7"/>
  <c r="M353" i="7"/>
  <c r="M354" i="7"/>
  <c r="M355" i="7"/>
  <c r="M356" i="7"/>
  <c r="M357" i="7"/>
  <c r="G338" i="7"/>
  <c r="L338" i="7" s="1"/>
  <c r="M338" i="7"/>
  <c r="M106" i="7"/>
  <c r="M107" i="7"/>
  <c r="M108" i="7"/>
  <c r="M109" i="7"/>
  <c r="M110" i="7"/>
  <c r="M111" i="7"/>
  <c r="M112" i="7"/>
  <c r="M113" i="7"/>
  <c r="M114" i="7"/>
  <c r="M115" i="7"/>
  <c r="M116" i="7"/>
  <c r="M117" i="7"/>
  <c r="M118" i="7"/>
  <c r="M119" i="7"/>
  <c r="M120" i="7"/>
  <c r="M121" i="7"/>
  <c r="M122" i="7"/>
  <c r="M123" i="7"/>
  <c r="C50" i="1"/>
  <c r="AB107" i="15"/>
  <c r="AB108" i="15"/>
  <c r="Q37" i="58"/>
  <c r="P36" i="58"/>
  <c r="O35" i="58"/>
  <c r="N34" i="58"/>
  <c r="M33" i="58"/>
  <c r="L32" i="58"/>
  <c r="K31" i="58"/>
  <c r="J30" i="58"/>
  <c r="I29" i="58"/>
  <c r="H28" i="58"/>
  <c r="G27" i="58"/>
  <c r="F26" i="58"/>
  <c r="AH337" i="7"/>
  <c r="AI337" i="7" s="1"/>
  <c r="AJ337" i="7" s="1"/>
  <c r="AK337" i="7" s="1"/>
  <c r="AL337" i="7" s="1"/>
  <c r="AM337" i="7" s="1"/>
  <c r="AB337" i="7"/>
  <c r="AC337" i="7" s="1"/>
  <c r="AD337" i="7" s="1"/>
  <c r="AE337" i="7" s="1"/>
  <c r="AF337" i="7" s="1"/>
  <c r="AG337" i="7" s="1"/>
  <c r="AH103" i="7"/>
  <c r="AI103" i="7" s="1"/>
  <c r="AJ103" i="7" s="1"/>
  <c r="AK103" i="7" s="1"/>
  <c r="AL103" i="7" s="1"/>
  <c r="AM103" i="7" s="1"/>
  <c r="AB103" i="7"/>
  <c r="AC103" i="7" s="1"/>
  <c r="AD103" i="7" s="1"/>
  <c r="AE103" i="7" s="1"/>
  <c r="AF103" i="7" s="1"/>
  <c r="AG103" i="7" s="1"/>
  <c r="X27" i="58"/>
  <c r="X28" i="58"/>
  <c r="X29" i="58"/>
  <c r="X30" i="58"/>
  <c r="X31" i="58"/>
  <c r="X32" i="58"/>
  <c r="X33" i="58"/>
  <c r="X34" i="58"/>
  <c r="X35" i="58"/>
  <c r="X36" i="58"/>
  <c r="X37" i="58"/>
  <c r="X26" i="58"/>
  <c r="W27" i="58"/>
  <c r="W28" i="58"/>
  <c r="W29" i="58"/>
  <c r="W30" i="58"/>
  <c r="W31" i="58"/>
  <c r="W32" i="58"/>
  <c r="W33" i="58"/>
  <c r="W34" i="58"/>
  <c r="W35" i="58"/>
  <c r="W36" i="58"/>
  <c r="W26" i="58"/>
  <c r="G64" i="58" s="1"/>
  <c r="Z39" i="58"/>
  <c r="Z23" i="58"/>
  <c r="L41" i="58"/>
  <c r="Q411" i="56"/>
  <c r="P411" i="56"/>
  <c r="O411" i="56"/>
  <c r="N411" i="56"/>
  <c r="M411" i="56"/>
  <c r="L411" i="56"/>
  <c r="K411" i="56"/>
  <c r="Q408" i="56"/>
  <c r="P408" i="56"/>
  <c r="O408" i="56"/>
  <c r="N408" i="56"/>
  <c r="M408" i="56"/>
  <c r="L408" i="56"/>
  <c r="K408" i="56"/>
  <c r="Q405" i="56"/>
  <c r="P405" i="56"/>
  <c r="O405" i="56"/>
  <c r="N405" i="56"/>
  <c r="M405" i="56"/>
  <c r="L405" i="56"/>
  <c r="K405" i="56"/>
  <c r="B66" i="41"/>
  <c r="G68" i="41" s="1"/>
  <c r="E358" i="41"/>
  <c r="E343" i="41"/>
  <c r="E328" i="41"/>
  <c r="E313" i="41"/>
  <c r="E298" i="41"/>
  <c r="E283" i="41"/>
  <c r="E268" i="41"/>
  <c r="E253" i="41"/>
  <c r="E238" i="41"/>
  <c r="E223" i="41"/>
  <c r="E208" i="41"/>
  <c r="F108" i="37"/>
  <c r="G108" i="37" s="1"/>
  <c r="H108" i="37" s="1"/>
  <c r="I108" i="37" s="1"/>
  <c r="J108" i="37" s="1"/>
  <c r="K108" i="37" s="1"/>
  <c r="F70" i="37"/>
  <c r="G70" i="37" s="1"/>
  <c r="H70" i="37" s="1"/>
  <c r="I70" i="37" s="1"/>
  <c r="J70" i="37" s="1"/>
  <c r="K70" i="37" s="1"/>
  <c r="M143" i="37"/>
  <c r="N143" i="37" s="1"/>
  <c r="O143" i="37" s="1"/>
  <c r="P143" i="37" s="1"/>
  <c r="Q143" i="37" s="1"/>
  <c r="R143" i="37" s="1"/>
  <c r="B351" i="41"/>
  <c r="G353" i="41" s="1"/>
  <c r="B336" i="41"/>
  <c r="G338" i="41" s="1"/>
  <c r="B321" i="41"/>
  <c r="G323" i="41" s="1"/>
  <c r="B291" i="41"/>
  <c r="G293" i="41" s="1"/>
  <c r="B276" i="41"/>
  <c r="G278" i="41" s="1"/>
  <c r="B261" i="41"/>
  <c r="G263" i="41" s="1"/>
  <c r="B246" i="41"/>
  <c r="G248" i="41" s="1"/>
  <c r="B231" i="41"/>
  <c r="G233" i="41" s="1"/>
  <c r="B216" i="41"/>
  <c r="G218" i="41" s="1"/>
  <c r="B201" i="41"/>
  <c r="G203" i="41" s="1"/>
  <c r="B186" i="41"/>
  <c r="G188" i="41" s="1"/>
  <c r="B171" i="41"/>
  <c r="G173" i="41" s="1"/>
  <c r="B156" i="41"/>
  <c r="G158" i="41" s="1"/>
  <c r="B141" i="41"/>
  <c r="G143" i="41" s="1"/>
  <c r="B126" i="41"/>
  <c r="G128" i="41" s="1"/>
  <c r="B111" i="41"/>
  <c r="G113" i="41" s="1"/>
  <c r="B96" i="41"/>
  <c r="G98" i="41" s="1"/>
  <c r="B81" i="41"/>
  <c r="G83" i="41" s="1"/>
  <c r="B306" i="41"/>
  <c r="G308" i="41" s="1"/>
  <c r="E193" i="41"/>
  <c r="E178" i="41"/>
  <c r="E163" i="41"/>
  <c r="E148" i="41"/>
  <c r="E133" i="41"/>
  <c r="E118" i="41"/>
  <c r="E103" i="41"/>
  <c r="E88" i="41"/>
  <c r="E73" i="41"/>
  <c r="C3" i="41" s="1"/>
  <c r="E10" i="41"/>
  <c r="G274" i="45"/>
  <c r="G275" i="45"/>
  <c r="G276" i="45"/>
  <c r="G277" i="45"/>
  <c r="J275" i="45"/>
  <c r="J276" i="45"/>
  <c r="J277" i="45"/>
  <c r="J278" i="45"/>
  <c r="J279" i="45"/>
  <c r="J280" i="45"/>
  <c r="J281" i="45"/>
  <c r="J282" i="45"/>
  <c r="J283" i="45"/>
  <c r="J284" i="45"/>
  <c r="J285" i="45"/>
  <c r="J286" i="45"/>
  <c r="J287" i="45"/>
  <c r="J288" i="45"/>
  <c r="J289" i="45"/>
  <c r="J290" i="45"/>
  <c r="J291" i="45"/>
  <c r="J292" i="45"/>
  <c r="J293" i="45"/>
  <c r="J274" i="45"/>
  <c r="J277" i="43"/>
  <c r="J278" i="43"/>
  <c r="J279" i="43"/>
  <c r="J280" i="43"/>
  <c r="J281" i="43"/>
  <c r="J282" i="43"/>
  <c r="J283" i="43"/>
  <c r="J284" i="43"/>
  <c r="J285" i="43"/>
  <c r="J286" i="43"/>
  <c r="J287" i="43"/>
  <c r="J288" i="43"/>
  <c r="J289" i="43"/>
  <c r="J290" i="43"/>
  <c r="J291" i="43"/>
  <c r="J292" i="43"/>
  <c r="J293" i="43"/>
  <c r="Z51" i="38"/>
  <c r="Z52" i="38"/>
  <c r="Z53" i="38"/>
  <c r="Z54" i="38"/>
  <c r="Z55" i="38"/>
  <c r="Z56" i="38"/>
  <c r="Z57" i="38"/>
  <c r="Z58" i="38"/>
  <c r="Z59" i="38"/>
  <c r="Z60" i="38"/>
  <c r="Z61" i="38"/>
  <c r="Z62" i="38"/>
  <c r="Z63" i="38"/>
  <c r="Z64" i="38"/>
  <c r="Z65" i="38"/>
  <c r="Z66" i="38"/>
  <c r="Z67" i="38"/>
  <c r="Z68" i="38"/>
  <c r="Z69" i="38"/>
  <c r="Z50" i="38"/>
  <c r="J277" i="34"/>
  <c r="J278" i="34"/>
  <c r="J279" i="34"/>
  <c r="J280" i="34"/>
  <c r="J281" i="34"/>
  <c r="J282" i="34"/>
  <c r="J283" i="34"/>
  <c r="J284" i="34"/>
  <c r="J285" i="34"/>
  <c r="J286" i="34"/>
  <c r="J287" i="34"/>
  <c r="J288" i="34"/>
  <c r="J289" i="34"/>
  <c r="J290" i="34"/>
  <c r="J291" i="34"/>
  <c r="J292" i="34"/>
  <c r="J293" i="34"/>
  <c r="J275" i="44"/>
  <c r="AB109" i="15"/>
  <c r="AB110" i="15"/>
  <c r="AB111" i="15"/>
  <c r="AB112" i="15"/>
  <c r="AB113" i="15"/>
  <c r="AB114" i="15"/>
  <c r="AB115" i="15"/>
  <c r="AB116" i="15"/>
  <c r="AB117" i="15"/>
  <c r="AB118" i="15"/>
  <c r="AB119" i="15"/>
  <c r="AB120" i="15"/>
  <c r="AB121" i="15"/>
  <c r="AB122" i="15"/>
  <c r="AB123" i="15"/>
  <c r="AB124" i="15"/>
  <c r="U52" i="38"/>
  <c r="U53" i="38"/>
  <c r="W74" i="38"/>
  <c r="V52" i="38"/>
  <c r="V53" i="38"/>
  <c r="X74" i="38"/>
  <c r="J276" i="44"/>
  <c r="J277" i="44"/>
  <c r="J278" i="44"/>
  <c r="J279" i="44"/>
  <c r="J280" i="44"/>
  <c r="J281" i="44"/>
  <c r="J282" i="44"/>
  <c r="J283" i="44"/>
  <c r="J284" i="44"/>
  <c r="J285" i="44"/>
  <c r="J286" i="44"/>
  <c r="J287" i="44"/>
  <c r="J288" i="44"/>
  <c r="J289" i="44"/>
  <c r="J290" i="44"/>
  <c r="J291" i="44"/>
  <c r="J292" i="44"/>
  <c r="J293" i="44"/>
  <c r="O117" i="37"/>
  <c r="G200" i="15"/>
  <c r="G206" i="15" s="1"/>
  <c r="H200" i="15"/>
  <c r="H206" i="15" s="1"/>
  <c r="I200" i="15"/>
  <c r="I206" i="15" s="1"/>
  <c r="J200" i="15"/>
  <c r="J206" i="15" s="1"/>
  <c r="K200" i="15"/>
  <c r="K206" i="15" s="1"/>
  <c r="F200" i="15"/>
  <c r="F206" i="15" s="1"/>
  <c r="AA492" i="50"/>
  <c r="AA491" i="50"/>
  <c r="AA490" i="50"/>
  <c r="AA489" i="50"/>
  <c r="AA488" i="50"/>
  <c r="AA487" i="50"/>
  <c r="AA486" i="50"/>
  <c r="AA485" i="50"/>
  <c r="AA484" i="50"/>
  <c r="AA483" i="50"/>
  <c r="H72" i="50"/>
  <c r="H71" i="50"/>
  <c r="H70" i="50"/>
  <c r="H69" i="50"/>
  <c r="H68" i="50"/>
  <c r="H67" i="50"/>
  <c r="H66" i="50"/>
  <c r="H65" i="50"/>
  <c r="G72" i="50"/>
  <c r="G71" i="50"/>
  <c r="G70" i="50"/>
  <c r="G69" i="50"/>
  <c r="G68" i="50"/>
  <c r="G67" i="50"/>
  <c r="G66" i="50"/>
  <c r="G65" i="50"/>
  <c r="H467" i="50"/>
  <c r="H466" i="50"/>
  <c r="H465" i="50"/>
  <c r="H464" i="50"/>
  <c r="H463" i="50"/>
  <c r="H462" i="50"/>
  <c r="H461" i="50"/>
  <c r="H460" i="50"/>
  <c r="G467" i="50"/>
  <c r="G466" i="50"/>
  <c r="G465" i="50"/>
  <c r="G464" i="50"/>
  <c r="G463" i="50"/>
  <c r="G462" i="50"/>
  <c r="G461" i="50"/>
  <c r="G460" i="50"/>
  <c r="H459" i="50"/>
  <c r="G459" i="50"/>
  <c r="AE459" i="50"/>
  <c r="AE460" i="50"/>
  <c r="AE461" i="50"/>
  <c r="AE462" i="50"/>
  <c r="AE463" i="50"/>
  <c r="AE464" i="50"/>
  <c r="AE465" i="50"/>
  <c r="AE466" i="50"/>
  <c r="AE467" i="50"/>
  <c r="AE458" i="50"/>
  <c r="AE64" i="50"/>
  <c r="AE65" i="50"/>
  <c r="AE66" i="50"/>
  <c r="AE67" i="50"/>
  <c r="AE68" i="50"/>
  <c r="AE69" i="50"/>
  <c r="AE70" i="50"/>
  <c r="AE71" i="50"/>
  <c r="AE72" i="50"/>
  <c r="AE63" i="50"/>
  <c r="AB458" i="50"/>
  <c r="AB459" i="50"/>
  <c r="AB460" i="50"/>
  <c r="AB461" i="50"/>
  <c r="AB462" i="50"/>
  <c r="AB463" i="50"/>
  <c r="AB464" i="50"/>
  <c r="AB465" i="50"/>
  <c r="AB466" i="50"/>
  <c r="AB467" i="50"/>
  <c r="AB63" i="50"/>
  <c r="AB64" i="50"/>
  <c r="AB65" i="50"/>
  <c r="AB66" i="50"/>
  <c r="AB67" i="50"/>
  <c r="AB68" i="50"/>
  <c r="AB69" i="50"/>
  <c r="AB70" i="50"/>
  <c r="AB71" i="50"/>
  <c r="AB72" i="50"/>
  <c r="D434" i="50" s="1"/>
  <c r="J434" i="50" s="1"/>
  <c r="AC459" i="50"/>
  <c r="AF460" i="50"/>
  <c r="AC461" i="50"/>
  <c r="AF462" i="50"/>
  <c r="AC463" i="50"/>
  <c r="AF464" i="50"/>
  <c r="AC465" i="50"/>
  <c r="AF466" i="50"/>
  <c r="AC467" i="50"/>
  <c r="AF458" i="50"/>
  <c r="AF467" i="50"/>
  <c r="M352" i="41"/>
  <c r="M337" i="41"/>
  <c r="M322" i="41"/>
  <c r="M307" i="41"/>
  <c r="M292" i="41"/>
  <c r="M277" i="41"/>
  <c r="M262" i="41"/>
  <c r="M247" i="41"/>
  <c r="M232" i="41"/>
  <c r="M217" i="41"/>
  <c r="M202" i="41"/>
  <c r="M187" i="41"/>
  <c r="M172" i="41"/>
  <c r="M157" i="41"/>
  <c r="M142" i="41"/>
  <c r="M127" i="41"/>
  <c r="M112" i="41"/>
  <c r="M97" i="41"/>
  <c r="M82" i="41"/>
  <c r="M67" i="41"/>
  <c r="AH11" i="14"/>
  <c r="AH10" i="14"/>
  <c r="AH9" i="14"/>
  <c r="AH8" i="14"/>
  <c r="B19" i="58"/>
  <c r="M24" i="50"/>
  <c r="AA90" i="50"/>
  <c r="AA91" i="50"/>
  <c r="AA92" i="50"/>
  <c r="AA93" i="50"/>
  <c r="AA94" i="50"/>
  <c r="AA95" i="50"/>
  <c r="AA96" i="50"/>
  <c r="AA97" i="50"/>
  <c r="G278" i="45"/>
  <c r="G279" i="45"/>
  <c r="G280" i="45"/>
  <c r="G281" i="45"/>
  <c r="G282" i="45"/>
  <c r="G283" i="45"/>
  <c r="G284" i="45"/>
  <c r="G285" i="45"/>
  <c r="G286" i="45"/>
  <c r="G287" i="45"/>
  <c r="G288" i="45"/>
  <c r="G289" i="45"/>
  <c r="J63" i="50"/>
  <c r="C55" i="56"/>
  <c r="AR50" i="14" s="1"/>
  <c r="K159" i="15"/>
  <c r="L159" i="15"/>
  <c r="M159" i="15"/>
  <c r="N159" i="15"/>
  <c r="K160" i="15"/>
  <c r="L160" i="15"/>
  <c r="M160" i="15"/>
  <c r="N160" i="15"/>
  <c r="K161" i="15"/>
  <c r="L161" i="15"/>
  <c r="M161" i="15"/>
  <c r="N161" i="15"/>
  <c r="K162" i="15"/>
  <c r="L162" i="15"/>
  <c r="M162" i="15"/>
  <c r="N162" i="15"/>
  <c r="K163" i="15"/>
  <c r="L163" i="15"/>
  <c r="M163" i="15"/>
  <c r="N163" i="15"/>
  <c r="O163" i="15"/>
  <c r="K164" i="15"/>
  <c r="L164" i="15"/>
  <c r="M164" i="15"/>
  <c r="N164" i="15"/>
  <c r="O164" i="15"/>
  <c r="K165" i="15"/>
  <c r="L165" i="15"/>
  <c r="M165" i="15"/>
  <c r="N165" i="15"/>
  <c r="O165" i="15"/>
  <c r="K166" i="15"/>
  <c r="L166" i="15"/>
  <c r="M166" i="15"/>
  <c r="N166" i="15"/>
  <c r="O166" i="15"/>
  <c r="K167" i="15"/>
  <c r="L167" i="15"/>
  <c r="M167" i="15"/>
  <c r="N167" i="15"/>
  <c r="O167" i="15"/>
  <c r="K168" i="15"/>
  <c r="L168" i="15"/>
  <c r="M168" i="15"/>
  <c r="N168" i="15"/>
  <c r="O168" i="15"/>
  <c r="K169" i="15"/>
  <c r="L169" i="15"/>
  <c r="M169" i="15"/>
  <c r="N169" i="15"/>
  <c r="Q169" i="15" s="1"/>
  <c r="O169" i="15"/>
  <c r="K170" i="15"/>
  <c r="L170" i="15"/>
  <c r="M170" i="15"/>
  <c r="N170" i="15"/>
  <c r="O170" i="15"/>
  <c r="K171" i="15"/>
  <c r="L171" i="15"/>
  <c r="M171" i="15"/>
  <c r="N171" i="15"/>
  <c r="O171" i="15"/>
  <c r="K172" i="15"/>
  <c r="L172" i="15"/>
  <c r="M172" i="15"/>
  <c r="N172" i="15"/>
  <c r="O172" i="15"/>
  <c r="K173" i="15"/>
  <c r="L173" i="15"/>
  <c r="M173" i="15"/>
  <c r="N173" i="15"/>
  <c r="O173" i="15"/>
  <c r="K174" i="15"/>
  <c r="L174" i="15"/>
  <c r="M174" i="15"/>
  <c r="N174" i="15"/>
  <c r="O174" i="15"/>
  <c r="K175" i="15"/>
  <c r="L175" i="15"/>
  <c r="M175" i="15"/>
  <c r="N175" i="15"/>
  <c r="O175" i="15"/>
  <c r="K176" i="15"/>
  <c r="L176" i="15"/>
  <c r="M176" i="15"/>
  <c r="N176" i="15"/>
  <c r="O176" i="15"/>
  <c r="K177" i="15"/>
  <c r="L177" i="15"/>
  <c r="M177" i="15"/>
  <c r="N177" i="15"/>
  <c r="O177" i="15"/>
  <c r="I159" i="15"/>
  <c r="J159" i="15"/>
  <c r="I160" i="15"/>
  <c r="J160" i="15"/>
  <c r="I161" i="15"/>
  <c r="J161" i="15"/>
  <c r="I162" i="15"/>
  <c r="J162" i="15"/>
  <c r="I163" i="15"/>
  <c r="J163" i="15"/>
  <c r="I164" i="15"/>
  <c r="J164" i="15"/>
  <c r="I165" i="15"/>
  <c r="J165" i="15"/>
  <c r="I166" i="15"/>
  <c r="J166" i="15"/>
  <c r="I167" i="15"/>
  <c r="J167" i="15"/>
  <c r="I168" i="15"/>
  <c r="J168" i="15"/>
  <c r="I169" i="15"/>
  <c r="J169" i="15"/>
  <c r="I170" i="15"/>
  <c r="J170" i="15"/>
  <c r="I171" i="15"/>
  <c r="J171" i="15"/>
  <c r="I172" i="15"/>
  <c r="J172" i="15"/>
  <c r="I173" i="15"/>
  <c r="J173" i="15"/>
  <c r="I174" i="15"/>
  <c r="J174" i="15"/>
  <c r="I175" i="15"/>
  <c r="J175" i="15"/>
  <c r="I176" i="15"/>
  <c r="J176" i="15"/>
  <c r="I177" i="15"/>
  <c r="J177" i="15"/>
  <c r="H177" i="15"/>
  <c r="H176" i="15"/>
  <c r="H175" i="15"/>
  <c r="H174" i="15"/>
  <c r="H173" i="15"/>
  <c r="H172" i="15"/>
  <c r="H171" i="15"/>
  <c r="H170" i="15"/>
  <c r="H169" i="15"/>
  <c r="H168" i="15"/>
  <c r="H167" i="15"/>
  <c r="H166" i="15"/>
  <c r="H165" i="15"/>
  <c r="H164" i="15"/>
  <c r="H163" i="15"/>
  <c r="H162" i="15"/>
  <c r="H161" i="15"/>
  <c r="H160" i="15"/>
  <c r="H159" i="15"/>
  <c r="E177" i="15"/>
  <c r="E176" i="15"/>
  <c r="E175" i="15"/>
  <c r="E174" i="15"/>
  <c r="E173" i="15"/>
  <c r="E172" i="15"/>
  <c r="E171" i="15"/>
  <c r="E170" i="15"/>
  <c r="E169" i="15"/>
  <c r="E168" i="15"/>
  <c r="E167" i="15"/>
  <c r="E166" i="15"/>
  <c r="E165" i="15"/>
  <c r="E164" i="15"/>
  <c r="E163" i="15"/>
  <c r="E162" i="15"/>
  <c r="E161" i="15"/>
  <c r="E160" i="15"/>
  <c r="E159" i="15"/>
  <c r="I158" i="15"/>
  <c r="J158" i="15"/>
  <c r="K158" i="15"/>
  <c r="L158" i="15"/>
  <c r="M158" i="15"/>
  <c r="N158" i="15"/>
  <c r="H158" i="15"/>
  <c r="E158" i="15"/>
  <c r="C125" i="15"/>
  <c r="I100" i="15" s="1"/>
  <c r="B106" i="15"/>
  <c r="B107" i="15"/>
  <c r="B108" i="15"/>
  <c r="B109" i="15"/>
  <c r="B110" i="15"/>
  <c r="B111" i="15"/>
  <c r="B112" i="15"/>
  <c r="B113" i="15"/>
  <c r="B114" i="15"/>
  <c r="B115" i="15"/>
  <c r="B116" i="15"/>
  <c r="B117" i="15"/>
  <c r="B118" i="15"/>
  <c r="B119" i="15"/>
  <c r="B120" i="15"/>
  <c r="B121" i="15"/>
  <c r="B122" i="15"/>
  <c r="B123" i="15"/>
  <c r="B124" i="15"/>
  <c r="B105" i="15"/>
  <c r="C153" i="15"/>
  <c r="I127" i="15" s="1"/>
  <c r="AB171" i="15"/>
  <c r="B330" i="38"/>
  <c r="J337" i="38" s="1"/>
  <c r="B318" i="38"/>
  <c r="I325" i="38" s="1"/>
  <c r="B306" i="38"/>
  <c r="J313" i="38" s="1"/>
  <c r="B294" i="38"/>
  <c r="I301" i="38" s="1"/>
  <c r="B282" i="38"/>
  <c r="D289" i="38" s="1"/>
  <c r="B270" i="38"/>
  <c r="E277" i="38" s="1"/>
  <c r="B258" i="38"/>
  <c r="H265" i="38" s="1"/>
  <c r="B246" i="38"/>
  <c r="D253" i="38" s="1"/>
  <c r="B234" i="38"/>
  <c r="E241" i="38" s="1"/>
  <c r="B222" i="38"/>
  <c r="D229" i="38" s="1"/>
  <c r="B210" i="38"/>
  <c r="D217" i="38" s="1"/>
  <c r="B198" i="38"/>
  <c r="D205" i="38" s="1"/>
  <c r="B186" i="38"/>
  <c r="E193" i="38" s="1"/>
  <c r="B174" i="38"/>
  <c r="E181" i="38" s="1"/>
  <c r="B162" i="38"/>
  <c r="E169" i="38" s="1"/>
  <c r="B150" i="38"/>
  <c r="E157" i="38" s="1"/>
  <c r="B138" i="38"/>
  <c r="D145" i="38" s="1"/>
  <c r="B126" i="38"/>
  <c r="D133" i="38" s="1"/>
  <c r="B114" i="38"/>
  <c r="B102" i="38"/>
  <c r="AI47" i="37"/>
  <c r="AJ47" i="37" s="1"/>
  <c r="AK47" i="37" s="1"/>
  <c r="AL47" i="37" s="1"/>
  <c r="AM47" i="37" s="1"/>
  <c r="AN47" i="37" s="1"/>
  <c r="U91" i="38"/>
  <c r="U92" i="38"/>
  <c r="U93" i="38"/>
  <c r="U94" i="38"/>
  <c r="U7" i="14"/>
  <c r="Y51" i="38" s="1"/>
  <c r="U8" i="14"/>
  <c r="U6" i="14"/>
  <c r="Y50" i="38" s="1"/>
  <c r="E336" i="41"/>
  <c r="E321" i="41"/>
  <c r="E306" i="41"/>
  <c r="E291" i="41"/>
  <c r="E276" i="41"/>
  <c r="E261" i="41"/>
  <c r="E246" i="41"/>
  <c r="E231" i="41"/>
  <c r="E351" i="41"/>
  <c r="D137" i="37"/>
  <c r="B257" i="34"/>
  <c r="K260" i="34" s="1"/>
  <c r="B245" i="34"/>
  <c r="K248" i="34" s="1"/>
  <c r="B233" i="34"/>
  <c r="K236" i="34" s="1"/>
  <c r="B221" i="34"/>
  <c r="K224" i="34" s="1"/>
  <c r="B209" i="34"/>
  <c r="K212" i="34" s="1"/>
  <c r="B197" i="34"/>
  <c r="K200" i="34" s="1"/>
  <c r="B185" i="34"/>
  <c r="K188" i="34" s="1"/>
  <c r="B173" i="34"/>
  <c r="K176" i="34" s="1"/>
  <c r="B161" i="34"/>
  <c r="K164" i="34" s="1"/>
  <c r="B149" i="34"/>
  <c r="K152" i="34" s="1"/>
  <c r="B137" i="34"/>
  <c r="K140" i="34" s="1"/>
  <c r="B125" i="34"/>
  <c r="K128" i="34" s="1"/>
  <c r="B113" i="34"/>
  <c r="K116" i="34" s="1"/>
  <c r="B101" i="34"/>
  <c r="K104" i="34" s="1"/>
  <c r="B89" i="34"/>
  <c r="K92" i="34" s="1"/>
  <c r="B77" i="34"/>
  <c r="K80" i="34" s="1"/>
  <c r="B65" i="34"/>
  <c r="K68" i="34" s="1"/>
  <c r="B53" i="34"/>
  <c r="K56" i="34" s="1"/>
  <c r="B41" i="34"/>
  <c r="K44" i="34" s="1"/>
  <c r="B29" i="34"/>
  <c r="K32" i="34" s="1"/>
  <c r="B257" i="43"/>
  <c r="K260" i="43" s="1"/>
  <c r="B245" i="43"/>
  <c r="K248" i="43" s="1"/>
  <c r="B233" i="43"/>
  <c r="K236" i="43" s="1"/>
  <c r="B221" i="43"/>
  <c r="K224" i="43" s="1"/>
  <c r="B209" i="43"/>
  <c r="K212" i="43" s="1"/>
  <c r="B197" i="43"/>
  <c r="K200" i="43" s="1"/>
  <c r="B185" i="43"/>
  <c r="K188" i="43" s="1"/>
  <c r="B173" i="43"/>
  <c r="K176" i="43" s="1"/>
  <c r="B161" i="43"/>
  <c r="K164" i="43" s="1"/>
  <c r="B149" i="43"/>
  <c r="K152" i="43" s="1"/>
  <c r="B137" i="43"/>
  <c r="K140" i="43" s="1"/>
  <c r="B125" i="43"/>
  <c r="K128" i="43" s="1"/>
  <c r="B113" i="43"/>
  <c r="K116" i="43" s="1"/>
  <c r="B101" i="43"/>
  <c r="K104" i="43" s="1"/>
  <c r="B89" i="43"/>
  <c r="K92" i="43" s="1"/>
  <c r="B77" i="43"/>
  <c r="K80" i="43" s="1"/>
  <c r="B65" i="43"/>
  <c r="K68" i="43" s="1"/>
  <c r="B53" i="43"/>
  <c r="K56" i="43" s="1"/>
  <c r="B41" i="43"/>
  <c r="K44" i="43" s="1"/>
  <c r="B29" i="43"/>
  <c r="K32" i="43" s="1"/>
  <c r="B257" i="44"/>
  <c r="K260" i="44" s="1"/>
  <c r="B245" i="44"/>
  <c r="K248" i="44" s="1"/>
  <c r="B233" i="44"/>
  <c r="K236" i="44" s="1"/>
  <c r="B221" i="44"/>
  <c r="K224" i="44" s="1"/>
  <c r="B209" i="44"/>
  <c r="K212" i="44" s="1"/>
  <c r="B197" i="44"/>
  <c r="K200" i="44" s="1"/>
  <c r="B185" i="44"/>
  <c r="K188" i="44" s="1"/>
  <c r="B173" i="44"/>
  <c r="K176" i="44" s="1"/>
  <c r="B161" i="44"/>
  <c r="K164" i="44" s="1"/>
  <c r="B149" i="44"/>
  <c r="K152" i="44" s="1"/>
  <c r="B137" i="44"/>
  <c r="K140" i="44" s="1"/>
  <c r="B125" i="44"/>
  <c r="K128" i="44" s="1"/>
  <c r="B113" i="44"/>
  <c r="K116" i="44" s="1"/>
  <c r="B101" i="44"/>
  <c r="K104" i="44" s="1"/>
  <c r="B89" i="44"/>
  <c r="K92" i="44" s="1"/>
  <c r="B77" i="44"/>
  <c r="K80" i="44" s="1"/>
  <c r="B65" i="44"/>
  <c r="K68" i="44" s="1"/>
  <c r="B53" i="44"/>
  <c r="K56" i="44" s="1"/>
  <c r="B41" i="44"/>
  <c r="K44" i="44" s="1"/>
  <c r="B29" i="44"/>
  <c r="K32" i="44" s="1"/>
  <c r="B257" i="45"/>
  <c r="K260" i="45" s="1"/>
  <c r="B245" i="45"/>
  <c r="K248" i="45" s="1"/>
  <c r="B233" i="45"/>
  <c r="K236" i="45" s="1"/>
  <c r="B221" i="45"/>
  <c r="K224" i="45" s="1"/>
  <c r="B209" i="45"/>
  <c r="K212" i="45" s="1"/>
  <c r="B197" i="45"/>
  <c r="K200" i="45" s="1"/>
  <c r="B185" i="45"/>
  <c r="K188" i="45" s="1"/>
  <c r="B173" i="45"/>
  <c r="K176" i="45" s="1"/>
  <c r="B161" i="45"/>
  <c r="K164" i="45" s="1"/>
  <c r="B149" i="45"/>
  <c r="K152" i="45" s="1"/>
  <c r="B137" i="45"/>
  <c r="K140" i="45" s="1"/>
  <c r="B125" i="45"/>
  <c r="K128" i="45" s="1"/>
  <c r="B113" i="45"/>
  <c r="K116" i="45" s="1"/>
  <c r="B101" i="45"/>
  <c r="K104" i="45" s="1"/>
  <c r="B89" i="45"/>
  <c r="K92" i="45" s="1"/>
  <c r="B77" i="45"/>
  <c r="K80" i="45" s="1"/>
  <c r="B65" i="45"/>
  <c r="K68" i="45" s="1"/>
  <c r="B53" i="45"/>
  <c r="K56" i="45" s="1"/>
  <c r="B41" i="45"/>
  <c r="K44" i="45" s="1"/>
  <c r="B29" i="45"/>
  <c r="K32" i="45" s="1"/>
  <c r="C350" i="41"/>
  <c r="G391" i="41"/>
  <c r="O391" i="41" s="1"/>
  <c r="C230" i="41"/>
  <c r="C290" i="41"/>
  <c r="C320" i="41"/>
  <c r="C260" i="41"/>
  <c r="C335" i="41"/>
  <c r="C305" i="41"/>
  <c r="C275" i="41"/>
  <c r="C245" i="41"/>
  <c r="B386" i="41"/>
  <c r="M63" i="41"/>
  <c r="G45" i="41"/>
  <c r="N7" i="41"/>
  <c r="N46" i="41" s="1"/>
  <c r="H2" i="14"/>
  <c r="P1" i="1" s="1"/>
  <c r="D136" i="53"/>
  <c r="AG27" i="14" s="1"/>
  <c r="D107" i="53"/>
  <c r="AG26" i="14" s="1"/>
  <c r="D78" i="53"/>
  <c r="AG25" i="14" s="1"/>
  <c r="D49" i="53"/>
  <c r="AG24" i="14" s="1"/>
  <c r="D362" i="3"/>
  <c r="AF32" i="14" s="1"/>
  <c r="D324" i="3"/>
  <c r="AF31" i="14" s="1"/>
  <c r="D286" i="3"/>
  <c r="AF30" i="14" s="1"/>
  <c r="D248" i="3"/>
  <c r="AF29" i="14" s="1"/>
  <c r="D210" i="3"/>
  <c r="AF28" i="14" s="1"/>
  <c r="D172" i="3"/>
  <c r="AF27" i="14" s="1"/>
  <c r="D134" i="3"/>
  <c r="AF26" i="14" s="1"/>
  <c r="D96" i="3"/>
  <c r="AF25" i="14" s="1"/>
  <c r="F185" i="47"/>
  <c r="E185" i="47"/>
  <c r="F167" i="47"/>
  <c r="E167" i="47"/>
  <c r="F149" i="47"/>
  <c r="E149" i="47"/>
  <c r="F131" i="47"/>
  <c r="E131" i="47"/>
  <c r="F113" i="47"/>
  <c r="E113" i="47"/>
  <c r="F95" i="47"/>
  <c r="E95" i="47"/>
  <c r="F77" i="47"/>
  <c r="E77" i="47"/>
  <c r="F59" i="47"/>
  <c r="E59" i="47"/>
  <c r="F41" i="47"/>
  <c r="E41" i="47"/>
  <c r="L78" i="38"/>
  <c r="J78" i="38"/>
  <c r="I78" i="38"/>
  <c r="N11" i="14"/>
  <c r="N78" i="38" s="1"/>
  <c r="N10" i="14"/>
  <c r="M78" i="38" s="1"/>
  <c r="N8" i="14"/>
  <c r="K78" i="38" s="1"/>
  <c r="O398" i="41"/>
  <c r="O397" i="41"/>
  <c r="O396" i="41"/>
  <c r="O8" i="41"/>
  <c r="H25" i="41"/>
  <c r="J183" i="51"/>
  <c r="I183" i="51"/>
  <c r="H183" i="51"/>
  <c r="G183" i="51"/>
  <c r="F183" i="51"/>
  <c r="E183" i="51"/>
  <c r="J166" i="51"/>
  <c r="I166" i="51"/>
  <c r="H166" i="51"/>
  <c r="G166" i="51"/>
  <c r="F166" i="51"/>
  <c r="E166" i="51"/>
  <c r="J149" i="51"/>
  <c r="I149" i="51"/>
  <c r="H149" i="51"/>
  <c r="G149" i="51"/>
  <c r="F149" i="51"/>
  <c r="E149" i="51"/>
  <c r="J132" i="51"/>
  <c r="I132" i="51"/>
  <c r="H132" i="51"/>
  <c r="G132" i="51"/>
  <c r="F132" i="51"/>
  <c r="E132" i="51"/>
  <c r="J115" i="51"/>
  <c r="I115" i="51"/>
  <c r="H115" i="51"/>
  <c r="G115" i="51"/>
  <c r="F115" i="51"/>
  <c r="E115" i="51"/>
  <c r="J98" i="51"/>
  <c r="I98" i="51"/>
  <c r="H98" i="51"/>
  <c r="G98" i="51"/>
  <c r="F98" i="51"/>
  <c r="E98" i="51"/>
  <c r="J81" i="51"/>
  <c r="I81" i="51"/>
  <c r="H81" i="51"/>
  <c r="G81" i="51"/>
  <c r="F81" i="51"/>
  <c r="E81" i="51"/>
  <c r="J64" i="51"/>
  <c r="I64" i="51"/>
  <c r="H64" i="51"/>
  <c r="G64" i="51"/>
  <c r="F64" i="51"/>
  <c r="E64" i="51"/>
  <c r="J47" i="51"/>
  <c r="I47" i="51"/>
  <c r="H47" i="51"/>
  <c r="G47" i="51"/>
  <c r="F47" i="51"/>
  <c r="E47" i="51"/>
  <c r="F30" i="51"/>
  <c r="G30" i="51"/>
  <c r="H30" i="51"/>
  <c r="I30" i="51"/>
  <c r="J30" i="51"/>
  <c r="E30" i="51"/>
  <c r="J183" i="49"/>
  <c r="I183" i="49"/>
  <c r="H183" i="49"/>
  <c r="G183" i="49"/>
  <c r="F183" i="49"/>
  <c r="E183" i="49"/>
  <c r="J166" i="49"/>
  <c r="I166" i="49"/>
  <c r="H166" i="49"/>
  <c r="G166" i="49"/>
  <c r="F166" i="49"/>
  <c r="E166" i="49"/>
  <c r="J149" i="49"/>
  <c r="I149" i="49"/>
  <c r="H149" i="49"/>
  <c r="G149" i="49"/>
  <c r="F149" i="49"/>
  <c r="E149" i="49"/>
  <c r="J132" i="49"/>
  <c r="I132" i="49"/>
  <c r="H132" i="49"/>
  <c r="G132" i="49"/>
  <c r="F132" i="49"/>
  <c r="E132" i="49"/>
  <c r="J115" i="49"/>
  <c r="I115" i="49"/>
  <c r="H115" i="49"/>
  <c r="G115" i="49"/>
  <c r="F115" i="49"/>
  <c r="E115" i="49"/>
  <c r="J98" i="49"/>
  <c r="I98" i="49"/>
  <c r="H98" i="49"/>
  <c r="G98" i="49"/>
  <c r="F98" i="49"/>
  <c r="E98" i="49"/>
  <c r="J81" i="49"/>
  <c r="I81" i="49"/>
  <c r="H81" i="49"/>
  <c r="G81" i="49"/>
  <c r="F81" i="49"/>
  <c r="E81" i="49"/>
  <c r="J64" i="49"/>
  <c r="I64" i="49"/>
  <c r="H64" i="49"/>
  <c r="G64" i="49"/>
  <c r="F64" i="49"/>
  <c r="E64" i="49"/>
  <c r="J47" i="49"/>
  <c r="I47" i="49"/>
  <c r="H47" i="49"/>
  <c r="G47" i="49"/>
  <c r="F47" i="49"/>
  <c r="E47" i="49"/>
  <c r="F30" i="49"/>
  <c r="G30" i="49"/>
  <c r="H30" i="49"/>
  <c r="I30" i="49"/>
  <c r="J30" i="49"/>
  <c r="E30" i="49"/>
  <c r="F415" i="15"/>
  <c r="F403" i="15"/>
  <c r="G403" i="15" s="1"/>
  <c r="H403" i="15" s="1"/>
  <c r="I403" i="15" s="1"/>
  <c r="J403" i="15" s="1"/>
  <c r="K403" i="15" s="1"/>
  <c r="F391" i="15"/>
  <c r="F379" i="15"/>
  <c r="G379" i="15" s="1"/>
  <c r="H379" i="15" s="1"/>
  <c r="I379" i="15" s="1"/>
  <c r="J379" i="15" s="1"/>
  <c r="K379" i="15" s="1"/>
  <c r="F367" i="15"/>
  <c r="F355" i="15"/>
  <c r="G355" i="15" s="1"/>
  <c r="H355" i="15" s="1"/>
  <c r="I355" i="15" s="1"/>
  <c r="J355" i="15" s="1"/>
  <c r="K355" i="15" s="1"/>
  <c r="F343" i="15"/>
  <c r="F331" i="15"/>
  <c r="G331" i="15" s="1"/>
  <c r="H331" i="15" s="1"/>
  <c r="I331" i="15" s="1"/>
  <c r="J331" i="15" s="1"/>
  <c r="K331" i="15" s="1"/>
  <c r="F319" i="15"/>
  <c r="G319" i="15" s="1"/>
  <c r="H319" i="15" s="1"/>
  <c r="I319" i="15" s="1"/>
  <c r="J319" i="15" s="1"/>
  <c r="K319" i="15" s="1"/>
  <c r="F307" i="15"/>
  <c r="G307" i="15" s="1"/>
  <c r="H307" i="15" s="1"/>
  <c r="I307" i="15" s="1"/>
  <c r="J307" i="15" s="1"/>
  <c r="K307" i="15" s="1"/>
  <c r="AB134" i="15"/>
  <c r="D197" i="15" s="1"/>
  <c r="I197" i="15" s="1"/>
  <c r="AB135" i="15"/>
  <c r="D209" i="15" s="1"/>
  <c r="I209" i="15" s="1"/>
  <c r="AB136" i="15"/>
  <c r="D221" i="15" s="1"/>
  <c r="I221" i="15" s="1"/>
  <c r="AB137" i="15"/>
  <c r="D233" i="15" s="1"/>
  <c r="I233" i="15" s="1"/>
  <c r="AB138" i="15"/>
  <c r="D245" i="15" s="1"/>
  <c r="I245" i="15" s="1"/>
  <c r="AB139" i="15"/>
  <c r="D257" i="15" s="1"/>
  <c r="I257" i="15" s="1"/>
  <c r="AB140" i="15"/>
  <c r="D269" i="15" s="1"/>
  <c r="I269" i="15" s="1"/>
  <c r="AB141" i="15"/>
  <c r="D281" i="15" s="1"/>
  <c r="I281" i="15" s="1"/>
  <c r="AB142" i="15"/>
  <c r="D293" i="15" s="1"/>
  <c r="I293" i="15" s="1"/>
  <c r="AB143" i="15"/>
  <c r="D305" i="15" s="1"/>
  <c r="I305" i="15" s="1"/>
  <c r="AB144" i="15"/>
  <c r="D317" i="15" s="1"/>
  <c r="I317" i="15" s="1"/>
  <c r="AB145" i="15"/>
  <c r="D329" i="15" s="1"/>
  <c r="I329" i="15" s="1"/>
  <c r="AB146" i="15"/>
  <c r="D341" i="15" s="1"/>
  <c r="I341" i="15" s="1"/>
  <c r="AB147" i="15"/>
  <c r="D353" i="15" s="1"/>
  <c r="I353" i="15" s="1"/>
  <c r="AB148" i="15"/>
  <c r="D365" i="15" s="1"/>
  <c r="I365" i="15" s="1"/>
  <c r="AB149" i="15"/>
  <c r="D377" i="15" s="1"/>
  <c r="I377" i="15" s="1"/>
  <c r="AB150" i="15"/>
  <c r="D389" i="15" s="1"/>
  <c r="I389" i="15" s="1"/>
  <c r="AB151" i="15"/>
  <c r="D401" i="15" s="1"/>
  <c r="I401" i="15" s="1"/>
  <c r="AB152" i="15"/>
  <c r="D413" i="15" s="1"/>
  <c r="I413" i="15" s="1"/>
  <c r="L20" i="53"/>
  <c r="D20" i="53" s="1"/>
  <c r="AG23" i="14" s="1"/>
  <c r="L20" i="3"/>
  <c r="D20" i="3" s="1"/>
  <c r="AF23" i="14" s="1"/>
  <c r="L20" i="56"/>
  <c r="D20" i="56" s="1"/>
  <c r="AE23" i="14" s="1"/>
  <c r="AH13" i="14"/>
  <c r="AH14" i="14"/>
  <c r="AH15" i="14"/>
  <c r="AH16" i="14"/>
  <c r="AH12" i="14"/>
  <c r="G33" i="1"/>
  <c r="F7" i="58"/>
  <c r="G7" i="58" s="1"/>
  <c r="H7" i="58" s="1"/>
  <c r="I7" i="58" s="1"/>
  <c r="J7" i="58" s="1"/>
  <c r="K7" i="58" s="1"/>
  <c r="L25" i="58"/>
  <c r="DB220" i="47"/>
  <c r="DC220" i="47" s="1"/>
  <c r="DB221" i="47"/>
  <c r="DC221" i="47" s="1"/>
  <c r="DB245" i="47"/>
  <c r="DC245" i="47" s="1"/>
  <c r="DB246" i="47"/>
  <c r="DC246" i="47" s="1"/>
  <c r="T337" i="7"/>
  <c r="U337" i="7" s="1"/>
  <c r="V337" i="7" s="1"/>
  <c r="W337" i="7" s="1"/>
  <c r="X337" i="7" s="1"/>
  <c r="Y337" i="7" s="1"/>
  <c r="N337" i="7"/>
  <c r="O337" i="7" s="1"/>
  <c r="P337" i="7" s="1"/>
  <c r="Q337" i="7" s="1"/>
  <c r="R337" i="7" s="1"/>
  <c r="S337" i="7" s="1"/>
  <c r="T103" i="7"/>
  <c r="U103" i="7" s="1"/>
  <c r="V103" i="7" s="1"/>
  <c r="W103" i="7" s="1"/>
  <c r="X103" i="7" s="1"/>
  <c r="Y103" i="7" s="1"/>
  <c r="N103" i="7"/>
  <c r="O103" i="7" s="1"/>
  <c r="P103" i="7" s="1"/>
  <c r="Q103" i="7" s="1"/>
  <c r="R103" i="7" s="1"/>
  <c r="S103" i="7" s="1"/>
  <c r="G187" i="47"/>
  <c r="G169" i="47"/>
  <c r="G151" i="47"/>
  <c r="G133" i="47"/>
  <c r="G115" i="47"/>
  <c r="G97" i="47"/>
  <c r="G79" i="47"/>
  <c r="G61" i="47"/>
  <c r="G43" i="47"/>
  <c r="A1" i="57"/>
  <c r="C34" i="1" s="1"/>
  <c r="H34" i="1" s="1"/>
  <c r="D280" i="7"/>
  <c r="E280" i="7" s="1"/>
  <c r="F280" i="7" s="1"/>
  <c r="G280" i="7" s="1"/>
  <c r="H280" i="7" s="1"/>
  <c r="I280" i="7" s="1"/>
  <c r="D272" i="7"/>
  <c r="E272" i="7" s="1"/>
  <c r="F272" i="7" s="1"/>
  <c r="G272" i="7" s="1"/>
  <c r="H272" i="7" s="1"/>
  <c r="I272" i="7" s="1"/>
  <c r="D264" i="7"/>
  <c r="E264" i="7" s="1"/>
  <c r="F264" i="7" s="1"/>
  <c r="G264" i="7" s="1"/>
  <c r="H264" i="7" s="1"/>
  <c r="I264" i="7" s="1"/>
  <c r="D256" i="7"/>
  <c r="E256" i="7" s="1"/>
  <c r="F256" i="7" s="1"/>
  <c r="G256" i="7" s="1"/>
  <c r="H256" i="7" s="1"/>
  <c r="I256" i="7" s="1"/>
  <c r="D248" i="7"/>
  <c r="E248" i="7" s="1"/>
  <c r="F248" i="7" s="1"/>
  <c r="G248" i="7" s="1"/>
  <c r="H248" i="7" s="1"/>
  <c r="I248" i="7" s="1"/>
  <c r="D240" i="7"/>
  <c r="E240" i="7" s="1"/>
  <c r="F240" i="7" s="1"/>
  <c r="G240" i="7" s="1"/>
  <c r="H240" i="7" s="1"/>
  <c r="I240" i="7" s="1"/>
  <c r="D232" i="7"/>
  <c r="E232" i="7" s="1"/>
  <c r="F232" i="7" s="1"/>
  <c r="G232" i="7" s="1"/>
  <c r="H232" i="7" s="1"/>
  <c r="I232" i="7" s="1"/>
  <c r="D224" i="7"/>
  <c r="E224" i="7" s="1"/>
  <c r="F224" i="7" s="1"/>
  <c r="G224" i="7" s="1"/>
  <c r="H224" i="7" s="1"/>
  <c r="I224" i="7" s="1"/>
  <c r="D216" i="7"/>
  <c r="E216" i="7" s="1"/>
  <c r="F216" i="7" s="1"/>
  <c r="G216" i="7" s="1"/>
  <c r="H216" i="7" s="1"/>
  <c r="I216" i="7" s="1"/>
  <c r="D208" i="7"/>
  <c r="E208" i="7" s="1"/>
  <c r="F208" i="7" s="1"/>
  <c r="G208" i="7" s="1"/>
  <c r="H208" i="7" s="1"/>
  <c r="I208" i="7" s="1"/>
  <c r="D514" i="7"/>
  <c r="E514" i="7" s="1"/>
  <c r="F514" i="7" s="1"/>
  <c r="G514" i="7" s="1"/>
  <c r="H514" i="7" s="1"/>
  <c r="I514" i="7" s="1"/>
  <c r="D506" i="7"/>
  <c r="E506" i="7" s="1"/>
  <c r="F506" i="7" s="1"/>
  <c r="G506" i="7" s="1"/>
  <c r="H506" i="7" s="1"/>
  <c r="I506" i="7" s="1"/>
  <c r="D498" i="7"/>
  <c r="E498" i="7" s="1"/>
  <c r="F498" i="7" s="1"/>
  <c r="G498" i="7" s="1"/>
  <c r="H498" i="7" s="1"/>
  <c r="I498" i="7" s="1"/>
  <c r="D490" i="7"/>
  <c r="E490" i="7" s="1"/>
  <c r="F490" i="7" s="1"/>
  <c r="G490" i="7" s="1"/>
  <c r="H490" i="7" s="1"/>
  <c r="I490" i="7" s="1"/>
  <c r="D482" i="7"/>
  <c r="E482" i="7" s="1"/>
  <c r="F482" i="7" s="1"/>
  <c r="G482" i="7" s="1"/>
  <c r="H482" i="7" s="1"/>
  <c r="I482" i="7" s="1"/>
  <c r="D474" i="7"/>
  <c r="E474" i="7" s="1"/>
  <c r="F474" i="7" s="1"/>
  <c r="G474" i="7" s="1"/>
  <c r="H474" i="7" s="1"/>
  <c r="I474" i="7" s="1"/>
  <c r="D466" i="7"/>
  <c r="E466" i="7" s="1"/>
  <c r="F466" i="7" s="1"/>
  <c r="G466" i="7" s="1"/>
  <c r="H466" i="7" s="1"/>
  <c r="I466" i="7" s="1"/>
  <c r="D458" i="7"/>
  <c r="E458" i="7" s="1"/>
  <c r="F458" i="7" s="1"/>
  <c r="G458" i="7" s="1"/>
  <c r="H458" i="7" s="1"/>
  <c r="I458" i="7" s="1"/>
  <c r="D450" i="7"/>
  <c r="E450" i="7" s="1"/>
  <c r="F450" i="7" s="1"/>
  <c r="G450" i="7" s="1"/>
  <c r="H450" i="7" s="1"/>
  <c r="I450" i="7" s="1"/>
  <c r="D442" i="7"/>
  <c r="E442" i="7" s="1"/>
  <c r="F442" i="7" s="1"/>
  <c r="G442" i="7" s="1"/>
  <c r="H442" i="7" s="1"/>
  <c r="I442" i="7" s="1"/>
  <c r="AC152" i="15"/>
  <c r="AC151" i="15"/>
  <c r="AC150" i="15"/>
  <c r="AC149" i="15"/>
  <c r="AC148" i="15"/>
  <c r="AC147" i="15"/>
  <c r="AC146" i="15"/>
  <c r="AC145" i="15"/>
  <c r="AC144" i="15"/>
  <c r="AC143" i="15"/>
  <c r="AC142" i="15"/>
  <c r="AC141" i="15"/>
  <c r="AC140" i="15"/>
  <c r="AC139" i="15"/>
  <c r="AC138" i="15"/>
  <c r="AC137" i="15"/>
  <c r="AC136" i="15"/>
  <c r="AC135" i="15"/>
  <c r="AC134" i="15"/>
  <c r="AC133" i="15"/>
  <c r="D263" i="45"/>
  <c r="E263" i="45" s="1"/>
  <c r="F263" i="45" s="1"/>
  <c r="G263" i="45" s="1"/>
  <c r="H263" i="45" s="1"/>
  <c r="I263" i="45" s="1"/>
  <c r="D258" i="45"/>
  <c r="E258" i="45" s="1"/>
  <c r="F258" i="45" s="1"/>
  <c r="G258" i="45" s="1"/>
  <c r="H258" i="45" s="1"/>
  <c r="I258" i="45" s="1"/>
  <c r="D251" i="45"/>
  <c r="E251" i="45" s="1"/>
  <c r="F251" i="45" s="1"/>
  <c r="G251" i="45" s="1"/>
  <c r="H251" i="45" s="1"/>
  <c r="I251" i="45" s="1"/>
  <c r="D246" i="45"/>
  <c r="E246" i="45" s="1"/>
  <c r="F246" i="45" s="1"/>
  <c r="G246" i="45" s="1"/>
  <c r="H246" i="45" s="1"/>
  <c r="I246" i="45" s="1"/>
  <c r="D239" i="45"/>
  <c r="E239" i="45" s="1"/>
  <c r="F239" i="45" s="1"/>
  <c r="G239" i="45" s="1"/>
  <c r="H239" i="45" s="1"/>
  <c r="I239" i="45" s="1"/>
  <c r="D234" i="45"/>
  <c r="E234" i="45" s="1"/>
  <c r="F234" i="45" s="1"/>
  <c r="G234" i="45" s="1"/>
  <c r="H234" i="45" s="1"/>
  <c r="I234" i="45" s="1"/>
  <c r="D227" i="45"/>
  <c r="E227" i="45" s="1"/>
  <c r="F227" i="45" s="1"/>
  <c r="G227" i="45" s="1"/>
  <c r="H227" i="45" s="1"/>
  <c r="I227" i="45" s="1"/>
  <c r="D222" i="45"/>
  <c r="E222" i="45" s="1"/>
  <c r="F222" i="45" s="1"/>
  <c r="G222" i="45" s="1"/>
  <c r="H222" i="45" s="1"/>
  <c r="I222" i="45" s="1"/>
  <c r="D215" i="45"/>
  <c r="E215" i="45" s="1"/>
  <c r="F215" i="45" s="1"/>
  <c r="G215" i="45" s="1"/>
  <c r="H215" i="45" s="1"/>
  <c r="I215" i="45" s="1"/>
  <c r="D210" i="45"/>
  <c r="E210" i="45" s="1"/>
  <c r="F210" i="45" s="1"/>
  <c r="G210" i="45" s="1"/>
  <c r="H210" i="45" s="1"/>
  <c r="I210" i="45" s="1"/>
  <c r="D203" i="45"/>
  <c r="E203" i="45" s="1"/>
  <c r="F203" i="45" s="1"/>
  <c r="G203" i="45" s="1"/>
  <c r="H203" i="45" s="1"/>
  <c r="I203" i="45" s="1"/>
  <c r="D198" i="45"/>
  <c r="E198" i="45" s="1"/>
  <c r="F198" i="45" s="1"/>
  <c r="G198" i="45" s="1"/>
  <c r="H198" i="45" s="1"/>
  <c r="I198" i="45" s="1"/>
  <c r="D191" i="45"/>
  <c r="E191" i="45" s="1"/>
  <c r="F191" i="45" s="1"/>
  <c r="G191" i="45" s="1"/>
  <c r="H191" i="45" s="1"/>
  <c r="I191" i="45" s="1"/>
  <c r="D186" i="45"/>
  <c r="E186" i="45" s="1"/>
  <c r="F186" i="45" s="1"/>
  <c r="G186" i="45" s="1"/>
  <c r="H186" i="45" s="1"/>
  <c r="I186" i="45" s="1"/>
  <c r="D179" i="45"/>
  <c r="E179" i="45" s="1"/>
  <c r="F179" i="45" s="1"/>
  <c r="G179" i="45" s="1"/>
  <c r="H179" i="45" s="1"/>
  <c r="I179" i="45" s="1"/>
  <c r="D174" i="45"/>
  <c r="E174" i="45" s="1"/>
  <c r="F174" i="45" s="1"/>
  <c r="G174" i="45" s="1"/>
  <c r="H174" i="45" s="1"/>
  <c r="I174" i="45" s="1"/>
  <c r="D167" i="45"/>
  <c r="E167" i="45" s="1"/>
  <c r="F167" i="45" s="1"/>
  <c r="G167" i="45" s="1"/>
  <c r="H167" i="45" s="1"/>
  <c r="I167" i="45" s="1"/>
  <c r="D162" i="45"/>
  <c r="E162" i="45" s="1"/>
  <c r="F162" i="45" s="1"/>
  <c r="G162" i="45" s="1"/>
  <c r="H162" i="45" s="1"/>
  <c r="I162" i="45" s="1"/>
  <c r="D155" i="45"/>
  <c r="E155" i="45" s="1"/>
  <c r="F155" i="45" s="1"/>
  <c r="G155" i="45" s="1"/>
  <c r="H155" i="45" s="1"/>
  <c r="I155" i="45" s="1"/>
  <c r="D150" i="45"/>
  <c r="E150" i="45" s="1"/>
  <c r="F150" i="45" s="1"/>
  <c r="G150" i="45" s="1"/>
  <c r="H150" i="45" s="1"/>
  <c r="I150" i="45" s="1"/>
  <c r="G290" i="45"/>
  <c r="G291" i="45"/>
  <c r="G292" i="45"/>
  <c r="G293" i="45"/>
  <c r="D263" i="44"/>
  <c r="E263" i="44" s="1"/>
  <c r="F263" i="44" s="1"/>
  <c r="G263" i="44" s="1"/>
  <c r="H263" i="44" s="1"/>
  <c r="I263" i="44" s="1"/>
  <c r="D258" i="44"/>
  <c r="E258" i="44" s="1"/>
  <c r="F258" i="44" s="1"/>
  <c r="G258" i="44" s="1"/>
  <c r="H258" i="44" s="1"/>
  <c r="I258" i="44" s="1"/>
  <c r="D251" i="44"/>
  <c r="E251" i="44" s="1"/>
  <c r="F251" i="44" s="1"/>
  <c r="G251" i="44" s="1"/>
  <c r="H251" i="44" s="1"/>
  <c r="I251" i="44" s="1"/>
  <c r="D246" i="44"/>
  <c r="E246" i="44" s="1"/>
  <c r="F246" i="44" s="1"/>
  <c r="G246" i="44" s="1"/>
  <c r="H246" i="44" s="1"/>
  <c r="I246" i="44" s="1"/>
  <c r="D239" i="44"/>
  <c r="E239" i="44" s="1"/>
  <c r="F239" i="44" s="1"/>
  <c r="G239" i="44" s="1"/>
  <c r="H239" i="44" s="1"/>
  <c r="I239" i="44" s="1"/>
  <c r="D234" i="44"/>
  <c r="E234" i="44" s="1"/>
  <c r="F234" i="44" s="1"/>
  <c r="G234" i="44" s="1"/>
  <c r="H234" i="44" s="1"/>
  <c r="I234" i="44" s="1"/>
  <c r="D227" i="44"/>
  <c r="E227" i="44" s="1"/>
  <c r="F227" i="44" s="1"/>
  <c r="G227" i="44" s="1"/>
  <c r="H227" i="44" s="1"/>
  <c r="I227" i="44" s="1"/>
  <c r="D222" i="44"/>
  <c r="E222" i="44" s="1"/>
  <c r="F222" i="44" s="1"/>
  <c r="G222" i="44" s="1"/>
  <c r="H222" i="44" s="1"/>
  <c r="I222" i="44" s="1"/>
  <c r="D215" i="44"/>
  <c r="E215" i="44" s="1"/>
  <c r="F215" i="44" s="1"/>
  <c r="G215" i="44" s="1"/>
  <c r="H215" i="44" s="1"/>
  <c r="I215" i="44" s="1"/>
  <c r="D210" i="44"/>
  <c r="E210" i="44" s="1"/>
  <c r="F210" i="44" s="1"/>
  <c r="G210" i="44" s="1"/>
  <c r="H210" i="44" s="1"/>
  <c r="I210" i="44" s="1"/>
  <c r="D203" i="44"/>
  <c r="E203" i="44" s="1"/>
  <c r="F203" i="44" s="1"/>
  <c r="G203" i="44" s="1"/>
  <c r="H203" i="44" s="1"/>
  <c r="I203" i="44" s="1"/>
  <c r="D198" i="44"/>
  <c r="E198" i="44" s="1"/>
  <c r="F198" i="44" s="1"/>
  <c r="G198" i="44" s="1"/>
  <c r="H198" i="44" s="1"/>
  <c r="I198" i="44" s="1"/>
  <c r="D191" i="44"/>
  <c r="E191" i="44" s="1"/>
  <c r="F191" i="44" s="1"/>
  <c r="G191" i="44" s="1"/>
  <c r="H191" i="44" s="1"/>
  <c r="I191" i="44" s="1"/>
  <c r="D186" i="44"/>
  <c r="E186" i="44" s="1"/>
  <c r="F186" i="44" s="1"/>
  <c r="G186" i="44" s="1"/>
  <c r="H186" i="44" s="1"/>
  <c r="I186" i="44" s="1"/>
  <c r="D179" i="44"/>
  <c r="E179" i="44" s="1"/>
  <c r="F179" i="44" s="1"/>
  <c r="G179" i="44" s="1"/>
  <c r="H179" i="44" s="1"/>
  <c r="I179" i="44" s="1"/>
  <c r="D174" i="44"/>
  <c r="E174" i="44" s="1"/>
  <c r="F174" i="44" s="1"/>
  <c r="G174" i="44" s="1"/>
  <c r="H174" i="44" s="1"/>
  <c r="I174" i="44" s="1"/>
  <c r="D167" i="44"/>
  <c r="E167" i="44" s="1"/>
  <c r="F167" i="44" s="1"/>
  <c r="G167" i="44" s="1"/>
  <c r="H167" i="44" s="1"/>
  <c r="I167" i="44" s="1"/>
  <c r="D162" i="44"/>
  <c r="E162" i="44" s="1"/>
  <c r="F162" i="44" s="1"/>
  <c r="G162" i="44" s="1"/>
  <c r="H162" i="44" s="1"/>
  <c r="I162" i="44" s="1"/>
  <c r="D155" i="44"/>
  <c r="E155" i="44" s="1"/>
  <c r="F155" i="44" s="1"/>
  <c r="G155" i="44" s="1"/>
  <c r="H155" i="44" s="1"/>
  <c r="I155" i="44" s="1"/>
  <c r="D150" i="44"/>
  <c r="E150" i="44" s="1"/>
  <c r="F150" i="44" s="1"/>
  <c r="G150" i="44" s="1"/>
  <c r="H150" i="44" s="1"/>
  <c r="I150" i="44" s="1"/>
  <c r="O124" i="15"/>
  <c r="J67" i="15" s="1"/>
  <c r="O115" i="15"/>
  <c r="L58" i="15" s="1"/>
  <c r="O116" i="15"/>
  <c r="H59" i="15" s="1"/>
  <c r="O117" i="15"/>
  <c r="L60" i="15" s="1"/>
  <c r="O118" i="15"/>
  <c r="J61" i="15" s="1"/>
  <c r="O119" i="15"/>
  <c r="L62" i="15" s="1"/>
  <c r="O120" i="15"/>
  <c r="H63" i="15" s="1"/>
  <c r="O121" i="15"/>
  <c r="L64" i="15" s="1"/>
  <c r="O122" i="15"/>
  <c r="F65" i="15" s="1"/>
  <c r="O123" i="15"/>
  <c r="L66" i="15" s="1"/>
  <c r="M67" i="15"/>
  <c r="AD143" i="15"/>
  <c r="AD144" i="15"/>
  <c r="AD145" i="15"/>
  <c r="AD146" i="15"/>
  <c r="AD147" i="15"/>
  <c r="AD148" i="15"/>
  <c r="AD149" i="15"/>
  <c r="AD150" i="15"/>
  <c r="AD151" i="15"/>
  <c r="AD152" i="15"/>
  <c r="AC115" i="15"/>
  <c r="AC116" i="15"/>
  <c r="AC117" i="15"/>
  <c r="AC118" i="15"/>
  <c r="AC119" i="15"/>
  <c r="AC120" i="15"/>
  <c r="AC121" i="15"/>
  <c r="AC122" i="15"/>
  <c r="AC123" i="15"/>
  <c r="AC124" i="15"/>
  <c r="D263" i="43"/>
  <c r="E263" i="43" s="1"/>
  <c r="F263" i="43" s="1"/>
  <c r="G263" i="43" s="1"/>
  <c r="H263" i="43" s="1"/>
  <c r="I263" i="43" s="1"/>
  <c r="D258" i="43"/>
  <c r="E258" i="43" s="1"/>
  <c r="F258" i="43" s="1"/>
  <c r="G258" i="43" s="1"/>
  <c r="H258" i="43" s="1"/>
  <c r="I258" i="43" s="1"/>
  <c r="D251" i="43"/>
  <c r="E251" i="43" s="1"/>
  <c r="F251" i="43" s="1"/>
  <c r="G251" i="43" s="1"/>
  <c r="H251" i="43" s="1"/>
  <c r="I251" i="43" s="1"/>
  <c r="D246" i="43"/>
  <c r="E246" i="43" s="1"/>
  <c r="F246" i="43" s="1"/>
  <c r="G246" i="43" s="1"/>
  <c r="H246" i="43" s="1"/>
  <c r="I246" i="43" s="1"/>
  <c r="D239" i="43"/>
  <c r="E239" i="43" s="1"/>
  <c r="F239" i="43" s="1"/>
  <c r="G239" i="43" s="1"/>
  <c r="H239" i="43" s="1"/>
  <c r="I239" i="43" s="1"/>
  <c r="D234" i="43"/>
  <c r="E234" i="43" s="1"/>
  <c r="F234" i="43" s="1"/>
  <c r="G234" i="43" s="1"/>
  <c r="H234" i="43" s="1"/>
  <c r="I234" i="43" s="1"/>
  <c r="D227" i="43"/>
  <c r="E227" i="43" s="1"/>
  <c r="F227" i="43" s="1"/>
  <c r="G227" i="43" s="1"/>
  <c r="H227" i="43" s="1"/>
  <c r="I227" i="43" s="1"/>
  <c r="D222" i="43"/>
  <c r="E222" i="43" s="1"/>
  <c r="F222" i="43" s="1"/>
  <c r="G222" i="43" s="1"/>
  <c r="H222" i="43" s="1"/>
  <c r="I222" i="43" s="1"/>
  <c r="D215" i="43"/>
  <c r="E215" i="43" s="1"/>
  <c r="F215" i="43" s="1"/>
  <c r="G215" i="43" s="1"/>
  <c r="H215" i="43" s="1"/>
  <c r="I215" i="43" s="1"/>
  <c r="D210" i="43"/>
  <c r="E210" i="43" s="1"/>
  <c r="F210" i="43" s="1"/>
  <c r="G210" i="43" s="1"/>
  <c r="H210" i="43" s="1"/>
  <c r="I210" i="43" s="1"/>
  <c r="D203" i="43"/>
  <c r="E203" i="43" s="1"/>
  <c r="F203" i="43" s="1"/>
  <c r="G203" i="43" s="1"/>
  <c r="H203" i="43" s="1"/>
  <c r="I203" i="43" s="1"/>
  <c r="D198" i="43"/>
  <c r="E198" i="43" s="1"/>
  <c r="F198" i="43" s="1"/>
  <c r="G198" i="43" s="1"/>
  <c r="H198" i="43" s="1"/>
  <c r="I198" i="43" s="1"/>
  <c r="D191" i="43"/>
  <c r="E191" i="43" s="1"/>
  <c r="F191" i="43" s="1"/>
  <c r="G191" i="43" s="1"/>
  <c r="H191" i="43" s="1"/>
  <c r="I191" i="43" s="1"/>
  <c r="D186" i="43"/>
  <c r="E186" i="43" s="1"/>
  <c r="F186" i="43" s="1"/>
  <c r="G186" i="43" s="1"/>
  <c r="H186" i="43" s="1"/>
  <c r="I186" i="43" s="1"/>
  <c r="D179" i="43"/>
  <c r="E179" i="43" s="1"/>
  <c r="F179" i="43" s="1"/>
  <c r="G179" i="43" s="1"/>
  <c r="H179" i="43" s="1"/>
  <c r="I179" i="43" s="1"/>
  <c r="D174" i="43"/>
  <c r="E174" i="43" s="1"/>
  <c r="F174" i="43" s="1"/>
  <c r="G174" i="43" s="1"/>
  <c r="H174" i="43" s="1"/>
  <c r="I174" i="43" s="1"/>
  <c r="D167" i="43"/>
  <c r="E167" i="43" s="1"/>
  <c r="F167" i="43" s="1"/>
  <c r="G167" i="43" s="1"/>
  <c r="H167" i="43" s="1"/>
  <c r="I167" i="43" s="1"/>
  <c r="D162" i="43"/>
  <c r="E162" i="43" s="1"/>
  <c r="F162" i="43" s="1"/>
  <c r="G162" i="43" s="1"/>
  <c r="H162" i="43" s="1"/>
  <c r="I162" i="43" s="1"/>
  <c r="D155" i="43"/>
  <c r="E155" i="43" s="1"/>
  <c r="F155" i="43" s="1"/>
  <c r="G155" i="43" s="1"/>
  <c r="H155" i="43" s="1"/>
  <c r="I155" i="43" s="1"/>
  <c r="D150" i="43"/>
  <c r="E150" i="43" s="1"/>
  <c r="F150" i="43" s="1"/>
  <c r="G150" i="43" s="1"/>
  <c r="H150" i="43" s="1"/>
  <c r="I150" i="43" s="1"/>
  <c r="J60" i="15"/>
  <c r="K348" i="7"/>
  <c r="K349" i="7"/>
  <c r="K350" i="7"/>
  <c r="K351" i="7"/>
  <c r="K352" i="7"/>
  <c r="K353" i="7"/>
  <c r="K354" i="7"/>
  <c r="K355" i="7"/>
  <c r="K356" i="7"/>
  <c r="K357" i="7"/>
  <c r="K114" i="7"/>
  <c r="K115" i="7"/>
  <c r="K116" i="7"/>
  <c r="K117" i="7"/>
  <c r="K118" i="7"/>
  <c r="K119" i="7"/>
  <c r="K120" i="7"/>
  <c r="K121" i="7"/>
  <c r="K122" i="7"/>
  <c r="K123" i="7"/>
  <c r="G348" i="7"/>
  <c r="L348" i="7" s="1"/>
  <c r="G349" i="7"/>
  <c r="L349" i="7" s="1"/>
  <c r="G350" i="7"/>
  <c r="L350" i="7" s="1"/>
  <c r="G351" i="7"/>
  <c r="L351" i="7" s="1"/>
  <c r="G352" i="7"/>
  <c r="L352" i="7" s="1"/>
  <c r="G353" i="7"/>
  <c r="L353" i="7" s="1"/>
  <c r="G354" i="7"/>
  <c r="L354" i="7" s="1"/>
  <c r="G355" i="7"/>
  <c r="L355" i="7" s="1"/>
  <c r="G356" i="7"/>
  <c r="L356" i="7" s="1"/>
  <c r="F510" i="7" s="1"/>
  <c r="V356" i="7" s="1"/>
  <c r="G357" i="7"/>
  <c r="L357" i="7" s="1"/>
  <c r="I517" i="7" s="1"/>
  <c r="S357" i="7" s="1"/>
  <c r="G114" i="7"/>
  <c r="L114" i="7" s="1"/>
  <c r="G115" i="7"/>
  <c r="L115" i="7" s="1"/>
  <c r="G116" i="7"/>
  <c r="L116" i="7" s="1"/>
  <c r="F228" i="7" s="1"/>
  <c r="V116" i="7" s="1"/>
  <c r="G117" i="7"/>
  <c r="L117" i="7" s="1"/>
  <c r="F236" i="7" s="1"/>
  <c r="V117" i="7" s="1"/>
  <c r="G118" i="7"/>
  <c r="L118" i="7" s="1"/>
  <c r="I243" i="7" s="1"/>
  <c r="S118" i="7" s="1"/>
  <c r="G119" i="7"/>
  <c r="L119" i="7" s="1"/>
  <c r="F252" i="7" s="1"/>
  <c r="V119" i="7" s="1"/>
  <c r="G120" i="7"/>
  <c r="L120" i="7" s="1"/>
  <c r="F260" i="7" s="1"/>
  <c r="V120" i="7" s="1"/>
  <c r="G121" i="7"/>
  <c r="L121" i="7" s="1"/>
  <c r="F268" i="7" s="1"/>
  <c r="V121" i="7" s="1"/>
  <c r="G122" i="7"/>
  <c r="L122" i="7" s="1"/>
  <c r="F276" i="7" s="1"/>
  <c r="V122" i="7" s="1"/>
  <c r="G123" i="7"/>
  <c r="L123" i="7" s="1"/>
  <c r="D263" i="34"/>
  <c r="E263" i="34" s="1"/>
  <c r="F263" i="34" s="1"/>
  <c r="G263" i="34" s="1"/>
  <c r="H263" i="34" s="1"/>
  <c r="I263" i="34" s="1"/>
  <c r="D258" i="34"/>
  <c r="E258" i="34" s="1"/>
  <c r="F258" i="34" s="1"/>
  <c r="G258" i="34" s="1"/>
  <c r="H258" i="34" s="1"/>
  <c r="I258" i="34" s="1"/>
  <c r="D251" i="34"/>
  <c r="E251" i="34" s="1"/>
  <c r="F251" i="34" s="1"/>
  <c r="G251" i="34" s="1"/>
  <c r="H251" i="34" s="1"/>
  <c r="I251" i="34" s="1"/>
  <c r="D246" i="34"/>
  <c r="E246" i="34" s="1"/>
  <c r="F246" i="34" s="1"/>
  <c r="G246" i="34" s="1"/>
  <c r="H246" i="34" s="1"/>
  <c r="I246" i="34" s="1"/>
  <c r="D239" i="34"/>
  <c r="E239" i="34" s="1"/>
  <c r="F239" i="34" s="1"/>
  <c r="G239" i="34" s="1"/>
  <c r="H239" i="34" s="1"/>
  <c r="I239" i="34" s="1"/>
  <c r="D234" i="34"/>
  <c r="E234" i="34" s="1"/>
  <c r="F234" i="34" s="1"/>
  <c r="G234" i="34" s="1"/>
  <c r="H234" i="34" s="1"/>
  <c r="I234" i="34" s="1"/>
  <c r="D227" i="34"/>
  <c r="E227" i="34" s="1"/>
  <c r="F227" i="34" s="1"/>
  <c r="G227" i="34" s="1"/>
  <c r="H227" i="34" s="1"/>
  <c r="I227" i="34" s="1"/>
  <c r="D222" i="34"/>
  <c r="E222" i="34" s="1"/>
  <c r="F222" i="34" s="1"/>
  <c r="G222" i="34" s="1"/>
  <c r="H222" i="34" s="1"/>
  <c r="I222" i="34" s="1"/>
  <c r="D215" i="34"/>
  <c r="E215" i="34" s="1"/>
  <c r="F215" i="34" s="1"/>
  <c r="G215" i="34" s="1"/>
  <c r="H215" i="34" s="1"/>
  <c r="I215" i="34" s="1"/>
  <c r="D210" i="34"/>
  <c r="E210" i="34" s="1"/>
  <c r="F210" i="34" s="1"/>
  <c r="G210" i="34" s="1"/>
  <c r="H210" i="34" s="1"/>
  <c r="I210" i="34" s="1"/>
  <c r="D203" i="34"/>
  <c r="E203" i="34" s="1"/>
  <c r="F203" i="34" s="1"/>
  <c r="G203" i="34" s="1"/>
  <c r="H203" i="34" s="1"/>
  <c r="I203" i="34" s="1"/>
  <c r="D198" i="34"/>
  <c r="E198" i="34" s="1"/>
  <c r="F198" i="34" s="1"/>
  <c r="G198" i="34" s="1"/>
  <c r="H198" i="34" s="1"/>
  <c r="I198" i="34" s="1"/>
  <c r="D191" i="34"/>
  <c r="E191" i="34" s="1"/>
  <c r="F191" i="34" s="1"/>
  <c r="G191" i="34" s="1"/>
  <c r="H191" i="34" s="1"/>
  <c r="I191" i="34" s="1"/>
  <c r="D186" i="34"/>
  <c r="E186" i="34" s="1"/>
  <c r="F186" i="34" s="1"/>
  <c r="G186" i="34" s="1"/>
  <c r="H186" i="34" s="1"/>
  <c r="I186" i="34" s="1"/>
  <c r="D179" i="34"/>
  <c r="E179" i="34" s="1"/>
  <c r="F179" i="34" s="1"/>
  <c r="G179" i="34" s="1"/>
  <c r="H179" i="34" s="1"/>
  <c r="I179" i="34" s="1"/>
  <c r="D174" i="34"/>
  <c r="E174" i="34" s="1"/>
  <c r="F174" i="34" s="1"/>
  <c r="G174" i="34" s="1"/>
  <c r="H174" i="34" s="1"/>
  <c r="I174" i="34" s="1"/>
  <c r="D167" i="34"/>
  <c r="E167" i="34" s="1"/>
  <c r="F167" i="34" s="1"/>
  <c r="G167" i="34" s="1"/>
  <c r="H167" i="34" s="1"/>
  <c r="I167" i="34" s="1"/>
  <c r="D162" i="34"/>
  <c r="E162" i="34" s="1"/>
  <c r="F162" i="34" s="1"/>
  <c r="G162" i="34" s="1"/>
  <c r="H162" i="34" s="1"/>
  <c r="I162" i="34" s="1"/>
  <c r="D155" i="34"/>
  <c r="E155" i="34" s="1"/>
  <c r="F155" i="34" s="1"/>
  <c r="G155" i="34" s="1"/>
  <c r="H155" i="34" s="1"/>
  <c r="I155" i="34" s="1"/>
  <c r="D150" i="34"/>
  <c r="E150" i="34" s="1"/>
  <c r="F150" i="34" s="1"/>
  <c r="G150" i="34" s="1"/>
  <c r="H150" i="34" s="1"/>
  <c r="I150" i="34" s="1"/>
  <c r="AG28" i="14"/>
  <c r="AH28" i="14"/>
  <c r="AG29" i="14"/>
  <c r="AH29" i="14"/>
  <c r="AG30" i="14"/>
  <c r="AH30" i="14"/>
  <c r="O127" i="37"/>
  <c r="O128" i="37"/>
  <c r="O129" i="37"/>
  <c r="O130" i="37"/>
  <c r="O131" i="37"/>
  <c r="O132" i="37"/>
  <c r="O133" i="37"/>
  <c r="O134" i="37"/>
  <c r="O135" i="37"/>
  <c r="O136" i="37"/>
  <c r="E331" i="38"/>
  <c r="E319" i="38"/>
  <c r="F319" i="38" s="1"/>
  <c r="G319" i="38" s="1"/>
  <c r="H319" i="38" s="1"/>
  <c r="I319" i="38" s="1"/>
  <c r="J319" i="38" s="1"/>
  <c r="E307" i="38"/>
  <c r="F307" i="38" s="1"/>
  <c r="G307" i="38" s="1"/>
  <c r="H307" i="38" s="1"/>
  <c r="I307" i="38" s="1"/>
  <c r="J307" i="38" s="1"/>
  <c r="E295" i="38"/>
  <c r="E283" i="38"/>
  <c r="E271" i="38"/>
  <c r="F271" i="38" s="1"/>
  <c r="G271" i="38" s="1"/>
  <c r="H271" i="38" s="1"/>
  <c r="I271" i="38" s="1"/>
  <c r="J271" i="38" s="1"/>
  <c r="E259" i="38"/>
  <c r="F259" i="38" s="1"/>
  <c r="G259" i="38" s="1"/>
  <c r="H259" i="38" s="1"/>
  <c r="I259" i="38" s="1"/>
  <c r="J259" i="38" s="1"/>
  <c r="E247" i="38"/>
  <c r="E235" i="38"/>
  <c r="E223" i="38"/>
  <c r="F223" i="38" s="1"/>
  <c r="G223" i="38" s="1"/>
  <c r="H223" i="38" s="1"/>
  <c r="I223" i="38" s="1"/>
  <c r="J223" i="38" s="1"/>
  <c r="U69" i="38"/>
  <c r="V69" i="38"/>
  <c r="W69" i="38"/>
  <c r="X69" i="38"/>
  <c r="J70" i="38"/>
  <c r="K70" i="38"/>
  <c r="L70" i="38"/>
  <c r="M70" i="38"/>
  <c r="N70" i="38"/>
  <c r="I70" i="38"/>
  <c r="V60" i="38"/>
  <c r="W60" i="38"/>
  <c r="X60" i="38"/>
  <c r="U61" i="38"/>
  <c r="W61" i="38"/>
  <c r="X61" i="38"/>
  <c r="R61" i="38" s="1"/>
  <c r="S61" i="38" s="1"/>
  <c r="U62" i="38"/>
  <c r="W62" i="38"/>
  <c r="X62" i="38"/>
  <c r="V63" i="38"/>
  <c r="W63" i="38"/>
  <c r="X63" i="38"/>
  <c r="U64" i="38"/>
  <c r="V64" i="38"/>
  <c r="W64" i="38"/>
  <c r="X64" i="38"/>
  <c r="U65" i="38"/>
  <c r="V65" i="38"/>
  <c r="W65" i="38"/>
  <c r="X65" i="38"/>
  <c r="U66" i="38"/>
  <c r="V66" i="38"/>
  <c r="W66" i="38"/>
  <c r="R66" i="38" s="1"/>
  <c r="T66" i="38" s="1"/>
  <c r="X66" i="38"/>
  <c r="U67" i="38"/>
  <c r="V67" i="38"/>
  <c r="W67" i="38"/>
  <c r="X67" i="38"/>
  <c r="U68" i="38"/>
  <c r="V68" i="38"/>
  <c r="W68" i="38"/>
  <c r="X68" i="38"/>
  <c r="V62" i="38"/>
  <c r="U60" i="38"/>
  <c r="U63" i="38"/>
  <c r="V61" i="38"/>
  <c r="L76" i="15"/>
  <c r="M76" i="15" s="1"/>
  <c r="N76" i="15" s="1"/>
  <c r="O76" i="15" s="1"/>
  <c r="P76" i="15" s="1"/>
  <c r="Q76" i="15" s="1"/>
  <c r="E76" i="15"/>
  <c r="F76" i="15" s="1"/>
  <c r="G76" i="15" s="1"/>
  <c r="H76" i="15" s="1"/>
  <c r="I76" i="15" s="1"/>
  <c r="J76" i="15" s="1"/>
  <c r="AD105" i="15"/>
  <c r="C52" i="1"/>
  <c r="AW510" i="50"/>
  <c r="AX510" i="50" s="1"/>
  <c r="AY510" i="50" s="1"/>
  <c r="AZ510" i="50" s="1"/>
  <c r="BA510" i="50" s="1"/>
  <c r="BB510" i="50" s="1"/>
  <c r="AW486" i="50"/>
  <c r="AX486" i="50" s="1"/>
  <c r="AY486" i="50" s="1"/>
  <c r="AZ486" i="50" s="1"/>
  <c r="BA486" i="50" s="1"/>
  <c r="BB486" i="50" s="1"/>
  <c r="AW113" i="50"/>
  <c r="AX113" i="50" s="1"/>
  <c r="AY113" i="50" s="1"/>
  <c r="AZ113" i="50" s="1"/>
  <c r="BA113" i="50" s="1"/>
  <c r="BB113" i="50" s="1"/>
  <c r="AW89" i="50"/>
  <c r="AX89" i="50" s="1"/>
  <c r="AY89" i="50" s="1"/>
  <c r="AZ89" i="50" s="1"/>
  <c r="BA89" i="50" s="1"/>
  <c r="BB89" i="50" s="1"/>
  <c r="AP457" i="50"/>
  <c r="AQ457" i="50" s="1"/>
  <c r="AR457" i="50" s="1"/>
  <c r="AS457" i="50" s="1"/>
  <c r="AT457" i="50" s="1"/>
  <c r="AU457" i="50" s="1"/>
  <c r="AI457" i="50"/>
  <c r="AJ457" i="50" s="1"/>
  <c r="AK457" i="50" s="1"/>
  <c r="AL457" i="50" s="1"/>
  <c r="AM457" i="50" s="1"/>
  <c r="AN457" i="50" s="1"/>
  <c r="AP510" i="50"/>
  <c r="AQ510" i="50" s="1"/>
  <c r="AR510" i="50" s="1"/>
  <c r="AS510" i="50" s="1"/>
  <c r="AT510" i="50" s="1"/>
  <c r="AU510" i="50" s="1"/>
  <c r="AI510" i="50"/>
  <c r="AJ510" i="50" s="1"/>
  <c r="AK510" i="50" s="1"/>
  <c r="AL510" i="50" s="1"/>
  <c r="AM510" i="50" s="1"/>
  <c r="AN510" i="50" s="1"/>
  <c r="AP486" i="50"/>
  <c r="AQ486" i="50" s="1"/>
  <c r="AR486" i="50" s="1"/>
  <c r="AS486" i="50" s="1"/>
  <c r="AT486" i="50" s="1"/>
  <c r="AU486" i="50" s="1"/>
  <c r="AI486" i="50"/>
  <c r="AJ486" i="50" s="1"/>
  <c r="AK486" i="50" s="1"/>
  <c r="AL486" i="50" s="1"/>
  <c r="AM486" i="50" s="1"/>
  <c r="AN486" i="50" s="1"/>
  <c r="AP62" i="50"/>
  <c r="AQ62" i="50" s="1"/>
  <c r="AR62" i="50" s="1"/>
  <c r="AS62" i="50" s="1"/>
  <c r="AT62" i="50" s="1"/>
  <c r="AU62" i="50" s="1"/>
  <c r="AI62" i="50"/>
  <c r="AJ62" i="50" s="1"/>
  <c r="AK62" i="50" s="1"/>
  <c r="AL62" i="50" s="1"/>
  <c r="AM62" i="50" s="1"/>
  <c r="AN62" i="50" s="1"/>
  <c r="AP113" i="50"/>
  <c r="AQ113" i="50" s="1"/>
  <c r="AR113" i="50" s="1"/>
  <c r="AS113" i="50" s="1"/>
  <c r="AT113" i="50" s="1"/>
  <c r="AU113" i="50" s="1"/>
  <c r="AI113" i="50"/>
  <c r="AJ113" i="50" s="1"/>
  <c r="AK113" i="50" s="1"/>
  <c r="AL113" i="50" s="1"/>
  <c r="AM113" i="50" s="1"/>
  <c r="AN113" i="50" s="1"/>
  <c r="AP89" i="50"/>
  <c r="AQ89" i="50" s="1"/>
  <c r="AR89" i="50" s="1"/>
  <c r="AS89" i="50" s="1"/>
  <c r="AT89" i="50" s="1"/>
  <c r="AU89" i="50" s="1"/>
  <c r="AI89" i="50"/>
  <c r="AJ89" i="50" s="1"/>
  <c r="AK89" i="50" s="1"/>
  <c r="AL89" i="50" s="1"/>
  <c r="AM89" i="50" s="1"/>
  <c r="AN89" i="50" s="1"/>
  <c r="O109" i="15"/>
  <c r="O110" i="15"/>
  <c r="N53" i="15" s="1"/>
  <c r="AC106" i="15"/>
  <c r="AC107" i="15"/>
  <c r="AC108" i="15"/>
  <c r="AC109" i="15"/>
  <c r="AC110" i="15"/>
  <c r="AC111" i="15"/>
  <c r="AC112" i="15"/>
  <c r="AC113" i="15"/>
  <c r="AC114" i="15"/>
  <c r="AC105" i="15"/>
  <c r="AL75" i="15"/>
  <c r="AM75" i="15" s="1"/>
  <c r="AN75" i="15" s="1"/>
  <c r="AO75" i="15" s="1"/>
  <c r="AP75" i="15" s="1"/>
  <c r="AQ75" i="15" s="1"/>
  <c r="AF75" i="15"/>
  <c r="AG75" i="15" s="1"/>
  <c r="AH75" i="15" s="1"/>
  <c r="AI75" i="15" s="1"/>
  <c r="AJ75" i="15" s="1"/>
  <c r="AK75" i="15" s="1"/>
  <c r="AL47" i="15"/>
  <c r="AM47" i="15" s="1"/>
  <c r="AN47" i="15" s="1"/>
  <c r="AO47" i="15" s="1"/>
  <c r="AP47" i="15" s="1"/>
  <c r="AQ47" i="15" s="1"/>
  <c r="AF47" i="15"/>
  <c r="AG47" i="15" s="1"/>
  <c r="AH47" i="15" s="1"/>
  <c r="AI47" i="15" s="1"/>
  <c r="AJ47" i="15" s="1"/>
  <c r="AK47" i="15" s="1"/>
  <c r="O114" i="15"/>
  <c r="L57" i="15" s="1"/>
  <c r="O113" i="15"/>
  <c r="L56" i="15" s="1"/>
  <c r="O112" i="15"/>
  <c r="L55" i="15" s="1"/>
  <c r="O111" i="15"/>
  <c r="N54" i="15" s="1"/>
  <c r="O108" i="15"/>
  <c r="O107" i="15"/>
  <c r="O106" i="15"/>
  <c r="O105" i="15"/>
  <c r="AL104" i="15"/>
  <c r="AM104" i="15" s="1"/>
  <c r="AN104" i="15" s="1"/>
  <c r="AO104" i="15" s="1"/>
  <c r="AP104" i="15" s="1"/>
  <c r="AQ104" i="15" s="1"/>
  <c r="AF104" i="15"/>
  <c r="AG104" i="15" s="1"/>
  <c r="AH104" i="15" s="1"/>
  <c r="AI104" i="15" s="1"/>
  <c r="AJ104" i="15" s="1"/>
  <c r="AK104" i="15" s="1"/>
  <c r="F38" i="37"/>
  <c r="G38" i="37" s="1"/>
  <c r="H38" i="37" s="1"/>
  <c r="I38" i="37" s="1"/>
  <c r="J38" i="37" s="1"/>
  <c r="K38" i="37" s="1"/>
  <c r="L47" i="15"/>
  <c r="M47" i="15" s="1"/>
  <c r="N47" i="15" s="1"/>
  <c r="O47" i="15" s="1"/>
  <c r="P47" i="15" s="1"/>
  <c r="Q47" i="15" s="1"/>
  <c r="E47" i="15"/>
  <c r="F47" i="15" s="1"/>
  <c r="G47" i="15" s="1"/>
  <c r="H47" i="15" s="1"/>
  <c r="I47" i="15" s="1"/>
  <c r="J47" i="15" s="1"/>
  <c r="AO85" i="37"/>
  <c r="AP85" i="37" s="1"/>
  <c r="AQ85" i="37" s="1"/>
  <c r="AR85" i="37" s="1"/>
  <c r="AS85" i="37" s="1"/>
  <c r="AT85" i="37" s="1"/>
  <c r="AI85" i="37"/>
  <c r="AJ85" i="37" s="1"/>
  <c r="AK85" i="37" s="1"/>
  <c r="AL85" i="37" s="1"/>
  <c r="AM85" i="37" s="1"/>
  <c r="AN85" i="37" s="1"/>
  <c r="AO47" i="37"/>
  <c r="AP47" i="37" s="1"/>
  <c r="AQ47" i="37" s="1"/>
  <c r="AR47" i="37" s="1"/>
  <c r="AS47" i="37" s="1"/>
  <c r="AT47" i="37" s="1"/>
  <c r="AO116" i="37"/>
  <c r="AP116" i="37" s="1"/>
  <c r="AQ116" i="37" s="1"/>
  <c r="AR116" i="37" s="1"/>
  <c r="AS116" i="37" s="1"/>
  <c r="AT116" i="37" s="1"/>
  <c r="AI116" i="37"/>
  <c r="AJ116" i="37" s="1"/>
  <c r="AK116" i="37" s="1"/>
  <c r="AL116" i="37" s="1"/>
  <c r="AM116" i="37" s="1"/>
  <c r="AN116" i="37" s="1"/>
  <c r="AH32" i="14"/>
  <c r="AH31" i="14"/>
  <c r="AG32" i="14"/>
  <c r="AG31" i="14"/>
  <c r="AL88" i="14"/>
  <c r="AM88" i="14" s="1"/>
  <c r="AN88" i="14" s="1"/>
  <c r="AO88" i="14" s="1"/>
  <c r="AP88" i="14" s="1"/>
  <c r="AQ88" i="14" s="1"/>
  <c r="AI34" i="14"/>
  <c r="AL49" i="14"/>
  <c r="AM49" i="14" s="1"/>
  <c r="AN49" i="14" s="1"/>
  <c r="AO49" i="14" s="1"/>
  <c r="AP49" i="14" s="1"/>
  <c r="AQ49" i="14" s="1"/>
  <c r="N398" i="41"/>
  <c r="N397" i="41"/>
  <c r="N396" i="41"/>
  <c r="O126" i="37"/>
  <c r="O125" i="37"/>
  <c r="O124" i="37"/>
  <c r="O123" i="37"/>
  <c r="O122" i="37"/>
  <c r="O121" i="37"/>
  <c r="O120" i="37"/>
  <c r="O119" i="37"/>
  <c r="O118" i="37"/>
  <c r="E179" i="51"/>
  <c r="F179" i="51" s="1"/>
  <c r="F182" i="51" s="1"/>
  <c r="E162" i="51"/>
  <c r="F162" i="51" s="1"/>
  <c r="E145" i="51"/>
  <c r="F145" i="51" s="1"/>
  <c r="E128" i="51"/>
  <c r="F128" i="51" s="1"/>
  <c r="E111" i="51"/>
  <c r="F111" i="51" s="1"/>
  <c r="F114" i="51" s="1"/>
  <c r="E94" i="51"/>
  <c r="F94" i="51" s="1"/>
  <c r="F97" i="51" s="1"/>
  <c r="E77" i="51"/>
  <c r="F77" i="51" s="1"/>
  <c r="E60" i="51"/>
  <c r="E63" i="51" s="1"/>
  <c r="E43" i="51"/>
  <c r="F43" i="51" s="1"/>
  <c r="F46" i="51" s="1"/>
  <c r="E26" i="51"/>
  <c r="E77" i="49"/>
  <c r="E80" i="49" s="1"/>
  <c r="E179" i="49"/>
  <c r="E182" i="49" s="1"/>
  <c r="E162" i="49"/>
  <c r="E165" i="49" s="1"/>
  <c r="E145" i="49"/>
  <c r="E128" i="49"/>
  <c r="F128" i="49" s="1"/>
  <c r="E111" i="49"/>
  <c r="E114" i="49" s="1"/>
  <c r="E94" i="49"/>
  <c r="F94" i="49" s="1"/>
  <c r="F97" i="49" s="1"/>
  <c r="E60" i="49"/>
  <c r="E63" i="49" s="1"/>
  <c r="E43" i="49"/>
  <c r="E46" i="49" s="1"/>
  <c r="E26" i="49"/>
  <c r="E29" i="49" s="1"/>
  <c r="E190" i="47"/>
  <c r="E193" i="47" s="1"/>
  <c r="E196" i="47" s="1"/>
  <c r="E172" i="47"/>
  <c r="E175" i="47" s="1"/>
  <c r="E154" i="47"/>
  <c r="E157" i="47" s="1"/>
  <c r="E158" i="47" s="1"/>
  <c r="E136" i="47"/>
  <c r="E139" i="47" s="1"/>
  <c r="E118" i="47"/>
  <c r="F118" i="47" s="1"/>
  <c r="G118" i="47" s="1"/>
  <c r="E100" i="47"/>
  <c r="E103" i="47" s="1"/>
  <c r="E82" i="47"/>
  <c r="E85" i="47" s="1"/>
  <c r="E64" i="47"/>
  <c r="E67" i="47" s="1"/>
  <c r="E46" i="47"/>
  <c r="E49" i="47" s="1"/>
  <c r="AI18" i="14"/>
  <c r="E369" i="3"/>
  <c r="F369" i="3" s="1"/>
  <c r="G369" i="3" s="1"/>
  <c r="H369" i="3" s="1"/>
  <c r="I369" i="3" s="1"/>
  <c r="J369" i="3" s="1"/>
  <c r="E331" i="3"/>
  <c r="F331" i="3" s="1"/>
  <c r="G331" i="3" s="1"/>
  <c r="H331" i="3" s="1"/>
  <c r="I331" i="3" s="1"/>
  <c r="J331" i="3" s="1"/>
  <c r="E293" i="3"/>
  <c r="F293" i="3" s="1"/>
  <c r="G293" i="3" s="1"/>
  <c r="H293" i="3" s="1"/>
  <c r="I293" i="3" s="1"/>
  <c r="J293" i="3" s="1"/>
  <c r="E255" i="3"/>
  <c r="F255" i="3" s="1"/>
  <c r="G255" i="3" s="1"/>
  <c r="H255" i="3" s="1"/>
  <c r="I255" i="3" s="1"/>
  <c r="J255" i="3" s="1"/>
  <c r="E217" i="3"/>
  <c r="F217" i="3" s="1"/>
  <c r="G217" i="3" s="1"/>
  <c r="H217" i="3" s="1"/>
  <c r="I217" i="3" s="1"/>
  <c r="J217" i="3" s="1"/>
  <c r="E369" i="56"/>
  <c r="F369" i="56" s="1"/>
  <c r="G369" i="56" s="1"/>
  <c r="H369" i="56" s="1"/>
  <c r="I369" i="56" s="1"/>
  <c r="J369" i="56" s="1"/>
  <c r="E331" i="56"/>
  <c r="F331" i="56" s="1"/>
  <c r="G331" i="56" s="1"/>
  <c r="H331" i="56" s="1"/>
  <c r="I331" i="56" s="1"/>
  <c r="J331" i="56" s="1"/>
  <c r="E293" i="56"/>
  <c r="F293" i="56" s="1"/>
  <c r="G293" i="56" s="1"/>
  <c r="H293" i="56" s="1"/>
  <c r="I293" i="56" s="1"/>
  <c r="J293" i="56" s="1"/>
  <c r="E255" i="56"/>
  <c r="F255" i="56" s="1"/>
  <c r="G255" i="56" s="1"/>
  <c r="H255" i="56" s="1"/>
  <c r="I255" i="56" s="1"/>
  <c r="J255" i="56" s="1"/>
  <c r="E217" i="56"/>
  <c r="F217" i="56" s="1"/>
  <c r="G217" i="56" s="1"/>
  <c r="H217" i="56" s="1"/>
  <c r="I217" i="56" s="1"/>
  <c r="J217" i="56" s="1"/>
  <c r="B181" i="47"/>
  <c r="G191" i="47" s="1"/>
  <c r="G17" i="47" s="1"/>
  <c r="AN16" i="14" s="1"/>
  <c r="B163" i="47"/>
  <c r="B145" i="47"/>
  <c r="DB203" i="47"/>
  <c r="DC203" i="47" s="1"/>
  <c r="DB204" i="47"/>
  <c r="DC204" i="47" s="1"/>
  <c r="DB205" i="47"/>
  <c r="DC205" i="47" s="1"/>
  <c r="DB206" i="47"/>
  <c r="DC206" i="47" s="1"/>
  <c r="DB207" i="47"/>
  <c r="DC207" i="47" s="1"/>
  <c r="DB208" i="47"/>
  <c r="DC208" i="47" s="1"/>
  <c r="DB209" i="47"/>
  <c r="DC209" i="47" s="1"/>
  <c r="DB210" i="47"/>
  <c r="DC210" i="47" s="1"/>
  <c r="DB211" i="47"/>
  <c r="DC211" i="47" s="1"/>
  <c r="DB212" i="47"/>
  <c r="DC212" i="47" s="1"/>
  <c r="DB213" i="47"/>
  <c r="DC213" i="47" s="1"/>
  <c r="B127" i="47"/>
  <c r="B109" i="47"/>
  <c r="G119" i="47" s="1"/>
  <c r="G13" i="47" s="1"/>
  <c r="AN12" i="14" s="1"/>
  <c r="B172" i="49"/>
  <c r="E180" i="49" s="1"/>
  <c r="E17" i="49" s="1"/>
  <c r="AL26" i="14" s="1"/>
  <c r="B155" i="49"/>
  <c r="G163" i="49" s="1"/>
  <c r="G16" i="49" s="1"/>
  <c r="AN25" i="14" s="1"/>
  <c r="B138" i="49"/>
  <c r="H146" i="49" s="1"/>
  <c r="H15" i="49" s="1"/>
  <c r="AO24" i="14" s="1"/>
  <c r="B121" i="49"/>
  <c r="G129" i="49" s="1"/>
  <c r="G14" i="49" s="1"/>
  <c r="AN23" i="14" s="1"/>
  <c r="B104" i="49"/>
  <c r="E112" i="49" s="1"/>
  <c r="E13" i="49" s="1"/>
  <c r="AL22" i="14" s="1"/>
  <c r="B172" i="51"/>
  <c r="B155" i="51"/>
  <c r="B138" i="51"/>
  <c r="G146" i="51" s="1"/>
  <c r="G15" i="51" s="1"/>
  <c r="AN34" i="14" s="1"/>
  <c r="B121" i="51"/>
  <c r="B104" i="51"/>
  <c r="Y114" i="50"/>
  <c r="O407" i="41"/>
  <c r="O408" i="41" s="1"/>
  <c r="A1" i="41" s="1"/>
  <c r="O390" i="41"/>
  <c r="O62" i="41"/>
  <c r="O52" i="41"/>
  <c r="O53" i="41"/>
  <c r="O54" i="41"/>
  <c r="O55" i="41"/>
  <c r="O56" i="41"/>
  <c r="O57" i="41"/>
  <c r="O51" i="41"/>
  <c r="O45" i="41"/>
  <c r="O9" i="41"/>
  <c r="O7" i="41"/>
  <c r="G15" i="1"/>
  <c r="G21" i="1"/>
  <c r="G22" i="1"/>
  <c r="G27" i="1"/>
  <c r="G28" i="1"/>
  <c r="G29" i="1"/>
  <c r="G30" i="1"/>
  <c r="G31" i="1"/>
  <c r="G32" i="1"/>
  <c r="G34" i="1"/>
  <c r="E179" i="56"/>
  <c r="F179" i="56" s="1"/>
  <c r="G179" i="56" s="1"/>
  <c r="H179" i="56" s="1"/>
  <c r="I179" i="56" s="1"/>
  <c r="J179" i="56" s="1"/>
  <c r="E141" i="56"/>
  <c r="F141" i="56" s="1"/>
  <c r="G141" i="56" s="1"/>
  <c r="H141" i="56" s="1"/>
  <c r="I141" i="56" s="1"/>
  <c r="J141" i="56" s="1"/>
  <c r="E103" i="56"/>
  <c r="F103" i="56" s="1"/>
  <c r="G103" i="56" s="1"/>
  <c r="H103" i="56" s="1"/>
  <c r="I103" i="56" s="1"/>
  <c r="J103" i="56" s="1"/>
  <c r="E65" i="56"/>
  <c r="F65" i="56" s="1"/>
  <c r="G65" i="56" s="1"/>
  <c r="H65" i="56" s="1"/>
  <c r="I65" i="56" s="1"/>
  <c r="J65" i="56" s="1"/>
  <c r="E27" i="56"/>
  <c r="F27" i="56" s="1"/>
  <c r="G27" i="56" s="1"/>
  <c r="H27" i="56" s="1"/>
  <c r="I27" i="56" s="1"/>
  <c r="J27" i="56" s="1"/>
  <c r="E13" i="56"/>
  <c r="F13" i="56" s="1"/>
  <c r="G13" i="56" s="1"/>
  <c r="H13" i="56" s="1"/>
  <c r="I13" i="56" s="1"/>
  <c r="J13" i="56" s="1"/>
  <c r="D65" i="53"/>
  <c r="D94" i="53" s="1"/>
  <c r="D123" i="53" s="1"/>
  <c r="D152" i="53" s="1"/>
  <c r="E179" i="3"/>
  <c r="F179" i="3" s="1"/>
  <c r="G179" i="3" s="1"/>
  <c r="H179" i="3" s="1"/>
  <c r="I179" i="3" s="1"/>
  <c r="J179" i="3" s="1"/>
  <c r="E141" i="3"/>
  <c r="F141" i="3" s="1"/>
  <c r="G141" i="3" s="1"/>
  <c r="H141" i="3" s="1"/>
  <c r="I141" i="3" s="1"/>
  <c r="J141" i="3" s="1"/>
  <c r="E103" i="3"/>
  <c r="F103" i="3" s="1"/>
  <c r="G103" i="3" s="1"/>
  <c r="H103" i="3" s="1"/>
  <c r="I103" i="3" s="1"/>
  <c r="J103" i="3" s="1"/>
  <c r="E65" i="3"/>
  <c r="F65" i="3" s="1"/>
  <c r="G65" i="3" s="1"/>
  <c r="H65" i="3" s="1"/>
  <c r="I65" i="3" s="1"/>
  <c r="J65" i="3" s="1"/>
  <c r="E7" i="51"/>
  <c r="F7" i="51" s="1"/>
  <c r="G7" i="51" s="1"/>
  <c r="H7" i="51" s="1"/>
  <c r="I7" i="51" s="1"/>
  <c r="J7" i="51" s="1"/>
  <c r="E7" i="49"/>
  <c r="F7" i="49" s="1"/>
  <c r="G7" i="49" s="1"/>
  <c r="H7" i="49" s="1"/>
  <c r="I7" i="49" s="1"/>
  <c r="J7" i="49" s="1"/>
  <c r="AL6" i="14"/>
  <c r="AM6" i="14" s="1"/>
  <c r="AN6" i="14" s="1"/>
  <c r="AO6" i="14" s="1"/>
  <c r="AP6" i="14" s="1"/>
  <c r="AQ6" i="14" s="1"/>
  <c r="E7" i="47"/>
  <c r="F7" i="47" s="1"/>
  <c r="G7" i="47" s="1"/>
  <c r="H7" i="47" s="1"/>
  <c r="I7" i="47" s="1"/>
  <c r="J7" i="47" s="1"/>
  <c r="E144" i="53"/>
  <c r="F144" i="53" s="1"/>
  <c r="G144" i="53" s="1"/>
  <c r="H144" i="53" s="1"/>
  <c r="I144" i="53" s="1"/>
  <c r="J144" i="53" s="1"/>
  <c r="E115" i="53"/>
  <c r="F115" i="53" s="1"/>
  <c r="G115" i="53" s="1"/>
  <c r="H115" i="53" s="1"/>
  <c r="I115" i="53" s="1"/>
  <c r="J115" i="53" s="1"/>
  <c r="E86" i="53"/>
  <c r="F86" i="53" s="1"/>
  <c r="G86" i="53" s="1"/>
  <c r="H86" i="53" s="1"/>
  <c r="I86" i="53" s="1"/>
  <c r="J86" i="53" s="1"/>
  <c r="E57" i="53"/>
  <c r="F57" i="53" s="1"/>
  <c r="G57" i="53" s="1"/>
  <c r="H57" i="53" s="1"/>
  <c r="I57" i="53" s="1"/>
  <c r="J57" i="53" s="1"/>
  <c r="E28" i="53"/>
  <c r="F28" i="53" s="1"/>
  <c r="G28" i="53" s="1"/>
  <c r="H28" i="53" s="1"/>
  <c r="I28" i="53" s="1"/>
  <c r="J28" i="53" s="1"/>
  <c r="E13" i="53"/>
  <c r="F13" i="53" s="1"/>
  <c r="G13" i="53" s="1"/>
  <c r="H13" i="53" s="1"/>
  <c r="I13" i="53" s="1"/>
  <c r="J13" i="53" s="1"/>
  <c r="B87" i="51"/>
  <c r="B70" i="51"/>
  <c r="F78" i="51" s="1"/>
  <c r="F11" i="51" s="1"/>
  <c r="AM30" i="14" s="1"/>
  <c r="B53" i="51"/>
  <c r="H61" i="51" s="1"/>
  <c r="H10" i="51" s="1"/>
  <c r="AO29" i="14" s="1"/>
  <c r="B36" i="51"/>
  <c r="F44" i="51" s="1"/>
  <c r="F9" i="51" s="1"/>
  <c r="AM28" i="14" s="1"/>
  <c r="B87" i="49"/>
  <c r="G95" i="49" s="1"/>
  <c r="G12" i="49" s="1"/>
  <c r="AN21" i="14" s="1"/>
  <c r="B70" i="49"/>
  <c r="G78" i="49" s="1"/>
  <c r="G11" i="49" s="1"/>
  <c r="AN20" i="14" s="1"/>
  <c r="B53" i="49"/>
  <c r="E61" i="49" s="1"/>
  <c r="E10" i="49" s="1"/>
  <c r="AL19" i="14" s="1"/>
  <c r="B36" i="49"/>
  <c r="G44" i="49" s="1"/>
  <c r="G9" i="49" s="1"/>
  <c r="AN18" i="14" s="1"/>
  <c r="B19" i="49"/>
  <c r="G27" i="49" s="1"/>
  <c r="G8" i="49" s="1"/>
  <c r="AN17" i="14" s="1"/>
  <c r="B91" i="47"/>
  <c r="E101" i="47" s="1"/>
  <c r="E12" i="47" s="1"/>
  <c r="AL11" i="14" s="1"/>
  <c r="B73" i="47"/>
  <c r="I83" i="47" s="1"/>
  <c r="I11" i="47" s="1"/>
  <c r="AP10" i="14" s="1"/>
  <c r="B55" i="47"/>
  <c r="B37" i="47"/>
  <c r="H27" i="1"/>
  <c r="F51" i="50"/>
  <c r="G51" i="50" s="1"/>
  <c r="H51" i="50" s="1"/>
  <c r="I51" i="50" s="1"/>
  <c r="J51" i="50" s="1"/>
  <c r="K51" i="50" s="1"/>
  <c r="H3" i="14"/>
  <c r="C215" i="41"/>
  <c r="C200" i="41"/>
  <c r="C185" i="41"/>
  <c r="C170" i="41"/>
  <c r="C155" i="41"/>
  <c r="C140" i="41"/>
  <c r="C125" i="41"/>
  <c r="C110" i="41"/>
  <c r="C95" i="41"/>
  <c r="C80" i="41"/>
  <c r="C65" i="41"/>
  <c r="E216" i="41"/>
  <c r="E201" i="41"/>
  <c r="E186" i="41"/>
  <c r="E171" i="41"/>
  <c r="E156" i="41"/>
  <c r="E141" i="41"/>
  <c r="E126" i="41"/>
  <c r="E111" i="41"/>
  <c r="E96" i="41"/>
  <c r="E81" i="41"/>
  <c r="E66" i="41"/>
  <c r="AD64" i="50"/>
  <c r="AF64" i="50" s="1"/>
  <c r="AD65" i="50"/>
  <c r="AF65" i="50" s="1"/>
  <c r="AD66" i="50"/>
  <c r="AF66" i="50" s="1"/>
  <c r="AD67" i="50"/>
  <c r="AF67" i="50" s="1"/>
  <c r="AD68" i="50"/>
  <c r="AF68" i="50" s="1"/>
  <c r="AD69" i="50"/>
  <c r="J94" i="50" s="1"/>
  <c r="Z94" i="50" s="1"/>
  <c r="C217" i="50" s="1"/>
  <c r="C225" i="50" s="1"/>
  <c r="AD70" i="50"/>
  <c r="AF70" i="50" s="1"/>
  <c r="AD71" i="50"/>
  <c r="J96" i="50" s="1"/>
  <c r="Z96" i="50" s="1"/>
  <c r="C251" i="50" s="1"/>
  <c r="C259" i="50" s="1"/>
  <c r="AD72" i="50"/>
  <c r="AF72" i="50" s="1"/>
  <c r="AD63" i="50"/>
  <c r="AC64" i="50"/>
  <c r="AC65" i="50" s="1"/>
  <c r="AC66" i="50" s="1"/>
  <c r="AC67" i="50" s="1"/>
  <c r="AC68" i="50" s="1"/>
  <c r="AC69" i="50" s="1"/>
  <c r="AC70" i="50" s="1"/>
  <c r="AC71" i="50" s="1"/>
  <c r="AC72" i="50" s="1"/>
  <c r="AC73" i="50" s="1"/>
  <c r="F661" i="50"/>
  <c r="G661" i="50" s="1"/>
  <c r="H661" i="50" s="1"/>
  <c r="I661" i="50" s="1"/>
  <c r="J661" i="50" s="1"/>
  <c r="K661" i="50" s="1"/>
  <c r="F644" i="50"/>
  <c r="G644" i="50" s="1"/>
  <c r="H644" i="50" s="1"/>
  <c r="I644" i="50" s="1"/>
  <c r="J644" i="50" s="1"/>
  <c r="K644" i="50" s="1"/>
  <c r="F627" i="50"/>
  <c r="G627" i="50" s="1"/>
  <c r="H627" i="50" s="1"/>
  <c r="I627" i="50" s="1"/>
  <c r="J627" i="50" s="1"/>
  <c r="K627" i="50" s="1"/>
  <c r="F610" i="50"/>
  <c r="G610" i="50" s="1"/>
  <c r="H610" i="50" s="1"/>
  <c r="I610" i="50" s="1"/>
  <c r="J610" i="50" s="1"/>
  <c r="K610" i="50" s="1"/>
  <c r="F593" i="50"/>
  <c r="G593" i="50" s="1"/>
  <c r="H593" i="50" s="1"/>
  <c r="I593" i="50" s="1"/>
  <c r="J593" i="50" s="1"/>
  <c r="K593" i="50" s="1"/>
  <c r="F576" i="50"/>
  <c r="G576" i="50" s="1"/>
  <c r="H576" i="50" s="1"/>
  <c r="I576" i="50" s="1"/>
  <c r="J576" i="50" s="1"/>
  <c r="K576" i="50" s="1"/>
  <c r="F559" i="50"/>
  <c r="G559" i="50" s="1"/>
  <c r="H559" i="50" s="1"/>
  <c r="I559" i="50" s="1"/>
  <c r="J559" i="50" s="1"/>
  <c r="K559" i="50" s="1"/>
  <c r="F542" i="50"/>
  <c r="G542" i="50" s="1"/>
  <c r="H542" i="50" s="1"/>
  <c r="I542" i="50" s="1"/>
  <c r="J542" i="50" s="1"/>
  <c r="K542" i="50" s="1"/>
  <c r="F525" i="50"/>
  <c r="G525" i="50" s="1"/>
  <c r="H525" i="50" s="1"/>
  <c r="I525" i="50" s="1"/>
  <c r="J525" i="50" s="1"/>
  <c r="K525" i="50" s="1"/>
  <c r="F508" i="50"/>
  <c r="G508" i="50" s="1"/>
  <c r="H508" i="50" s="1"/>
  <c r="I508" i="50" s="1"/>
  <c r="J508" i="50" s="1"/>
  <c r="K508" i="50" s="1"/>
  <c r="J467" i="50"/>
  <c r="J466" i="50"/>
  <c r="J465" i="50"/>
  <c r="J464" i="50"/>
  <c r="J463" i="50"/>
  <c r="J462" i="50"/>
  <c r="J461" i="50"/>
  <c r="J460" i="50"/>
  <c r="J459" i="50"/>
  <c r="J458" i="50"/>
  <c r="F266" i="50"/>
  <c r="G266" i="50" s="1"/>
  <c r="H266" i="50" s="1"/>
  <c r="I266" i="50" s="1"/>
  <c r="J266" i="50" s="1"/>
  <c r="K266" i="50" s="1"/>
  <c r="F249" i="50"/>
  <c r="G249" i="50" s="1"/>
  <c r="H249" i="50" s="1"/>
  <c r="I249" i="50" s="1"/>
  <c r="J249" i="50" s="1"/>
  <c r="K249" i="50" s="1"/>
  <c r="F232" i="50"/>
  <c r="G232" i="50" s="1"/>
  <c r="H232" i="50" s="1"/>
  <c r="I232" i="50" s="1"/>
  <c r="J232" i="50" s="1"/>
  <c r="K232" i="50" s="1"/>
  <c r="F215" i="50"/>
  <c r="G215" i="50" s="1"/>
  <c r="H215" i="50" s="1"/>
  <c r="I215" i="50" s="1"/>
  <c r="J215" i="50" s="1"/>
  <c r="K215" i="50" s="1"/>
  <c r="F198" i="50"/>
  <c r="G198" i="50" s="1"/>
  <c r="H198" i="50" s="1"/>
  <c r="I198" i="50" s="1"/>
  <c r="J198" i="50" s="1"/>
  <c r="K198" i="50" s="1"/>
  <c r="F181" i="50"/>
  <c r="G181" i="50" s="1"/>
  <c r="H181" i="50" s="1"/>
  <c r="I181" i="50" s="1"/>
  <c r="J181" i="50" s="1"/>
  <c r="K181" i="50" s="1"/>
  <c r="F164" i="50"/>
  <c r="G164" i="50" s="1"/>
  <c r="H164" i="50" s="1"/>
  <c r="I164" i="50" s="1"/>
  <c r="J164" i="50" s="1"/>
  <c r="K164" i="50" s="1"/>
  <c r="F147" i="50"/>
  <c r="G147" i="50" s="1"/>
  <c r="H147" i="50" s="1"/>
  <c r="I147" i="50" s="1"/>
  <c r="J147" i="50" s="1"/>
  <c r="K147" i="50" s="1"/>
  <c r="F121" i="50"/>
  <c r="G121" i="50" s="1"/>
  <c r="H121" i="50" s="1"/>
  <c r="I121" i="50" s="1"/>
  <c r="J121" i="50" s="1"/>
  <c r="K121" i="50" s="1"/>
  <c r="F113" i="50"/>
  <c r="G113" i="50" s="1"/>
  <c r="H113" i="50" s="1"/>
  <c r="I113" i="50" s="1"/>
  <c r="J113" i="50" s="1"/>
  <c r="K113" i="50" s="1"/>
  <c r="J72" i="50"/>
  <c r="J71" i="50"/>
  <c r="J70" i="50"/>
  <c r="J69" i="50"/>
  <c r="J68" i="50"/>
  <c r="J67" i="50"/>
  <c r="J66" i="50"/>
  <c r="J65" i="50"/>
  <c r="J64" i="50"/>
  <c r="F21" i="50"/>
  <c r="G21" i="50" s="1"/>
  <c r="H21" i="50" s="1"/>
  <c r="I21" i="50" s="1"/>
  <c r="J21" i="50" s="1"/>
  <c r="K21" i="50" s="1"/>
  <c r="F15" i="50"/>
  <c r="G15" i="50" s="1"/>
  <c r="H15" i="50" s="1"/>
  <c r="I15" i="50" s="1"/>
  <c r="J15" i="50" s="1"/>
  <c r="K15" i="50" s="1"/>
  <c r="K1" i="50"/>
  <c r="H396" i="41"/>
  <c r="N403" i="41" s="1"/>
  <c r="J403" i="41" s="1"/>
  <c r="U90" i="38"/>
  <c r="G106" i="7"/>
  <c r="L106" i="7" s="1"/>
  <c r="DB229" i="47"/>
  <c r="DC229" i="47" s="1"/>
  <c r="DB230" i="47"/>
  <c r="DC230" i="47" s="1"/>
  <c r="DB231" i="47"/>
  <c r="DC231" i="47" s="1"/>
  <c r="DB232" i="47"/>
  <c r="DC232" i="47" s="1"/>
  <c r="DB233" i="47"/>
  <c r="DC233" i="47" s="1"/>
  <c r="DB234" i="47"/>
  <c r="DC234" i="47" s="1"/>
  <c r="DB235" i="47"/>
  <c r="DC235" i="47" s="1"/>
  <c r="DB236" i="47"/>
  <c r="DC236" i="47" s="1"/>
  <c r="DB237" i="47"/>
  <c r="DC237" i="47" s="1"/>
  <c r="DB238" i="47"/>
  <c r="DC238" i="47" s="1"/>
  <c r="DB239" i="47"/>
  <c r="DC239" i="47" s="1"/>
  <c r="DB240" i="47"/>
  <c r="DC240" i="47" s="1"/>
  <c r="DB241" i="47"/>
  <c r="DC241" i="47" s="1"/>
  <c r="DB242" i="47"/>
  <c r="DC242" i="47" s="1"/>
  <c r="DB243" i="47"/>
  <c r="DC243" i="47" s="1"/>
  <c r="DB244" i="47"/>
  <c r="DC244" i="47" s="1"/>
  <c r="DB228" i="47"/>
  <c r="DC228" i="47" s="1"/>
  <c r="U56" i="38"/>
  <c r="U57" i="38"/>
  <c r="V58" i="38"/>
  <c r="U59" i="38"/>
  <c r="G105" i="7"/>
  <c r="L105" i="7" s="1"/>
  <c r="M105" i="7"/>
  <c r="G342" i="7"/>
  <c r="L342" i="7" s="1"/>
  <c r="G343" i="7"/>
  <c r="L343" i="7" s="1"/>
  <c r="G344" i="7"/>
  <c r="L344" i="7" s="1"/>
  <c r="G345" i="7"/>
  <c r="L345" i="7" s="1"/>
  <c r="G346" i="7"/>
  <c r="L346" i="7" s="1"/>
  <c r="G347" i="7"/>
  <c r="L347" i="7" s="1"/>
  <c r="H438" i="7" s="1"/>
  <c r="X347" i="7" s="1"/>
  <c r="E13" i="3"/>
  <c r="F13" i="3" s="1"/>
  <c r="G13" i="3" s="1"/>
  <c r="H13" i="3" s="1"/>
  <c r="I13" i="3" s="1"/>
  <c r="J13" i="3" s="1"/>
  <c r="K347" i="7"/>
  <c r="K346" i="7"/>
  <c r="K345" i="7"/>
  <c r="K344" i="7"/>
  <c r="K343" i="7"/>
  <c r="K342" i="7"/>
  <c r="K341" i="7"/>
  <c r="K340" i="7"/>
  <c r="K108" i="7"/>
  <c r="K109" i="7"/>
  <c r="K110" i="7"/>
  <c r="K111" i="7"/>
  <c r="K112" i="7"/>
  <c r="K113" i="7"/>
  <c r="AD134" i="15"/>
  <c r="AD135" i="15"/>
  <c r="AD136" i="15"/>
  <c r="AD137" i="15"/>
  <c r="AD138" i="15"/>
  <c r="AD139" i="15"/>
  <c r="AD140" i="15"/>
  <c r="AD141" i="15"/>
  <c r="AD142" i="15"/>
  <c r="AD133" i="15"/>
  <c r="DB219" i="47"/>
  <c r="DC219" i="47" s="1"/>
  <c r="DB218" i="47"/>
  <c r="DC218" i="47" s="1"/>
  <c r="DB217" i="47"/>
  <c r="DC217" i="47" s="1"/>
  <c r="DB216" i="47"/>
  <c r="DC216" i="47" s="1"/>
  <c r="DB215" i="47"/>
  <c r="DC215" i="47" s="1"/>
  <c r="DB214" i="47"/>
  <c r="DC214" i="47" s="1"/>
  <c r="C37" i="46"/>
  <c r="D37" i="46" s="1"/>
  <c r="E37" i="46" s="1"/>
  <c r="F37" i="46" s="1"/>
  <c r="G37" i="46" s="1"/>
  <c r="H37" i="46" s="1"/>
  <c r="C31" i="46"/>
  <c r="D31" i="46" s="1"/>
  <c r="E31" i="46" s="1"/>
  <c r="F31" i="46" s="1"/>
  <c r="G31" i="46" s="1"/>
  <c r="H31" i="46" s="1"/>
  <c r="C19" i="46"/>
  <c r="D19" i="46" s="1"/>
  <c r="E19" i="46" s="1"/>
  <c r="F19" i="46" s="1"/>
  <c r="G19" i="46" s="1"/>
  <c r="H19" i="46" s="1"/>
  <c r="C14" i="46"/>
  <c r="D14" i="46" s="1"/>
  <c r="E14" i="46" s="1"/>
  <c r="F14" i="46" s="1"/>
  <c r="G14" i="46" s="1"/>
  <c r="H14" i="46" s="1"/>
  <c r="D434" i="7"/>
  <c r="E434" i="7" s="1"/>
  <c r="F434" i="7" s="1"/>
  <c r="G434" i="7" s="1"/>
  <c r="H434" i="7" s="1"/>
  <c r="I434" i="7" s="1"/>
  <c r="D426" i="7"/>
  <c r="E426" i="7" s="1"/>
  <c r="F426" i="7" s="1"/>
  <c r="G426" i="7" s="1"/>
  <c r="H426" i="7" s="1"/>
  <c r="I426" i="7" s="1"/>
  <c r="D418" i="7"/>
  <c r="E418" i="7" s="1"/>
  <c r="F418" i="7" s="1"/>
  <c r="G418" i="7" s="1"/>
  <c r="H418" i="7" s="1"/>
  <c r="I418" i="7" s="1"/>
  <c r="D410" i="7"/>
  <c r="E410" i="7" s="1"/>
  <c r="F410" i="7" s="1"/>
  <c r="G410" i="7" s="1"/>
  <c r="H410" i="7" s="1"/>
  <c r="I410" i="7" s="1"/>
  <c r="D402" i="7"/>
  <c r="E402" i="7" s="1"/>
  <c r="F402" i="7" s="1"/>
  <c r="G402" i="7" s="1"/>
  <c r="H402" i="7" s="1"/>
  <c r="I402" i="7" s="1"/>
  <c r="D200" i="7"/>
  <c r="E200" i="7" s="1"/>
  <c r="F200" i="7" s="1"/>
  <c r="G200" i="7" s="1"/>
  <c r="H200" i="7" s="1"/>
  <c r="I200" i="7" s="1"/>
  <c r="D192" i="7"/>
  <c r="E192" i="7" s="1"/>
  <c r="F192" i="7" s="1"/>
  <c r="G192" i="7" s="1"/>
  <c r="H192" i="7" s="1"/>
  <c r="I192" i="7" s="1"/>
  <c r="D184" i="7"/>
  <c r="E184" i="7" s="1"/>
  <c r="F184" i="7" s="1"/>
  <c r="G184" i="7" s="1"/>
  <c r="H184" i="7" s="1"/>
  <c r="I184" i="7" s="1"/>
  <c r="D176" i="7"/>
  <c r="E176" i="7" s="1"/>
  <c r="F176" i="7" s="1"/>
  <c r="G176" i="7" s="1"/>
  <c r="H176" i="7" s="1"/>
  <c r="I176" i="7" s="1"/>
  <c r="D168" i="7"/>
  <c r="E168" i="7" s="1"/>
  <c r="F168" i="7" s="1"/>
  <c r="G168" i="7" s="1"/>
  <c r="H168" i="7" s="1"/>
  <c r="I168" i="7" s="1"/>
  <c r="G109" i="7"/>
  <c r="L109" i="7" s="1"/>
  <c r="G110" i="7"/>
  <c r="L110" i="7" s="1"/>
  <c r="G111" i="7"/>
  <c r="L111" i="7" s="1"/>
  <c r="G112" i="7"/>
  <c r="L112" i="7" s="1"/>
  <c r="D195" i="7" s="1"/>
  <c r="N112" i="7" s="1"/>
  <c r="G113" i="7"/>
  <c r="L113" i="7" s="1"/>
  <c r="D143" i="45"/>
  <c r="E143" i="45" s="1"/>
  <c r="F143" i="45" s="1"/>
  <c r="G143" i="45" s="1"/>
  <c r="H143" i="45" s="1"/>
  <c r="I143" i="45" s="1"/>
  <c r="D138" i="45"/>
  <c r="E138" i="45" s="1"/>
  <c r="F138" i="45" s="1"/>
  <c r="G138" i="45" s="1"/>
  <c r="H138" i="45" s="1"/>
  <c r="I138" i="45" s="1"/>
  <c r="D131" i="45"/>
  <c r="E131" i="45" s="1"/>
  <c r="F131" i="45" s="1"/>
  <c r="G131" i="45" s="1"/>
  <c r="H131" i="45" s="1"/>
  <c r="I131" i="45" s="1"/>
  <c r="D126" i="45"/>
  <c r="E126" i="45" s="1"/>
  <c r="F126" i="45" s="1"/>
  <c r="G126" i="45" s="1"/>
  <c r="H126" i="45" s="1"/>
  <c r="I126" i="45" s="1"/>
  <c r="D119" i="45"/>
  <c r="E119" i="45" s="1"/>
  <c r="F119" i="45" s="1"/>
  <c r="G119" i="45" s="1"/>
  <c r="H119" i="45" s="1"/>
  <c r="I119" i="45" s="1"/>
  <c r="D114" i="45"/>
  <c r="E114" i="45" s="1"/>
  <c r="F114" i="45" s="1"/>
  <c r="G114" i="45" s="1"/>
  <c r="H114" i="45" s="1"/>
  <c r="I114" i="45" s="1"/>
  <c r="D107" i="45"/>
  <c r="E107" i="45" s="1"/>
  <c r="F107" i="45" s="1"/>
  <c r="G107" i="45" s="1"/>
  <c r="H107" i="45" s="1"/>
  <c r="I107" i="45" s="1"/>
  <c r="D102" i="45"/>
  <c r="E102" i="45" s="1"/>
  <c r="F102" i="45" s="1"/>
  <c r="G102" i="45" s="1"/>
  <c r="H102" i="45" s="1"/>
  <c r="I102" i="45" s="1"/>
  <c r="D95" i="45"/>
  <c r="E95" i="45" s="1"/>
  <c r="F95" i="45" s="1"/>
  <c r="G95" i="45" s="1"/>
  <c r="H95" i="45" s="1"/>
  <c r="I95" i="45" s="1"/>
  <c r="D90" i="45"/>
  <c r="E90" i="45" s="1"/>
  <c r="F90" i="45" s="1"/>
  <c r="G90" i="45" s="1"/>
  <c r="H90" i="45" s="1"/>
  <c r="I90" i="45" s="1"/>
  <c r="D83" i="45"/>
  <c r="E83" i="45" s="1"/>
  <c r="F83" i="45" s="1"/>
  <c r="G83" i="45" s="1"/>
  <c r="H83" i="45" s="1"/>
  <c r="I83" i="45" s="1"/>
  <c r="D78" i="45"/>
  <c r="E78" i="45" s="1"/>
  <c r="F78" i="45" s="1"/>
  <c r="G78" i="45" s="1"/>
  <c r="H78" i="45" s="1"/>
  <c r="I78" i="45" s="1"/>
  <c r="D71" i="45"/>
  <c r="E71" i="45" s="1"/>
  <c r="F71" i="45" s="1"/>
  <c r="G71" i="45" s="1"/>
  <c r="H71" i="45" s="1"/>
  <c r="I71" i="45" s="1"/>
  <c r="D66" i="45"/>
  <c r="E66" i="45" s="1"/>
  <c r="F66" i="45" s="1"/>
  <c r="G66" i="45" s="1"/>
  <c r="H66" i="45" s="1"/>
  <c r="I66" i="45" s="1"/>
  <c r="D59" i="45"/>
  <c r="E59" i="45" s="1"/>
  <c r="F59" i="45" s="1"/>
  <c r="G59" i="45" s="1"/>
  <c r="H59" i="45" s="1"/>
  <c r="I59" i="45" s="1"/>
  <c r="D54" i="45"/>
  <c r="E54" i="45" s="1"/>
  <c r="F54" i="45" s="1"/>
  <c r="G54" i="45" s="1"/>
  <c r="H54" i="45" s="1"/>
  <c r="I54" i="45" s="1"/>
  <c r="D47" i="45"/>
  <c r="E47" i="45" s="1"/>
  <c r="F47" i="45" s="1"/>
  <c r="G47" i="45" s="1"/>
  <c r="H47" i="45" s="1"/>
  <c r="I47" i="45" s="1"/>
  <c r="D42" i="45"/>
  <c r="E42" i="45" s="1"/>
  <c r="F42" i="45" s="1"/>
  <c r="G42" i="45" s="1"/>
  <c r="H42" i="45" s="1"/>
  <c r="I42" i="45" s="1"/>
  <c r="D35" i="45"/>
  <c r="E35" i="45" s="1"/>
  <c r="F35" i="45" s="1"/>
  <c r="G35" i="45" s="1"/>
  <c r="H35" i="45" s="1"/>
  <c r="I35" i="45" s="1"/>
  <c r="D30" i="45"/>
  <c r="E30" i="45" s="1"/>
  <c r="F30" i="45" s="1"/>
  <c r="G30" i="45" s="1"/>
  <c r="H30" i="45" s="1"/>
  <c r="I30" i="45" s="1"/>
  <c r="D19" i="45"/>
  <c r="E19" i="45" s="1"/>
  <c r="F19" i="45" s="1"/>
  <c r="G19" i="45" s="1"/>
  <c r="H19" i="45" s="1"/>
  <c r="I19" i="45" s="1"/>
  <c r="D14" i="45"/>
  <c r="E14" i="45" s="1"/>
  <c r="F14" i="45" s="1"/>
  <c r="G14" i="45" s="1"/>
  <c r="H14" i="45" s="1"/>
  <c r="I14" i="45" s="1"/>
  <c r="E38" i="15"/>
  <c r="F38" i="15" s="1"/>
  <c r="G38" i="15" s="1"/>
  <c r="H38" i="15" s="1"/>
  <c r="I38" i="15" s="1"/>
  <c r="J38" i="15" s="1"/>
  <c r="K15" i="38"/>
  <c r="L15" i="38" s="1"/>
  <c r="M15" i="38" s="1"/>
  <c r="N15" i="38" s="1"/>
  <c r="O15" i="38" s="1"/>
  <c r="P15" i="38" s="1"/>
  <c r="D15" i="38"/>
  <c r="E15" i="38" s="1"/>
  <c r="F15" i="38" s="1"/>
  <c r="G15" i="38" s="1"/>
  <c r="H15" i="38" s="1"/>
  <c r="I15" i="38" s="1"/>
  <c r="L15" i="15"/>
  <c r="M15" i="15" s="1"/>
  <c r="N15" i="15" s="1"/>
  <c r="O15" i="15" s="1"/>
  <c r="P15" i="15" s="1"/>
  <c r="Q15" i="15" s="1"/>
  <c r="E15" i="15"/>
  <c r="F15" i="15" s="1"/>
  <c r="G15" i="15" s="1"/>
  <c r="H15" i="15" s="1"/>
  <c r="I15" i="15" s="1"/>
  <c r="J15" i="15" s="1"/>
  <c r="D143" i="44"/>
  <c r="E143" i="44" s="1"/>
  <c r="F143" i="44" s="1"/>
  <c r="G143" i="44" s="1"/>
  <c r="H143" i="44" s="1"/>
  <c r="I143" i="44" s="1"/>
  <c r="D138" i="44"/>
  <c r="E138" i="44" s="1"/>
  <c r="F138" i="44" s="1"/>
  <c r="G138" i="44" s="1"/>
  <c r="H138" i="44" s="1"/>
  <c r="I138" i="44" s="1"/>
  <c r="D131" i="44"/>
  <c r="E131" i="44" s="1"/>
  <c r="F131" i="44" s="1"/>
  <c r="G131" i="44" s="1"/>
  <c r="H131" i="44" s="1"/>
  <c r="I131" i="44" s="1"/>
  <c r="D126" i="44"/>
  <c r="E126" i="44" s="1"/>
  <c r="F126" i="44" s="1"/>
  <c r="G126" i="44" s="1"/>
  <c r="H126" i="44" s="1"/>
  <c r="I126" i="44" s="1"/>
  <c r="D119" i="44"/>
  <c r="E119" i="44" s="1"/>
  <c r="F119" i="44" s="1"/>
  <c r="G119" i="44" s="1"/>
  <c r="H119" i="44" s="1"/>
  <c r="I119" i="44" s="1"/>
  <c r="D114" i="44"/>
  <c r="E114" i="44" s="1"/>
  <c r="F114" i="44" s="1"/>
  <c r="G114" i="44" s="1"/>
  <c r="H114" i="44" s="1"/>
  <c r="I114" i="44" s="1"/>
  <c r="D107" i="44"/>
  <c r="E107" i="44" s="1"/>
  <c r="F107" i="44" s="1"/>
  <c r="G107" i="44" s="1"/>
  <c r="H107" i="44" s="1"/>
  <c r="I107" i="44" s="1"/>
  <c r="D102" i="44"/>
  <c r="E102" i="44" s="1"/>
  <c r="F102" i="44" s="1"/>
  <c r="G102" i="44" s="1"/>
  <c r="H102" i="44" s="1"/>
  <c r="I102" i="44" s="1"/>
  <c r="D95" i="44"/>
  <c r="E95" i="44" s="1"/>
  <c r="F95" i="44" s="1"/>
  <c r="G95" i="44" s="1"/>
  <c r="H95" i="44" s="1"/>
  <c r="I95" i="44" s="1"/>
  <c r="D90" i="44"/>
  <c r="E90" i="44" s="1"/>
  <c r="F90" i="44" s="1"/>
  <c r="G90" i="44" s="1"/>
  <c r="H90" i="44" s="1"/>
  <c r="I90" i="44" s="1"/>
  <c r="D83" i="44"/>
  <c r="E83" i="44" s="1"/>
  <c r="F83" i="44" s="1"/>
  <c r="G83" i="44" s="1"/>
  <c r="H83" i="44" s="1"/>
  <c r="I83" i="44" s="1"/>
  <c r="D78" i="44"/>
  <c r="E78" i="44" s="1"/>
  <c r="F78" i="44" s="1"/>
  <c r="G78" i="44" s="1"/>
  <c r="H78" i="44" s="1"/>
  <c r="I78" i="44" s="1"/>
  <c r="D71" i="44"/>
  <c r="E71" i="44" s="1"/>
  <c r="F71" i="44" s="1"/>
  <c r="G71" i="44" s="1"/>
  <c r="H71" i="44" s="1"/>
  <c r="I71" i="44" s="1"/>
  <c r="D66" i="44"/>
  <c r="E66" i="44" s="1"/>
  <c r="F66" i="44" s="1"/>
  <c r="G66" i="44" s="1"/>
  <c r="H66" i="44" s="1"/>
  <c r="I66" i="44" s="1"/>
  <c r="D59" i="44"/>
  <c r="E59" i="44" s="1"/>
  <c r="F59" i="44" s="1"/>
  <c r="G59" i="44" s="1"/>
  <c r="H59" i="44" s="1"/>
  <c r="I59" i="44" s="1"/>
  <c r="D54" i="44"/>
  <c r="E54" i="44" s="1"/>
  <c r="F54" i="44" s="1"/>
  <c r="G54" i="44" s="1"/>
  <c r="H54" i="44" s="1"/>
  <c r="I54" i="44" s="1"/>
  <c r="D47" i="44"/>
  <c r="E47" i="44" s="1"/>
  <c r="F47" i="44" s="1"/>
  <c r="G47" i="44" s="1"/>
  <c r="H47" i="44" s="1"/>
  <c r="I47" i="44" s="1"/>
  <c r="D42" i="44"/>
  <c r="E42" i="44" s="1"/>
  <c r="F42" i="44" s="1"/>
  <c r="G42" i="44" s="1"/>
  <c r="H42" i="44" s="1"/>
  <c r="I42" i="44" s="1"/>
  <c r="D35" i="44"/>
  <c r="E35" i="44" s="1"/>
  <c r="F35" i="44" s="1"/>
  <c r="G35" i="44" s="1"/>
  <c r="H35" i="44" s="1"/>
  <c r="I35" i="44" s="1"/>
  <c r="D30" i="44"/>
  <c r="E30" i="44" s="1"/>
  <c r="F30" i="44" s="1"/>
  <c r="G30" i="44" s="1"/>
  <c r="H30" i="44" s="1"/>
  <c r="I30" i="44" s="1"/>
  <c r="D19" i="44"/>
  <c r="E19" i="44" s="1"/>
  <c r="F19" i="44" s="1"/>
  <c r="G19" i="44" s="1"/>
  <c r="H19" i="44" s="1"/>
  <c r="I19" i="44" s="1"/>
  <c r="D14" i="44"/>
  <c r="E14" i="44" s="1"/>
  <c r="F14" i="44" s="1"/>
  <c r="G14" i="44" s="1"/>
  <c r="H14" i="44" s="1"/>
  <c r="I14" i="44" s="1"/>
  <c r="F295" i="15"/>
  <c r="G295" i="15" s="1"/>
  <c r="H295" i="15" s="1"/>
  <c r="I295" i="15" s="1"/>
  <c r="J295" i="15" s="1"/>
  <c r="K295" i="15" s="1"/>
  <c r="F283" i="15"/>
  <c r="E283" i="15" s="1"/>
  <c r="F271" i="15"/>
  <c r="G271" i="15" s="1"/>
  <c r="H271" i="15" s="1"/>
  <c r="I271" i="15" s="1"/>
  <c r="J271" i="15" s="1"/>
  <c r="K271" i="15" s="1"/>
  <c r="F259" i="15"/>
  <c r="E259" i="15" s="1"/>
  <c r="F247" i="15"/>
  <c r="G247" i="15" s="1"/>
  <c r="H247" i="15" s="1"/>
  <c r="I247" i="15" s="1"/>
  <c r="J247" i="15" s="1"/>
  <c r="K247" i="15" s="1"/>
  <c r="D131" i="15"/>
  <c r="D143" i="43"/>
  <c r="E143" i="43" s="1"/>
  <c r="F143" i="43" s="1"/>
  <c r="G143" i="43" s="1"/>
  <c r="H143" i="43" s="1"/>
  <c r="I143" i="43" s="1"/>
  <c r="D138" i="43"/>
  <c r="E138" i="43" s="1"/>
  <c r="F138" i="43" s="1"/>
  <c r="G138" i="43" s="1"/>
  <c r="H138" i="43" s="1"/>
  <c r="I138" i="43" s="1"/>
  <c r="D131" i="43"/>
  <c r="E131" i="43" s="1"/>
  <c r="F131" i="43" s="1"/>
  <c r="G131" i="43" s="1"/>
  <c r="H131" i="43" s="1"/>
  <c r="I131" i="43" s="1"/>
  <c r="D126" i="43"/>
  <c r="E126" i="43" s="1"/>
  <c r="F126" i="43" s="1"/>
  <c r="G126" i="43" s="1"/>
  <c r="H126" i="43" s="1"/>
  <c r="I126" i="43" s="1"/>
  <c r="D119" i="43"/>
  <c r="E119" i="43" s="1"/>
  <c r="F119" i="43" s="1"/>
  <c r="G119" i="43" s="1"/>
  <c r="H119" i="43" s="1"/>
  <c r="I119" i="43" s="1"/>
  <c r="D114" i="43"/>
  <c r="E114" i="43" s="1"/>
  <c r="F114" i="43" s="1"/>
  <c r="G114" i="43" s="1"/>
  <c r="H114" i="43" s="1"/>
  <c r="I114" i="43" s="1"/>
  <c r="D107" i="43"/>
  <c r="E107" i="43" s="1"/>
  <c r="F107" i="43" s="1"/>
  <c r="G107" i="43" s="1"/>
  <c r="H107" i="43" s="1"/>
  <c r="I107" i="43" s="1"/>
  <c r="D102" i="43"/>
  <c r="E102" i="43" s="1"/>
  <c r="F102" i="43" s="1"/>
  <c r="G102" i="43" s="1"/>
  <c r="H102" i="43" s="1"/>
  <c r="I102" i="43" s="1"/>
  <c r="D95" i="43"/>
  <c r="E95" i="43" s="1"/>
  <c r="F95" i="43" s="1"/>
  <c r="G95" i="43" s="1"/>
  <c r="H95" i="43" s="1"/>
  <c r="I95" i="43" s="1"/>
  <c r="D90" i="43"/>
  <c r="E90" i="43" s="1"/>
  <c r="F90" i="43" s="1"/>
  <c r="G90" i="43" s="1"/>
  <c r="H90" i="43" s="1"/>
  <c r="I90" i="43" s="1"/>
  <c r="D83" i="43"/>
  <c r="E83" i="43" s="1"/>
  <c r="F83" i="43" s="1"/>
  <c r="G83" i="43" s="1"/>
  <c r="H83" i="43" s="1"/>
  <c r="I83" i="43" s="1"/>
  <c r="D78" i="43"/>
  <c r="E78" i="43" s="1"/>
  <c r="F78" i="43" s="1"/>
  <c r="G78" i="43" s="1"/>
  <c r="H78" i="43" s="1"/>
  <c r="I78" i="43" s="1"/>
  <c r="D71" i="43"/>
  <c r="E71" i="43" s="1"/>
  <c r="F71" i="43" s="1"/>
  <c r="G71" i="43" s="1"/>
  <c r="H71" i="43" s="1"/>
  <c r="I71" i="43" s="1"/>
  <c r="D66" i="43"/>
  <c r="E66" i="43" s="1"/>
  <c r="F66" i="43" s="1"/>
  <c r="G66" i="43" s="1"/>
  <c r="H66" i="43" s="1"/>
  <c r="I66" i="43" s="1"/>
  <c r="D59" i="43"/>
  <c r="E59" i="43" s="1"/>
  <c r="F59" i="43" s="1"/>
  <c r="G59" i="43" s="1"/>
  <c r="H59" i="43" s="1"/>
  <c r="I59" i="43" s="1"/>
  <c r="D54" i="43"/>
  <c r="E54" i="43" s="1"/>
  <c r="F54" i="43" s="1"/>
  <c r="G54" i="43" s="1"/>
  <c r="H54" i="43" s="1"/>
  <c r="I54" i="43" s="1"/>
  <c r="D47" i="43"/>
  <c r="E47" i="43" s="1"/>
  <c r="F47" i="43" s="1"/>
  <c r="G47" i="43" s="1"/>
  <c r="H47" i="43" s="1"/>
  <c r="I47" i="43" s="1"/>
  <c r="D42" i="43"/>
  <c r="E42" i="43" s="1"/>
  <c r="F42" i="43" s="1"/>
  <c r="G42" i="43" s="1"/>
  <c r="H42" i="43" s="1"/>
  <c r="I42" i="43" s="1"/>
  <c r="D35" i="43"/>
  <c r="E35" i="43" s="1"/>
  <c r="F35" i="43" s="1"/>
  <c r="G35" i="43" s="1"/>
  <c r="H35" i="43" s="1"/>
  <c r="I35" i="43" s="1"/>
  <c r="D30" i="43"/>
  <c r="E30" i="43" s="1"/>
  <c r="F30" i="43" s="1"/>
  <c r="G30" i="43" s="1"/>
  <c r="H30" i="43" s="1"/>
  <c r="I30" i="43" s="1"/>
  <c r="D19" i="43"/>
  <c r="E19" i="43" s="1"/>
  <c r="F19" i="43" s="1"/>
  <c r="G19" i="43" s="1"/>
  <c r="H19" i="43" s="1"/>
  <c r="I19" i="43" s="1"/>
  <c r="D14" i="43"/>
  <c r="E14" i="43" s="1"/>
  <c r="F14" i="43" s="1"/>
  <c r="G14" i="43" s="1"/>
  <c r="H14" i="43" s="1"/>
  <c r="I14" i="43" s="1"/>
  <c r="D143" i="34"/>
  <c r="E143" i="34" s="1"/>
  <c r="F143" i="34" s="1"/>
  <c r="G143" i="34" s="1"/>
  <c r="H143" i="34" s="1"/>
  <c r="I143" i="34" s="1"/>
  <c r="D138" i="34"/>
  <c r="E138" i="34" s="1"/>
  <c r="F138" i="34" s="1"/>
  <c r="G138" i="34" s="1"/>
  <c r="H138" i="34" s="1"/>
  <c r="I138" i="34" s="1"/>
  <c r="D131" i="34"/>
  <c r="E131" i="34" s="1"/>
  <c r="F131" i="34" s="1"/>
  <c r="G131" i="34" s="1"/>
  <c r="H131" i="34" s="1"/>
  <c r="I131" i="34" s="1"/>
  <c r="D126" i="34"/>
  <c r="E126" i="34" s="1"/>
  <c r="F126" i="34" s="1"/>
  <c r="G126" i="34" s="1"/>
  <c r="H126" i="34" s="1"/>
  <c r="I126" i="34" s="1"/>
  <c r="D119" i="34"/>
  <c r="E119" i="34" s="1"/>
  <c r="F119" i="34" s="1"/>
  <c r="G119" i="34" s="1"/>
  <c r="H119" i="34" s="1"/>
  <c r="I119" i="34" s="1"/>
  <c r="D114" i="34"/>
  <c r="E114" i="34" s="1"/>
  <c r="F114" i="34" s="1"/>
  <c r="G114" i="34" s="1"/>
  <c r="H114" i="34" s="1"/>
  <c r="I114" i="34" s="1"/>
  <c r="D107" i="34"/>
  <c r="E107" i="34" s="1"/>
  <c r="F107" i="34" s="1"/>
  <c r="G107" i="34" s="1"/>
  <c r="H107" i="34" s="1"/>
  <c r="I107" i="34" s="1"/>
  <c r="D102" i="34"/>
  <c r="E102" i="34" s="1"/>
  <c r="F102" i="34" s="1"/>
  <c r="G102" i="34" s="1"/>
  <c r="H102" i="34" s="1"/>
  <c r="I102" i="34" s="1"/>
  <c r="D95" i="34"/>
  <c r="E95" i="34" s="1"/>
  <c r="F95" i="34" s="1"/>
  <c r="G95" i="34" s="1"/>
  <c r="H95" i="34" s="1"/>
  <c r="I95" i="34" s="1"/>
  <c r="D90" i="34"/>
  <c r="E90" i="34" s="1"/>
  <c r="F90" i="34" s="1"/>
  <c r="G90" i="34" s="1"/>
  <c r="H90" i="34" s="1"/>
  <c r="I90" i="34" s="1"/>
  <c r="J1" i="37"/>
  <c r="E211" i="38"/>
  <c r="F211" i="38" s="1"/>
  <c r="G211" i="38" s="1"/>
  <c r="H211" i="38" s="1"/>
  <c r="I211" i="38" s="1"/>
  <c r="J211" i="38" s="1"/>
  <c r="E199" i="38"/>
  <c r="F199" i="38" s="1"/>
  <c r="G199" i="38" s="1"/>
  <c r="H199" i="38" s="1"/>
  <c r="I199" i="38" s="1"/>
  <c r="J199" i="38" s="1"/>
  <c r="E139" i="38"/>
  <c r="F139" i="38" s="1"/>
  <c r="G139" i="38" s="1"/>
  <c r="H139" i="38" s="1"/>
  <c r="I139" i="38" s="1"/>
  <c r="J139" i="38" s="1"/>
  <c r="E127" i="38"/>
  <c r="F127" i="38" s="1"/>
  <c r="G127" i="38" s="1"/>
  <c r="H127" i="38" s="1"/>
  <c r="I127" i="38" s="1"/>
  <c r="J127" i="38" s="1"/>
  <c r="E115" i="38"/>
  <c r="F115" i="38" s="1"/>
  <c r="G115" i="38" s="1"/>
  <c r="H115" i="38" s="1"/>
  <c r="I115" i="38" s="1"/>
  <c r="J115" i="38" s="1"/>
  <c r="C48" i="38"/>
  <c r="W54" i="38"/>
  <c r="X54" i="38"/>
  <c r="W55" i="38"/>
  <c r="X55" i="38"/>
  <c r="K339" i="7"/>
  <c r="K105" i="7"/>
  <c r="G107" i="7"/>
  <c r="L107" i="7" s="1"/>
  <c r="G156" i="7" s="1"/>
  <c r="W107" i="7" s="1"/>
  <c r="G108" i="7"/>
  <c r="L108" i="7" s="1"/>
  <c r="G104" i="7"/>
  <c r="L104" i="7" s="1"/>
  <c r="M79" i="37"/>
  <c r="N79" i="37" s="1"/>
  <c r="O79" i="37" s="1"/>
  <c r="P79" i="37" s="1"/>
  <c r="Q79" i="37" s="1"/>
  <c r="R79" i="37" s="1"/>
  <c r="F79" i="37"/>
  <c r="G79" i="37" s="1"/>
  <c r="H79" i="37" s="1"/>
  <c r="I79" i="37" s="1"/>
  <c r="J79" i="37" s="1"/>
  <c r="K79" i="37" s="1"/>
  <c r="M15" i="37"/>
  <c r="N15" i="37" s="1"/>
  <c r="O15" i="37" s="1"/>
  <c r="P15" i="37" s="1"/>
  <c r="Q15" i="37" s="1"/>
  <c r="R15" i="37" s="1"/>
  <c r="F15" i="37"/>
  <c r="G15" i="37" s="1"/>
  <c r="H15" i="37" s="1"/>
  <c r="I15" i="37" s="1"/>
  <c r="J15" i="37" s="1"/>
  <c r="K15" i="37" s="1"/>
  <c r="M85" i="37"/>
  <c r="N85" i="37" s="1"/>
  <c r="O85" i="37" s="1"/>
  <c r="P85" i="37" s="1"/>
  <c r="Q85" i="37" s="1"/>
  <c r="R85" i="37" s="1"/>
  <c r="F85" i="37"/>
  <c r="G85" i="37" s="1"/>
  <c r="H85" i="37" s="1"/>
  <c r="I85" i="37" s="1"/>
  <c r="J85" i="37" s="1"/>
  <c r="K85" i="37" s="1"/>
  <c r="E187" i="38"/>
  <c r="F187" i="38" s="1"/>
  <c r="G187" i="38" s="1"/>
  <c r="H187" i="38" s="1"/>
  <c r="I187" i="38" s="1"/>
  <c r="J187" i="38" s="1"/>
  <c r="E175" i="38"/>
  <c r="F175" i="38" s="1"/>
  <c r="G175" i="38" s="1"/>
  <c r="H175" i="38" s="1"/>
  <c r="I175" i="38" s="1"/>
  <c r="J175" i="38" s="1"/>
  <c r="E163" i="38"/>
  <c r="F163" i="38" s="1"/>
  <c r="G163" i="38" s="1"/>
  <c r="H163" i="38" s="1"/>
  <c r="I163" i="38" s="1"/>
  <c r="J163" i="38" s="1"/>
  <c r="E151" i="38"/>
  <c r="F151" i="38" s="1"/>
  <c r="G151" i="38" s="1"/>
  <c r="H151" i="38" s="1"/>
  <c r="I151" i="38" s="1"/>
  <c r="J151" i="38" s="1"/>
  <c r="E103" i="38"/>
  <c r="F103" i="38" s="1"/>
  <c r="G103" i="38" s="1"/>
  <c r="H103" i="38" s="1"/>
  <c r="I103" i="38" s="1"/>
  <c r="J103" i="38" s="1"/>
  <c r="X59" i="38"/>
  <c r="W59" i="38"/>
  <c r="X58" i="38"/>
  <c r="W58" i="38"/>
  <c r="X57" i="38"/>
  <c r="W57" i="38"/>
  <c r="R57" i="38" s="1"/>
  <c r="X56" i="38"/>
  <c r="W56" i="38"/>
  <c r="R56" i="38" s="1"/>
  <c r="D39" i="38"/>
  <c r="E39" i="38" s="1"/>
  <c r="F39" i="38" s="1"/>
  <c r="G39" i="38" s="1"/>
  <c r="H39" i="38" s="1"/>
  <c r="I39" i="38" s="1"/>
  <c r="M47" i="37"/>
  <c r="N47" i="37" s="1"/>
  <c r="O47" i="37" s="1"/>
  <c r="P47" i="37" s="1"/>
  <c r="Q47" i="37" s="1"/>
  <c r="R47" i="37" s="1"/>
  <c r="F47" i="37"/>
  <c r="G47" i="37" s="1"/>
  <c r="H47" i="37" s="1"/>
  <c r="I47" i="37" s="1"/>
  <c r="J47" i="37" s="1"/>
  <c r="K47" i="37" s="1"/>
  <c r="D33" i="7"/>
  <c r="E33" i="7" s="1"/>
  <c r="F33" i="7" s="1"/>
  <c r="G33" i="7" s="1"/>
  <c r="H33" i="7" s="1"/>
  <c r="I33" i="7" s="1"/>
  <c r="D394" i="7"/>
  <c r="E394" i="7" s="1"/>
  <c r="F394" i="7" s="1"/>
  <c r="G394" i="7" s="1"/>
  <c r="H394" i="7" s="1"/>
  <c r="I394" i="7" s="1"/>
  <c r="D386" i="7"/>
  <c r="E386" i="7" s="1"/>
  <c r="F386" i="7" s="1"/>
  <c r="G386" i="7" s="1"/>
  <c r="H386" i="7" s="1"/>
  <c r="I386" i="7" s="1"/>
  <c r="D378" i="7"/>
  <c r="E378" i="7" s="1"/>
  <c r="F378" i="7" s="1"/>
  <c r="G378" i="7" s="1"/>
  <c r="H378" i="7" s="1"/>
  <c r="I378" i="7" s="1"/>
  <c r="D370" i="7"/>
  <c r="E370" i="7" s="1"/>
  <c r="F370" i="7" s="1"/>
  <c r="G370" i="7" s="1"/>
  <c r="H370" i="7" s="1"/>
  <c r="I370" i="7" s="1"/>
  <c r="D362" i="7"/>
  <c r="E362" i="7" s="1"/>
  <c r="F362" i="7" s="1"/>
  <c r="G362" i="7" s="1"/>
  <c r="H362" i="7" s="1"/>
  <c r="I362" i="7" s="1"/>
  <c r="D144" i="7"/>
  <c r="E144" i="7" s="1"/>
  <c r="F144" i="7" s="1"/>
  <c r="G144" i="7" s="1"/>
  <c r="H144" i="7" s="1"/>
  <c r="I144" i="7" s="1"/>
  <c r="D152" i="7"/>
  <c r="E152" i="7" s="1"/>
  <c r="F152" i="7" s="1"/>
  <c r="G152" i="7" s="1"/>
  <c r="H152" i="7" s="1"/>
  <c r="I152" i="7" s="1"/>
  <c r="D83" i="34"/>
  <c r="E83" i="34" s="1"/>
  <c r="F83" i="34" s="1"/>
  <c r="G83" i="34" s="1"/>
  <c r="H83" i="34" s="1"/>
  <c r="I83" i="34" s="1"/>
  <c r="D78" i="34"/>
  <c r="E78" i="34" s="1"/>
  <c r="F78" i="34" s="1"/>
  <c r="G78" i="34" s="1"/>
  <c r="H78" i="34" s="1"/>
  <c r="I78" i="34" s="1"/>
  <c r="D71" i="34"/>
  <c r="E71" i="34" s="1"/>
  <c r="F71" i="34" s="1"/>
  <c r="G71" i="34" s="1"/>
  <c r="H71" i="34" s="1"/>
  <c r="I71" i="34" s="1"/>
  <c r="D66" i="34"/>
  <c r="E66" i="34" s="1"/>
  <c r="F66" i="34" s="1"/>
  <c r="G66" i="34" s="1"/>
  <c r="H66" i="34" s="1"/>
  <c r="I66" i="34" s="1"/>
  <c r="D59" i="34"/>
  <c r="E59" i="34" s="1"/>
  <c r="F59" i="34" s="1"/>
  <c r="G59" i="34" s="1"/>
  <c r="H59" i="34" s="1"/>
  <c r="I59" i="34" s="1"/>
  <c r="D54" i="34"/>
  <c r="E54" i="34" s="1"/>
  <c r="F54" i="34" s="1"/>
  <c r="G54" i="34" s="1"/>
  <c r="H54" i="34" s="1"/>
  <c r="I54" i="34" s="1"/>
  <c r="D47" i="34"/>
  <c r="E47" i="34" s="1"/>
  <c r="F47" i="34" s="1"/>
  <c r="G47" i="34" s="1"/>
  <c r="H47" i="34" s="1"/>
  <c r="I47" i="34" s="1"/>
  <c r="D42" i="34"/>
  <c r="E42" i="34" s="1"/>
  <c r="F42" i="34" s="1"/>
  <c r="G42" i="34" s="1"/>
  <c r="H42" i="34" s="1"/>
  <c r="I42" i="34" s="1"/>
  <c r="D35" i="34"/>
  <c r="E35" i="34" s="1"/>
  <c r="F35" i="34" s="1"/>
  <c r="G35" i="34" s="1"/>
  <c r="H35" i="34" s="1"/>
  <c r="I35" i="34" s="1"/>
  <c r="D30" i="34"/>
  <c r="E30" i="34" s="1"/>
  <c r="F30" i="34" s="1"/>
  <c r="G30" i="34" s="1"/>
  <c r="H30" i="34" s="1"/>
  <c r="I30" i="34" s="1"/>
  <c r="D19" i="34"/>
  <c r="E19" i="34" s="1"/>
  <c r="F19" i="34" s="1"/>
  <c r="G19" i="34" s="1"/>
  <c r="H19" i="34" s="1"/>
  <c r="I19" i="34" s="1"/>
  <c r="D14" i="34"/>
  <c r="E14" i="34" s="1"/>
  <c r="F14" i="34" s="1"/>
  <c r="G14" i="34" s="1"/>
  <c r="H14" i="34" s="1"/>
  <c r="I14" i="34" s="1"/>
  <c r="F235" i="15"/>
  <c r="E235" i="15" s="1"/>
  <c r="F223" i="15"/>
  <c r="E223" i="15" s="1"/>
  <c r="F211" i="15"/>
  <c r="E211" i="15" s="1"/>
  <c r="F199" i="15"/>
  <c r="G199" i="15" s="1"/>
  <c r="H199" i="15" s="1"/>
  <c r="I199" i="15" s="1"/>
  <c r="J199" i="15" s="1"/>
  <c r="K199" i="15" s="1"/>
  <c r="E27" i="3"/>
  <c r="F27" i="3" s="1"/>
  <c r="G27" i="3" s="1"/>
  <c r="H27" i="3" s="1"/>
  <c r="I27" i="3" s="1"/>
  <c r="J27" i="3" s="1"/>
  <c r="D160" i="7"/>
  <c r="E160" i="7" s="1"/>
  <c r="F160" i="7" s="1"/>
  <c r="G160" i="7" s="1"/>
  <c r="H160" i="7" s="1"/>
  <c r="I160" i="7" s="1"/>
  <c r="D136" i="7"/>
  <c r="E136" i="7" s="1"/>
  <c r="F136" i="7" s="1"/>
  <c r="G136" i="7" s="1"/>
  <c r="H136" i="7" s="1"/>
  <c r="I136" i="7" s="1"/>
  <c r="D13" i="7"/>
  <c r="E13" i="7" s="1"/>
  <c r="F13" i="7" s="1"/>
  <c r="G13" i="7" s="1"/>
  <c r="H13" i="7" s="1"/>
  <c r="I13" i="7" s="1"/>
  <c r="D128" i="7"/>
  <c r="E128" i="7" s="1"/>
  <c r="F128" i="7" s="1"/>
  <c r="G128" i="7" s="1"/>
  <c r="H128" i="7" s="1"/>
  <c r="I128" i="7" s="1"/>
  <c r="F187" i="15"/>
  <c r="G187" i="15" s="1"/>
  <c r="H187" i="15" s="1"/>
  <c r="I187" i="15" s="1"/>
  <c r="J187" i="15" s="1"/>
  <c r="K187" i="15" s="1"/>
  <c r="Q77" i="38"/>
  <c r="M77" i="38" s="1"/>
  <c r="Q76" i="38"/>
  <c r="M76" i="38" s="1"/>
  <c r="P76" i="38"/>
  <c r="J76" i="38" s="1"/>
  <c r="P75" i="38"/>
  <c r="I75" i="38" s="1"/>
  <c r="Q75" i="38"/>
  <c r="N75" i="38" s="1"/>
  <c r="U58" i="38"/>
  <c r="P77" i="38"/>
  <c r="B3" i="59"/>
  <c r="K107" i="7"/>
  <c r="K106" i="7"/>
  <c r="K104" i="7"/>
  <c r="K338" i="7"/>
  <c r="D3" i="53"/>
  <c r="C3" i="44"/>
  <c r="E95" i="51"/>
  <c r="E12" i="51" s="1"/>
  <c r="AL31" i="14" s="1"/>
  <c r="C3" i="7"/>
  <c r="B3" i="57"/>
  <c r="V55" i="38"/>
  <c r="V59" i="38"/>
  <c r="G293" i="43"/>
  <c r="V57" i="38"/>
  <c r="V56" i="38"/>
  <c r="D3" i="47"/>
  <c r="D3" i="49"/>
  <c r="G281" i="43"/>
  <c r="C3" i="45"/>
  <c r="M104" i="7"/>
  <c r="U55" i="38"/>
  <c r="U54" i="38"/>
  <c r="V54" i="38"/>
  <c r="X76" i="38"/>
  <c r="X77" i="38"/>
  <c r="W77" i="38"/>
  <c r="W76" i="38"/>
  <c r="D265" i="38"/>
  <c r="X75" i="38"/>
  <c r="W75" i="38"/>
  <c r="AB177" i="15"/>
  <c r="E93" i="53"/>
  <c r="G289" i="38"/>
  <c r="G265" i="38"/>
  <c r="H289" i="38"/>
  <c r="J193" i="38"/>
  <c r="J289" i="38"/>
  <c r="I145" i="38"/>
  <c r="J274" i="44"/>
  <c r="J275" i="43"/>
  <c r="J276" i="43"/>
  <c r="J274" i="34"/>
  <c r="K405" i="41" s="1"/>
  <c r="K16" i="41" s="1"/>
  <c r="J276" i="34"/>
  <c r="J275" i="34"/>
  <c r="J274" i="43"/>
  <c r="K407" i="41" s="1"/>
  <c r="K17" i="41" s="1"/>
  <c r="AB159" i="15" l="1"/>
  <c r="M55" i="15"/>
  <c r="R55" i="38"/>
  <c r="D241" i="38"/>
  <c r="J241" i="38"/>
  <c r="E301" i="38"/>
  <c r="R69" i="38"/>
  <c r="T69" i="38" s="1"/>
  <c r="R53" i="38"/>
  <c r="R59" i="38"/>
  <c r="T59" i="38" s="1"/>
  <c r="R63" i="38"/>
  <c r="T63" i="38" s="1"/>
  <c r="T61" i="38"/>
  <c r="B3" i="22"/>
  <c r="P2" i="1"/>
  <c r="AF63" i="50"/>
  <c r="H64" i="58"/>
  <c r="H337" i="38"/>
  <c r="H193" i="38"/>
  <c r="D193" i="38"/>
  <c r="J74" i="38"/>
  <c r="D337" i="38"/>
  <c r="G337" i="38"/>
  <c r="F193" i="38"/>
  <c r="H313" i="38"/>
  <c r="D313" i="38"/>
  <c r="I217" i="38"/>
  <c r="G313" i="38"/>
  <c r="F265" i="38"/>
  <c r="D169" i="38"/>
  <c r="E265" i="38"/>
  <c r="R74" i="38"/>
  <c r="T74" i="38" s="1"/>
  <c r="AR91" i="14" s="1"/>
  <c r="C253" i="56"/>
  <c r="G256" i="56" s="1"/>
  <c r="C291" i="3"/>
  <c r="H294" i="3" s="1"/>
  <c r="C113" i="53"/>
  <c r="L114" i="53" s="1"/>
  <c r="R51" i="38"/>
  <c r="S51" i="38" s="1"/>
  <c r="G169" i="38"/>
  <c r="C177" i="3"/>
  <c r="I180" i="3" s="1"/>
  <c r="C215" i="56"/>
  <c r="G218" i="56" s="1"/>
  <c r="C367" i="56"/>
  <c r="I370" i="56" s="1"/>
  <c r="C367" i="3"/>
  <c r="H370" i="3" s="1"/>
  <c r="C144" i="37"/>
  <c r="F169" i="38"/>
  <c r="C253" i="3"/>
  <c r="E256" i="3" s="1"/>
  <c r="R52" i="38"/>
  <c r="T52" i="38" s="1"/>
  <c r="J265" i="38"/>
  <c r="R58" i="38"/>
  <c r="T58" i="38" s="1"/>
  <c r="E319" i="15"/>
  <c r="C177" i="56"/>
  <c r="E180" i="56" s="1"/>
  <c r="C329" i="56"/>
  <c r="I332" i="56" s="1"/>
  <c r="C139" i="3"/>
  <c r="F142" i="3" s="1"/>
  <c r="C329" i="3"/>
  <c r="F332" i="3" s="1"/>
  <c r="K303" i="7"/>
  <c r="C139" i="56"/>
  <c r="F142" i="56" s="1"/>
  <c r="C291" i="56"/>
  <c r="I294" i="56" s="1"/>
  <c r="C215" i="3"/>
  <c r="C55" i="53"/>
  <c r="L56" i="53" s="1"/>
  <c r="J169" i="38"/>
  <c r="C84" i="53"/>
  <c r="L85" i="53" s="1"/>
  <c r="C142" i="53"/>
  <c r="L143" i="53" s="1"/>
  <c r="M66" i="15"/>
  <c r="O160" i="15"/>
  <c r="O161" i="15"/>
  <c r="Q161" i="15" s="1"/>
  <c r="O162" i="15"/>
  <c r="Q162" i="15" s="1"/>
  <c r="O159" i="15"/>
  <c r="Q159" i="15" s="1"/>
  <c r="O158" i="15"/>
  <c r="Q158" i="15" s="1"/>
  <c r="P64" i="15"/>
  <c r="F66" i="15"/>
  <c r="Q73" i="38"/>
  <c r="U51" i="38"/>
  <c r="E50" i="37"/>
  <c r="I64" i="58"/>
  <c r="J64" i="58" s="1"/>
  <c r="K64" i="58" s="1"/>
  <c r="L64" i="58" s="1"/>
  <c r="M64" i="58" s="1"/>
  <c r="N64" i="58" s="1"/>
  <c r="O64" i="58" s="1"/>
  <c r="P64" i="58" s="1"/>
  <c r="G275" i="43"/>
  <c r="G290" i="43"/>
  <c r="AA62" i="38"/>
  <c r="B145" i="15" s="1"/>
  <c r="J205" i="38"/>
  <c r="T55" i="38"/>
  <c r="D301" i="38"/>
  <c r="E325" i="38"/>
  <c r="R67" i="38"/>
  <c r="T67" i="38" s="1"/>
  <c r="R65" i="38"/>
  <c r="T65" i="38" s="1"/>
  <c r="R62" i="38"/>
  <c r="T62" i="38" s="1"/>
  <c r="R60" i="38"/>
  <c r="T60" i="38" s="1"/>
  <c r="R54" i="38"/>
  <c r="T54" i="38" s="1"/>
  <c r="J229" i="38"/>
  <c r="H181" i="38"/>
  <c r="H229" i="38"/>
  <c r="F181" i="38"/>
  <c r="M75" i="38"/>
  <c r="V75" i="38" s="1"/>
  <c r="L84" i="38" s="1"/>
  <c r="H301" i="38"/>
  <c r="D325" i="38"/>
  <c r="F57" i="15"/>
  <c r="P57" i="15"/>
  <c r="O57" i="15"/>
  <c r="F55" i="15"/>
  <c r="P55" i="15"/>
  <c r="N63" i="15"/>
  <c r="O59" i="15"/>
  <c r="H101" i="47"/>
  <c r="H12" i="47" s="1"/>
  <c r="AO11" i="14" s="1"/>
  <c r="D151" i="37"/>
  <c r="J139" i="37"/>
  <c r="G53" i="15"/>
  <c r="Q56" i="15"/>
  <c r="G54" i="15"/>
  <c r="L59" i="15"/>
  <c r="N59" i="15"/>
  <c r="I61" i="15"/>
  <c r="M178" i="15"/>
  <c r="K178" i="15"/>
  <c r="Q167" i="15"/>
  <c r="Q177" i="15"/>
  <c r="C148" i="37"/>
  <c r="AI133" i="50"/>
  <c r="AI109" i="50" s="1"/>
  <c r="AI129" i="50"/>
  <c r="AI105" i="50" s="1"/>
  <c r="AI125" i="50"/>
  <c r="AI101" i="50" s="1"/>
  <c r="AM133" i="50"/>
  <c r="AM109" i="50" s="1"/>
  <c r="AI131" i="50"/>
  <c r="AI107" i="50" s="1"/>
  <c r="AR127" i="50"/>
  <c r="AR103" i="50" s="1"/>
  <c r="AM125" i="50"/>
  <c r="AM101" i="50" s="1"/>
  <c r="AR129" i="50"/>
  <c r="AR105" i="50" s="1"/>
  <c r="AL132" i="50"/>
  <c r="AL108" i="50" s="1"/>
  <c r="AQ132" i="50"/>
  <c r="AQ108" i="50" s="1"/>
  <c r="AU132" i="50"/>
  <c r="AU108" i="50" s="1"/>
  <c r="AJ130" i="50"/>
  <c r="AJ106" i="50" s="1"/>
  <c r="AN130" i="50"/>
  <c r="AN106" i="50" s="1"/>
  <c r="AS130" i="50"/>
  <c r="AS106" i="50" s="1"/>
  <c r="AL128" i="50"/>
  <c r="AL104" i="50" s="1"/>
  <c r="AQ128" i="50"/>
  <c r="AQ104" i="50" s="1"/>
  <c r="AU128" i="50"/>
  <c r="AU104" i="50" s="1"/>
  <c r="AJ126" i="50"/>
  <c r="AJ102" i="50" s="1"/>
  <c r="AN126" i="50"/>
  <c r="AN102" i="50" s="1"/>
  <c r="AS126" i="50"/>
  <c r="AS102" i="50" s="1"/>
  <c r="AL124" i="50"/>
  <c r="I293" i="50" s="1"/>
  <c r="I292" i="50" s="1"/>
  <c r="AQ124" i="50"/>
  <c r="AQ100" i="50" s="1"/>
  <c r="AU124" i="50"/>
  <c r="AU100" i="50" s="1"/>
  <c r="AP132" i="50"/>
  <c r="AP108" i="50" s="1"/>
  <c r="AT130" i="50"/>
  <c r="AT106" i="50" s="1"/>
  <c r="AK130" i="50"/>
  <c r="AK106" i="50" s="1"/>
  <c r="AP128" i="50"/>
  <c r="AP104" i="50" s="1"/>
  <c r="AT126" i="50"/>
  <c r="AT102" i="50" s="1"/>
  <c r="AK126" i="50"/>
  <c r="AK102" i="50" s="1"/>
  <c r="AP124" i="50"/>
  <c r="AP100" i="50" s="1"/>
  <c r="AL133" i="50"/>
  <c r="AL109" i="50" s="1"/>
  <c r="AQ133" i="50"/>
  <c r="AQ109" i="50" s="1"/>
  <c r="AJ131" i="50"/>
  <c r="AJ107" i="50" s="1"/>
  <c r="AN131" i="50"/>
  <c r="AN107" i="50" s="1"/>
  <c r="AS131" i="50"/>
  <c r="AS107" i="50" s="1"/>
  <c r="AL129" i="50"/>
  <c r="AL105" i="50" s="1"/>
  <c r="AQ129" i="50"/>
  <c r="AQ105" i="50" s="1"/>
  <c r="AU129" i="50"/>
  <c r="AU105" i="50" s="1"/>
  <c r="AJ127" i="50"/>
  <c r="AJ103" i="50" s="1"/>
  <c r="AN127" i="50"/>
  <c r="AN103" i="50" s="1"/>
  <c r="AS127" i="50"/>
  <c r="AS103" i="50" s="1"/>
  <c r="AL125" i="50"/>
  <c r="AL101" i="50" s="1"/>
  <c r="AQ125" i="50"/>
  <c r="AQ101" i="50" s="1"/>
  <c r="AU125" i="50"/>
  <c r="AU101" i="50" s="1"/>
  <c r="AS133" i="50"/>
  <c r="AS109" i="50" s="1"/>
  <c r="AK133" i="50"/>
  <c r="AK109" i="50" s="1"/>
  <c r="AM132" i="50"/>
  <c r="AM108" i="50" s="1"/>
  <c r="AT131" i="50"/>
  <c r="AT107" i="50" s="1"/>
  <c r="AK131" i="50"/>
  <c r="AK107" i="50" s="1"/>
  <c r="AM130" i="50"/>
  <c r="AM106" i="50" s="1"/>
  <c r="AT129" i="50"/>
  <c r="AT105" i="50" s="1"/>
  <c r="AK129" i="50"/>
  <c r="AK105" i="50" s="1"/>
  <c r="AM128" i="50"/>
  <c r="AM104" i="50" s="1"/>
  <c r="AT127" i="50"/>
  <c r="AT103" i="50" s="1"/>
  <c r="AK127" i="50"/>
  <c r="AK103" i="50" s="1"/>
  <c r="AM126" i="50"/>
  <c r="AM102" i="50" s="1"/>
  <c r="AT125" i="50"/>
  <c r="AK125" i="50"/>
  <c r="AM124" i="50"/>
  <c r="J293" i="50" s="1"/>
  <c r="J292" i="50" s="1"/>
  <c r="AM127" i="50"/>
  <c r="AM103" i="50" s="1"/>
  <c r="AR131" i="50"/>
  <c r="AR107" i="50" s="1"/>
  <c r="AI127" i="50"/>
  <c r="AI103" i="50" s="1"/>
  <c r="AR125" i="50"/>
  <c r="AR101" i="50" s="1"/>
  <c r="AJ132" i="50"/>
  <c r="AJ108" i="50" s="1"/>
  <c r="AS132" i="50"/>
  <c r="AS108" i="50" s="1"/>
  <c r="AL130" i="50"/>
  <c r="AL106" i="50" s="1"/>
  <c r="AU130" i="50"/>
  <c r="AU106" i="50" s="1"/>
  <c r="AJ128" i="50"/>
  <c r="AJ104" i="50" s="1"/>
  <c r="AS128" i="50"/>
  <c r="AS104" i="50" s="1"/>
  <c r="AL126" i="50"/>
  <c r="AL102" i="50" s="1"/>
  <c r="AU126" i="50"/>
  <c r="AU102" i="50" s="1"/>
  <c r="AJ124" i="50"/>
  <c r="G293" i="50" s="1"/>
  <c r="G292" i="50" s="1"/>
  <c r="AS124" i="50"/>
  <c r="AS100" i="50" s="1"/>
  <c r="AK132" i="50"/>
  <c r="AK108" i="50" s="1"/>
  <c r="AT128" i="50"/>
  <c r="AT104" i="50" s="1"/>
  <c r="AP126" i="50"/>
  <c r="AP102" i="50" s="1"/>
  <c r="AK124" i="50"/>
  <c r="H293" i="50" s="1"/>
  <c r="H292" i="50" s="1"/>
  <c r="AJ133" i="50"/>
  <c r="AJ109" i="50" s="1"/>
  <c r="AQ131" i="50"/>
  <c r="AQ107" i="50" s="1"/>
  <c r="AN129" i="50"/>
  <c r="AN105" i="50" s="1"/>
  <c r="AQ127" i="50"/>
  <c r="AQ103" i="50" s="1"/>
  <c r="AN125" i="50"/>
  <c r="AU133" i="50"/>
  <c r="AU109" i="50" s="1"/>
  <c r="AR132" i="50"/>
  <c r="AR108" i="50" s="1"/>
  <c r="AP131" i="50"/>
  <c r="AP107" i="50" s="1"/>
  <c r="AI130" i="50"/>
  <c r="AI106" i="50" s="1"/>
  <c r="AR128" i="50"/>
  <c r="AR104" i="50" s="1"/>
  <c r="AP127" i="50"/>
  <c r="AI126" i="50"/>
  <c r="AI102" i="50" s="1"/>
  <c r="AR124" i="50"/>
  <c r="AR100" i="50" s="1"/>
  <c r="AM131" i="50"/>
  <c r="AM107" i="50" s="1"/>
  <c r="AT133" i="50"/>
  <c r="AT109" i="50" s="1"/>
  <c r="AM129" i="50"/>
  <c r="AM105" i="50" s="1"/>
  <c r="AR133" i="50"/>
  <c r="AR109" i="50" s="1"/>
  <c r="AN132" i="50"/>
  <c r="AN108" i="50" s="1"/>
  <c r="AQ130" i="50"/>
  <c r="AQ106" i="50" s="1"/>
  <c r="AN128" i="50"/>
  <c r="AN104" i="50" s="1"/>
  <c r="AQ126" i="50"/>
  <c r="AQ102" i="50" s="1"/>
  <c r="AN124" i="50"/>
  <c r="K293" i="50" s="1"/>
  <c r="K292" i="50" s="1"/>
  <c r="AT132" i="50"/>
  <c r="AT108" i="50" s="1"/>
  <c r="AP130" i="50"/>
  <c r="AP106" i="50" s="1"/>
  <c r="AK128" i="50"/>
  <c r="AK104" i="50" s="1"/>
  <c r="AT124" i="50"/>
  <c r="AT100" i="50" s="1"/>
  <c r="AN133" i="50"/>
  <c r="AN109" i="50" s="1"/>
  <c r="AL131" i="50"/>
  <c r="AL107" i="50" s="1"/>
  <c r="AU131" i="50"/>
  <c r="AU107" i="50" s="1"/>
  <c r="AJ129" i="50"/>
  <c r="AJ105" i="50" s="1"/>
  <c r="AS129" i="50"/>
  <c r="AS105" i="50" s="1"/>
  <c r="AL127" i="50"/>
  <c r="AL103" i="50" s="1"/>
  <c r="AU127" i="50"/>
  <c r="AU103" i="50" s="1"/>
  <c r="AJ125" i="50"/>
  <c r="AJ101" i="50" s="1"/>
  <c r="AS125" i="50"/>
  <c r="AS101" i="50" s="1"/>
  <c r="AP133" i="50"/>
  <c r="AI132" i="50"/>
  <c r="AI108" i="50" s="1"/>
  <c r="AR130" i="50"/>
  <c r="AR106" i="50" s="1"/>
  <c r="AP129" i="50"/>
  <c r="AP105" i="50" s="1"/>
  <c r="AI128" i="50"/>
  <c r="AI104" i="50" s="1"/>
  <c r="AR126" i="50"/>
  <c r="AR102" i="50" s="1"/>
  <c r="AP125" i="50"/>
  <c r="AP101" i="50" s="1"/>
  <c r="AI124" i="50"/>
  <c r="F293" i="50" s="1"/>
  <c r="F292" i="50" s="1"/>
  <c r="AI530" i="50"/>
  <c r="AM530" i="50"/>
  <c r="AL530" i="50"/>
  <c r="AS530" i="50"/>
  <c r="AS506" i="50" s="1"/>
  <c r="AJ530" i="50"/>
  <c r="AR530" i="50"/>
  <c r="AR506" i="50" s="1"/>
  <c r="AI528" i="50"/>
  <c r="AM528" i="50"/>
  <c r="AR528" i="50"/>
  <c r="AR504" i="50" s="1"/>
  <c r="AL528" i="50"/>
  <c r="AU528" i="50"/>
  <c r="AU504" i="50" s="1"/>
  <c r="AN528" i="50"/>
  <c r="AI526" i="50"/>
  <c r="AM526" i="50"/>
  <c r="AR526" i="50"/>
  <c r="AR502" i="50" s="1"/>
  <c r="AL526" i="50"/>
  <c r="AU526" i="50"/>
  <c r="AU502" i="50" s="1"/>
  <c r="AN526" i="50"/>
  <c r="AI524" i="50"/>
  <c r="AM524" i="50"/>
  <c r="AR524" i="50"/>
  <c r="AR500" i="50" s="1"/>
  <c r="AL524" i="50"/>
  <c r="AU524" i="50"/>
  <c r="AU500" i="50" s="1"/>
  <c r="AN524" i="50"/>
  <c r="AI522" i="50"/>
  <c r="AM522" i="50"/>
  <c r="AR522" i="50"/>
  <c r="AR498" i="50" s="1"/>
  <c r="AL522" i="50"/>
  <c r="AU522" i="50"/>
  <c r="AU498" i="50" s="1"/>
  <c r="AN522" i="50"/>
  <c r="AI529" i="50"/>
  <c r="AM529" i="50"/>
  <c r="AR529" i="50"/>
  <c r="AR505" i="50" s="1"/>
  <c r="AJ529" i="50"/>
  <c r="AS529" i="50"/>
  <c r="AS505" i="50" s="1"/>
  <c r="AQ529" i="50"/>
  <c r="AQ505" i="50" s="1"/>
  <c r="AI527" i="50"/>
  <c r="AM527" i="50"/>
  <c r="AR527" i="50"/>
  <c r="AR503" i="50" s="1"/>
  <c r="AJ527" i="50"/>
  <c r="AS527" i="50"/>
  <c r="AS503" i="50" s="1"/>
  <c r="AQ527" i="50"/>
  <c r="AQ503" i="50" s="1"/>
  <c r="AI525" i="50"/>
  <c r="AM525" i="50"/>
  <c r="AR525" i="50"/>
  <c r="AR501" i="50" s="1"/>
  <c r="AJ525" i="50"/>
  <c r="AS525" i="50"/>
  <c r="AS501" i="50" s="1"/>
  <c r="AQ525" i="50"/>
  <c r="AQ501" i="50" s="1"/>
  <c r="AI523" i="50"/>
  <c r="AM523" i="50"/>
  <c r="AR523" i="50"/>
  <c r="AR499" i="50" s="1"/>
  <c r="AJ523" i="50"/>
  <c r="AS523" i="50"/>
  <c r="AS499" i="50" s="1"/>
  <c r="AQ523" i="50"/>
  <c r="AQ499" i="50" s="1"/>
  <c r="AI521" i="50"/>
  <c r="AM521" i="50"/>
  <c r="AR521" i="50"/>
  <c r="AR497" i="50" s="1"/>
  <c r="AJ521" i="50"/>
  <c r="AS521" i="50"/>
  <c r="AS497" i="50" s="1"/>
  <c r="AQ521" i="50"/>
  <c r="AQ497" i="50" s="1"/>
  <c r="AK530" i="50"/>
  <c r="H841" i="50" s="1"/>
  <c r="AP530" i="50"/>
  <c r="AP506" i="50" s="1"/>
  <c r="AQ530" i="50"/>
  <c r="AQ506" i="50" s="1"/>
  <c r="AU530" i="50"/>
  <c r="AU506" i="50" s="1"/>
  <c r="AN530" i="50"/>
  <c r="AT530" i="50"/>
  <c r="AT506" i="50" s="1"/>
  <c r="AK528" i="50"/>
  <c r="AP528" i="50"/>
  <c r="AP504" i="50" s="1"/>
  <c r="AT528" i="50"/>
  <c r="AT504" i="50" s="1"/>
  <c r="AQ528" i="50"/>
  <c r="AQ504" i="50" s="1"/>
  <c r="AJ528" i="50"/>
  <c r="AS528" i="50"/>
  <c r="AS504" i="50" s="1"/>
  <c r="AK526" i="50"/>
  <c r="H773" i="50" s="1"/>
  <c r="AP526" i="50"/>
  <c r="AP502" i="50" s="1"/>
  <c r="AT526" i="50"/>
  <c r="AT502" i="50" s="1"/>
  <c r="AQ526" i="50"/>
  <c r="AQ502" i="50" s="1"/>
  <c r="AJ526" i="50"/>
  <c r="AS526" i="50"/>
  <c r="AS502" i="50" s="1"/>
  <c r="AK524" i="50"/>
  <c r="AP524" i="50"/>
  <c r="AP500" i="50" s="1"/>
  <c r="AT524" i="50"/>
  <c r="AT500" i="50" s="1"/>
  <c r="AQ524" i="50"/>
  <c r="AQ500" i="50" s="1"/>
  <c r="AJ524" i="50"/>
  <c r="AS524" i="50"/>
  <c r="AS500" i="50" s="1"/>
  <c r="AK522" i="50"/>
  <c r="AP522" i="50"/>
  <c r="AP498" i="50" s="1"/>
  <c r="AT522" i="50"/>
  <c r="AT498" i="50" s="1"/>
  <c r="AQ522" i="50"/>
  <c r="AQ498" i="50" s="1"/>
  <c r="AJ522" i="50"/>
  <c r="AS522" i="50"/>
  <c r="AS498" i="50" s="1"/>
  <c r="AK529" i="50"/>
  <c r="AP529" i="50"/>
  <c r="AP505" i="50" s="1"/>
  <c r="AT529" i="50"/>
  <c r="AT505" i="50" s="1"/>
  <c r="AN529" i="50"/>
  <c r="AL529" i="50"/>
  <c r="AU529" i="50"/>
  <c r="AU505" i="50" s="1"/>
  <c r="AK527" i="50"/>
  <c r="AP527" i="50"/>
  <c r="AP503" i="50" s="1"/>
  <c r="AT527" i="50"/>
  <c r="AT503" i="50" s="1"/>
  <c r="AN527" i="50"/>
  <c r="AL527" i="50"/>
  <c r="AU527" i="50"/>
  <c r="AU503" i="50" s="1"/>
  <c r="AK525" i="50"/>
  <c r="AP525" i="50"/>
  <c r="AP501" i="50" s="1"/>
  <c r="AT525" i="50"/>
  <c r="AT501" i="50" s="1"/>
  <c r="AN525" i="50"/>
  <c r="AL525" i="50"/>
  <c r="AU525" i="50"/>
  <c r="AU501" i="50" s="1"/>
  <c r="AK523" i="50"/>
  <c r="AP523" i="50"/>
  <c r="AP499" i="50" s="1"/>
  <c r="AT523" i="50"/>
  <c r="AT499" i="50" s="1"/>
  <c r="AN523" i="50"/>
  <c r="AL523" i="50"/>
  <c r="AU523" i="50"/>
  <c r="AU499" i="50" s="1"/>
  <c r="AK521" i="50"/>
  <c r="AK497" i="50" s="1"/>
  <c r="H680" i="50" s="1"/>
  <c r="AP521" i="50"/>
  <c r="AP497" i="50" s="1"/>
  <c r="AT521" i="50"/>
  <c r="AT497" i="50" s="1"/>
  <c r="AN521" i="50"/>
  <c r="AL521" i="50"/>
  <c r="AU521" i="50"/>
  <c r="AU497" i="50" s="1"/>
  <c r="K30" i="58"/>
  <c r="L30" i="58" s="1"/>
  <c r="L46" i="58" s="1"/>
  <c r="AC74" i="50"/>
  <c r="I169" i="38"/>
  <c r="J217" i="38"/>
  <c r="I241" i="38"/>
  <c r="I289" i="38"/>
  <c r="I265" i="38"/>
  <c r="I193" i="38"/>
  <c r="H169" i="38"/>
  <c r="H217" i="38"/>
  <c r="H241" i="38"/>
  <c r="G217" i="38"/>
  <c r="G145" i="38"/>
  <c r="G241" i="38"/>
  <c r="G193" i="38"/>
  <c r="F289" i="38"/>
  <c r="F241" i="38"/>
  <c r="F217" i="38"/>
  <c r="E145" i="38"/>
  <c r="E217" i="38"/>
  <c r="E289" i="38"/>
  <c r="J301" i="38"/>
  <c r="F301" i="38"/>
  <c r="G301" i="38"/>
  <c r="F313" i="38"/>
  <c r="I313" i="38"/>
  <c r="E313" i="38"/>
  <c r="F337" i="38"/>
  <c r="I337" i="38"/>
  <c r="E337" i="38"/>
  <c r="I92" i="38"/>
  <c r="J92" i="38"/>
  <c r="I94" i="38"/>
  <c r="J94" i="38"/>
  <c r="J91" i="38"/>
  <c r="I91" i="38"/>
  <c r="J93" i="38"/>
  <c r="I93" i="38"/>
  <c r="H155" i="7"/>
  <c r="R107" i="7" s="1"/>
  <c r="K302" i="7"/>
  <c r="P177" i="15"/>
  <c r="R177" i="15" s="1"/>
  <c r="T177" i="15" s="1"/>
  <c r="P166" i="15"/>
  <c r="L178" i="15"/>
  <c r="M60" i="15"/>
  <c r="G60" i="15"/>
  <c r="I64" i="15"/>
  <c r="D417" i="50"/>
  <c r="J417" i="50" s="1"/>
  <c r="D400" i="50"/>
  <c r="J400" i="50" s="1"/>
  <c r="D383" i="50"/>
  <c r="J383" i="50" s="1"/>
  <c r="D366" i="50"/>
  <c r="J366" i="50" s="1"/>
  <c r="D349" i="50"/>
  <c r="J349" i="50" s="1"/>
  <c r="D332" i="50"/>
  <c r="J332" i="50" s="1"/>
  <c r="D298" i="50"/>
  <c r="J298" i="50" s="1"/>
  <c r="D315" i="50"/>
  <c r="J315" i="50" s="1"/>
  <c r="D281" i="50"/>
  <c r="J281" i="50" s="1"/>
  <c r="J97" i="50"/>
  <c r="Z97" i="50" s="1"/>
  <c r="C268" i="50" s="1"/>
  <c r="C276" i="50" s="1"/>
  <c r="G26" i="58"/>
  <c r="H26" i="58" s="1"/>
  <c r="H42" i="58" s="1"/>
  <c r="J219" i="58"/>
  <c r="N185" i="58"/>
  <c r="M184" i="58"/>
  <c r="J181" i="58"/>
  <c r="I180" i="58"/>
  <c r="N147" i="58"/>
  <c r="M146" i="58"/>
  <c r="J143" i="58"/>
  <c r="J371" i="58"/>
  <c r="N337" i="58"/>
  <c r="M336" i="58"/>
  <c r="J333" i="58"/>
  <c r="I332" i="58"/>
  <c r="N299" i="58"/>
  <c r="M298" i="58"/>
  <c r="J295" i="58"/>
  <c r="I294" i="58"/>
  <c r="Q264" i="58"/>
  <c r="Q280" i="58" s="1"/>
  <c r="N261" i="58"/>
  <c r="M260" i="58"/>
  <c r="I256" i="58"/>
  <c r="Q74" i="58"/>
  <c r="Q90" i="58" s="1"/>
  <c r="K68" i="58"/>
  <c r="H141" i="58"/>
  <c r="K220" i="58"/>
  <c r="O224" i="58"/>
  <c r="Q226" i="58"/>
  <c r="Q242" i="58" s="1"/>
  <c r="P263" i="58"/>
  <c r="P301" i="58"/>
  <c r="P339" i="58"/>
  <c r="J67" i="58"/>
  <c r="M70" i="58"/>
  <c r="O72" i="58"/>
  <c r="G102" i="58"/>
  <c r="K106" i="58"/>
  <c r="O110" i="58"/>
  <c r="L145" i="58"/>
  <c r="P187" i="58"/>
  <c r="J257" i="58"/>
  <c r="K372" i="58"/>
  <c r="H65" i="58"/>
  <c r="G140" i="58"/>
  <c r="O148" i="58"/>
  <c r="Q150" i="58"/>
  <c r="Q166" i="58" s="1"/>
  <c r="O186" i="58"/>
  <c r="Q188" i="58"/>
  <c r="Q204" i="58" s="1"/>
  <c r="G216" i="58"/>
  <c r="I218" i="58"/>
  <c r="M222" i="58"/>
  <c r="H255" i="58"/>
  <c r="L297" i="58"/>
  <c r="L335" i="58"/>
  <c r="L373" i="58"/>
  <c r="N375" i="58"/>
  <c r="I66" i="58"/>
  <c r="L69" i="58"/>
  <c r="N71" i="58"/>
  <c r="P73" i="58"/>
  <c r="H103" i="58"/>
  <c r="L107" i="58"/>
  <c r="P111" i="58"/>
  <c r="I142" i="58"/>
  <c r="P149" i="58"/>
  <c r="L183" i="58"/>
  <c r="L221" i="58"/>
  <c r="N223" i="58"/>
  <c r="O300" i="58"/>
  <c r="Q302" i="58"/>
  <c r="Q318" i="58" s="1"/>
  <c r="O338" i="58"/>
  <c r="Q340" i="58"/>
  <c r="Q356" i="58" s="1"/>
  <c r="G368" i="58"/>
  <c r="I370" i="58"/>
  <c r="O376" i="58"/>
  <c r="Q378" i="58"/>
  <c r="Q394" i="58" s="1"/>
  <c r="K144" i="58"/>
  <c r="H179" i="58"/>
  <c r="G254" i="58"/>
  <c r="K258" i="58"/>
  <c r="O262" i="58"/>
  <c r="G292" i="58"/>
  <c r="K296" i="58"/>
  <c r="G330" i="58"/>
  <c r="K334" i="58"/>
  <c r="H369" i="58"/>
  <c r="P377" i="58"/>
  <c r="M374" i="58"/>
  <c r="G178" i="58"/>
  <c r="K182" i="58"/>
  <c r="H217" i="58"/>
  <c r="P225" i="58"/>
  <c r="L259" i="58"/>
  <c r="H293" i="58"/>
  <c r="H331" i="58"/>
  <c r="J105" i="58"/>
  <c r="M108" i="58"/>
  <c r="I104" i="58"/>
  <c r="N109" i="58"/>
  <c r="Q112" i="58"/>
  <c r="Q128" i="58" s="1"/>
  <c r="N50" i="58"/>
  <c r="J274" i="58"/>
  <c r="F194" i="58"/>
  <c r="F346" i="58"/>
  <c r="F308" i="58"/>
  <c r="K237" i="58"/>
  <c r="O89" i="58"/>
  <c r="H82" i="58"/>
  <c r="M87" i="58"/>
  <c r="F118" i="58"/>
  <c r="J122" i="58"/>
  <c r="N126" i="58"/>
  <c r="P128" i="58"/>
  <c r="H158" i="58"/>
  <c r="P166" i="58"/>
  <c r="N164" i="58"/>
  <c r="P204" i="58"/>
  <c r="N202" i="58"/>
  <c r="H234" i="58"/>
  <c r="L238" i="58"/>
  <c r="Q319" i="58"/>
  <c r="Q357" i="58"/>
  <c r="M391" i="58"/>
  <c r="Q395" i="58"/>
  <c r="P90" i="58"/>
  <c r="F80" i="58"/>
  <c r="Q129" i="58"/>
  <c r="O165" i="58"/>
  <c r="F156" i="58"/>
  <c r="Q205" i="58"/>
  <c r="M239" i="58"/>
  <c r="Q243" i="58"/>
  <c r="P318" i="58"/>
  <c r="N316" i="58"/>
  <c r="P356" i="58"/>
  <c r="N354" i="58"/>
  <c r="H386" i="58"/>
  <c r="I83" i="58"/>
  <c r="L86" i="58"/>
  <c r="G81" i="58"/>
  <c r="G119" i="58"/>
  <c r="K123" i="58"/>
  <c r="O127" i="58"/>
  <c r="G157" i="58"/>
  <c r="J236" i="58"/>
  <c r="P242" i="58"/>
  <c r="O317" i="58"/>
  <c r="O355" i="58"/>
  <c r="Q91" i="58"/>
  <c r="N88" i="58"/>
  <c r="Q167" i="58"/>
  <c r="O203" i="58"/>
  <c r="I273" i="58"/>
  <c r="L390" i="58"/>
  <c r="M163" i="58"/>
  <c r="I197" i="58"/>
  <c r="L200" i="58"/>
  <c r="G195" i="58"/>
  <c r="I235" i="58"/>
  <c r="L276" i="58"/>
  <c r="Q281" i="58"/>
  <c r="H310" i="58"/>
  <c r="M315" i="58"/>
  <c r="H348" i="58"/>
  <c r="M353" i="58"/>
  <c r="G385" i="58"/>
  <c r="I159" i="58"/>
  <c r="H272" i="58"/>
  <c r="M277" i="58"/>
  <c r="K275" i="58"/>
  <c r="I311" i="58"/>
  <c r="G309" i="58"/>
  <c r="I349" i="58"/>
  <c r="G347" i="58"/>
  <c r="F384" i="58"/>
  <c r="O393" i="58"/>
  <c r="K389" i="58"/>
  <c r="J350" i="58"/>
  <c r="K313" i="58"/>
  <c r="F270" i="58"/>
  <c r="O279" i="58"/>
  <c r="G233" i="58"/>
  <c r="N240" i="58"/>
  <c r="J198" i="58"/>
  <c r="K161" i="58"/>
  <c r="I121" i="58"/>
  <c r="L124" i="58"/>
  <c r="H120" i="58"/>
  <c r="M125" i="58"/>
  <c r="P394" i="58"/>
  <c r="L162" i="58"/>
  <c r="H196" i="58"/>
  <c r="M201" i="58"/>
  <c r="P280" i="58"/>
  <c r="L314" i="58"/>
  <c r="L352" i="58"/>
  <c r="I387" i="58"/>
  <c r="N392" i="58"/>
  <c r="J388" i="58"/>
  <c r="K351" i="58"/>
  <c r="J312" i="58"/>
  <c r="G271" i="58"/>
  <c r="N278" i="58"/>
  <c r="F232" i="58"/>
  <c r="O241" i="58"/>
  <c r="K199" i="58"/>
  <c r="J160" i="58"/>
  <c r="J84" i="58"/>
  <c r="K85" i="58"/>
  <c r="K47" i="58"/>
  <c r="I28" i="58"/>
  <c r="I44" i="58" s="1"/>
  <c r="L31" i="58"/>
  <c r="L47" i="58" s="1"/>
  <c r="P52" i="58"/>
  <c r="O51" i="58"/>
  <c r="Q53" i="58"/>
  <c r="H27" i="58"/>
  <c r="H43" i="58" s="1"/>
  <c r="J29" i="58"/>
  <c r="J45" i="58" s="1"/>
  <c r="M32" i="58"/>
  <c r="M48" i="58" s="1"/>
  <c r="D146" i="37"/>
  <c r="E98" i="37"/>
  <c r="J98" i="37" s="1"/>
  <c r="AA65" i="38"/>
  <c r="B148" i="15" s="1"/>
  <c r="D159" i="37"/>
  <c r="AA52" i="38"/>
  <c r="B135" i="15" s="1"/>
  <c r="AF163" i="37"/>
  <c r="AG163" i="37" s="1"/>
  <c r="AF162" i="37"/>
  <c r="S162" i="37" s="1"/>
  <c r="AF161" i="37"/>
  <c r="AG161" i="37" s="1"/>
  <c r="AF160" i="37"/>
  <c r="L160" i="37" s="1"/>
  <c r="AP160" i="37" s="1"/>
  <c r="AF159" i="37"/>
  <c r="L159" i="37" s="1"/>
  <c r="AP159" i="37" s="1"/>
  <c r="AF158" i="37"/>
  <c r="L158" i="37" s="1"/>
  <c r="AP158" i="37" s="1"/>
  <c r="AF157" i="37"/>
  <c r="S157" i="37" s="1"/>
  <c r="AF156" i="37"/>
  <c r="AG156" i="37" s="1"/>
  <c r="AF155" i="37"/>
  <c r="AG155" i="37" s="1"/>
  <c r="AF154" i="37"/>
  <c r="S154" i="37" s="1"/>
  <c r="D829" i="50"/>
  <c r="J829" i="50" s="1"/>
  <c r="D812" i="50"/>
  <c r="J812" i="50" s="1"/>
  <c r="D795" i="50"/>
  <c r="J795" i="50" s="1"/>
  <c r="D778" i="50"/>
  <c r="J778" i="50" s="1"/>
  <c r="D693" i="50"/>
  <c r="J693" i="50" s="1"/>
  <c r="D744" i="50"/>
  <c r="J744" i="50" s="1"/>
  <c r="D727" i="50"/>
  <c r="J727" i="50" s="1"/>
  <c r="D710" i="50"/>
  <c r="J710" i="50" s="1"/>
  <c r="D676" i="50"/>
  <c r="J676" i="50" s="1"/>
  <c r="D761" i="50"/>
  <c r="J761" i="50" s="1"/>
  <c r="J491" i="50"/>
  <c r="Z491" i="50" s="1"/>
  <c r="C646" i="50" s="1"/>
  <c r="C654" i="50" s="1"/>
  <c r="Q53" i="15"/>
  <c r="L53" i="15"/>
  <c r="H56" i="15"/>
  <c r="E56" i="15"/>
  <c r="Q54" i="15"/>
  <c r="L54" i="15"/>
  <c r="G67" i="15"/>
  <c r="L63" i="15"/>
  <c r="N61" i="15"/>
  <c r="J59" i="15"/>
  <c r="E65" i="15"/>
  <c r="P176" i="15"/>
  <c r="P175" i="15"/>
  <c r="P174" i="15"/>
  <c r="P173" i="15"/>
  <c r="P172" i="15"/>
  <c r="P171" i="15"/>
  <c r="P170" i="15"/>
  <c r="P169" i="15"/>
  <c r="R169" i="15" s="1"/>
  <c r="P168" i="15"/>
  <c r="P167" i="15"/>
  <c r="P165" i="15"/>
  <c r="P164" i="15"/>
  <c r="P163" i="15"/>
  <c r="P162" i="15"/>
  <c r="P161" i="15"/>
  <c r="P160" i="15"/>
  <c r="P159" i="15"/>
  <c r="AF153" i="37"/>
  <c r="L153" i="37" s="1"/>
  <c r="AP153" i="37" s="1"/>
  <c r="AF152" i="37"/>
  <c r="L152" i="37" s="1"/>
  <c r="AP152" i="37" s="1"/>
  <c r="AF151" i="37"/>
  <c r="L151" i="37" s="1"/>
  <c r="AP151" i="37" s="1"/>
  <c r="AF150" i="37"/>
  <c r="S150" i="37" s="1"/>
  <c r="AF149" i="37"/>
  <c r="AG149" i="37" s="1"/>
  <c r="AF148" i="37"/>
  <c r="AI148" i="37" s="1"/>
  <c r="D148" i="37"/>
  <c r="D145" i="37"/>
  <c r="E102" i="37"/>
  <c r="R102" i="37" s="1"/>
  <c r="E94" i="37"/>
  <c r="K94" i="37" s="1"/>
  <c r="C44" i="1"/>
  <c r="B18" i="1" s="1"/>
  <c r="G18" i="1" s="1"/>
  <c r="I1" i="38"/>
  <c r="B20" i="1"/>
  <c r="I20" i="1" s="1"/>
  <c r="B133" i="15"/>
  <c r="AA57" i="38"/>
  <c r="B140" i="15" s="1"/>
  <c r="AA54" i="38"/>
  <c r="C20" i="38" s="1"/>
  <c r="C43" i="1"/>
  <c r="B17" i="1" s="1"/>
  <c r="G17" i="1" s="1"/>
  <c r="D154" i="37"/>
  <c r="C162" i="37"/>
  <c r="D147" i="37"/>
  <c r="D149" i="37"/>
  <c r="D144" i="37"/>
  <c r="D150" i="37"/>
  <c r="E104" i="37"/>
  <c r="N104" i="37" s="1"/>
  <c r="E100" i="37"/>
  <c r="F100" i="37" s="1"/>
  <c r="E96" i="37"/>
  <c r="Q96" i="37" s="1"/>
  <c r="E92" i="37"/>
  <c r="P92" i="37" s="1"/>
  <c r="C42" i="1"/>
  <c r="B16" i="1" s="1"/>
  <c r="G16" i="1" s="1"/>
  <c r="E78" i="49"/>
  <c r="E11" i="49" s="1"/>
  <c r="AL20" i="14" s="1"/>
  <c r="J78" i="51"/>
  <c r="J11" i="51" s="1"/>
  <c r="AQ30" i="14" s="1"/>
  <c r="AA69" i="38"/>
  <c r="C35" i="38" s="1"/>
  <c r="AA61" i="38"/>
  <c r="B144" i="15" s="1"/>
  <c r="AA68" i="38"/>
  <c r="C34" i="38" s="1"/>
  <c r="AA58" i="38"/>
  <c r="B141" i="15" s="1"/>
  <c r="E41" i="1"/>
  <c r="J74" i="37"/>
  <c r="C46" i="38"/>
  <c r="D162" i="37"/>
  <c r="D163" i="37"/>
  <c r="D155" i="37"/>
  <c r="D160" i="37"/>
  <c r="AF145" i="37"/>
  <c r="L145" i="37" s="1"/>
  <c r="AP145" i="37" s="1"/>
  <c r="C154" i="37"/>
  <c r="AW25" i="14"/>
  <c r="M457" i="50"/>
  <c r="J411" i="41"/>
  <c r="G407" i="41"/>
  <c r="Q173" i="15"/>
  <c r="O58" i="15"/>
  <c r="P58" i="15"/>
  <c r="P60" i="15"/>
  <c r="P62" i="15"/>
  <c r="M64" i="15"/>
  <c r="F58" i="15"/>
  <c r="I62" i="15"/>
  <c r="H60" i="15"/>
  <c r="H62" i="15"/>
  <c r="G43" i="58"/>
  <c r="N33" i="58"/>
  <c r="O34" i="58"/>
  <c r="O50" i="58" s="1"/>
  <c r="M62" i="50"/>
  <c r="J15" i="41"/>
  <c r="J489" i="50"/>
  <c r="Z489" i="50" s="1"/>
  <c r="C612" i="50" s="1"/>
  <c r="C620" i="50" s="1"/>
  <c r="AC466" i="50"/>
  <c r="C158" i="37"/>
  <c r="C150" i="37"/>
  <c r="J93" i="50"/>
  <c r="Z93" i="50" s="1"/>
  <c r="C200" i="50" s="1"/>
  <c r="C208" i="50" s="1"/>
  <c r="AC462" i="50"/>
  <c r="Y115" i="50"/>
  <c r="F191" i="47"/>
  <c r="F17" i="47" s="1"/>
  <c r="AM16" i="14" s="1"/>
  <c r="AB161" i="15"/>
  <c r="AB163" i="15"/>
  <c r="AB167" i="15"/>
  <c r="AB173" i="15"/>
  <c r="D156" i="7"/>
  <c r="T107" i="7" s="1"/>
  <c r="I155" i="7"/>
  <c r="S107" i="7" s="1"/>
  <c r="G101" i="47"/>
  <c r="G12" i="47" s="1"/>
  <c r="AN11" i="14" s="1"/>
  <c r="H78" i="49"/>
  <c r="H11" i="49" s="1"/>
  <c r="AO20" i="14" s="1"/>
  <c r="H119" i="47"/>
  <c r="H13" i="47" s="1"/>
  <c r="AO12" i="14" s="1"/>
  <c r="I78" i="51"/>
  <c r="I11" i="51" s="1"/>
  <c r="AP30" i="14" s="1"/>
  <c r="C160" i="37"/>
  <c r="C156" i="37"/>
  <c r="C152" i="37"/>
  <c r="AP519" i="50"/>
  <c r="AT519" i="50"/>
  <c r="AS519" i="50"/>
  <c r="AP515" i="50"/>
  <c r="AT515" i="50"/>
  <c r="AS515" i="50"/>
  <c r="AP518" i="50"/>
  <c r="AT518" i="50"/>
  <c r="AS518" i="50"/>
  <c r="AP514" i="50"/>
  <c r="AT514" i="50"/>
  <c r="AS514" i="50"/>
  <c r="AP517" i="50"/>
  <c r="AT517" i="50"/>
  <c r="AS517" i="50"/>
  <c r="AP513" i="50"/>
  <c r="AT513" i="50"/>
  <c r="AS513" i="50"/>
  <c r="AP520" i="50"/>
  <c r="AT520" i="50"/>
  <c r="AS520" i="50"/>
  <c r="AP516" i="50"/>
  <c r="AT516" i="50"/>
  <c r="AS516" i="50"/>
  <c r="AP512" i="50"/>
  <c r="AT512" i="50"/>
  <c r="AS512" i="50"/>
  <c r="AI519" i="50"/>
  <c r="F654" i="50" s="1"/>
  <c r="AM519" i="50"/>
  <c r="AL519" i="50"/>
  <c r="I654" i="50" s="1"/>
  <c r="AI515" i="50"/>
  <c r="AM515" i="50"/>
  <c r="J586" i="50" s="1"/>
  <c r="AL515" i="50"/>
  <c r="AI518" i="50"/>
  <c r="AM518" i="50"/>
  <c r="AL518" i="50"/>
  <c r="AI514" i="50"/>
  <c r="AM514" i="50"/>
  <c r="AL514" i="50"/>
  <c r="AI517" i="50"/>
  <c r="AM517" i="50"/>
  <c r="AL517" i="50"/>
  <c r="AI513" i="50"/>
  <c r="AM513" i="50"/>
  <c r="AL513" i="50"/>
  <c r="AI520" i="50"/>
  <c r="F671" i="50" s="1"/>
  <c r="AM520" i="50"/>
  <c r="J671" i="50" s="1"/>
  <c r="AL520" i="50"/>
  <c r="I671" i="50" s="1"/>
  <c r="AI516" i="50"/>
  <c r="AM516" i="50"/>
  <c r="AL516" i="50"/>
  <c r="AI512" i="50"/>
  <c r="AM512" i="50"/>
  <c r="AL512" i="50"/>
  <c r="AP120" i="50"/>
  <c r="AP96" i="50" s="1"/>
  <c r="AT120" i="50"/>
  <c r="AT96" i="50" s="1"/>
  <c r="AS120" i="50"/>
  <c r="AS96" i="50" s="1"/>
  <c r="AP116" i="50"/>
  <c r="AP92" i="50" s="1"/>
  <c r="AT116" i="50"/>
  <c r="AT92" i="50" s="1"/>
  <c r="AS116" i="50"/>
  <c r="AS92" i="50" s="1"/>
  <c r="AP123" i="50"/>
  <c r="AP99" i="50" s="1"/>
  <c r="AT123" i="50"/>
  <c r="AT99" i="50" s="1"/>
  <c r="AS123" i="50"/>
  <c r="AS99" i="50" s="1"/>
  <c r="AP119" i="50"/>
  <c r="AP95" i="50" s="1"/>
  <c r="AT119" i="50"/>
  <c r="AT95" i="50" s="1"/>
  <c r="AS119" i="50"/>
  <c r="AS95" i="50" s="1"/>
  <c r="AP122" i="50"/>
  <c r="AP98" i="50" s="1"/>
  <c r="AT122" i="50"/>
  <c r="AT98" i="50" s="1"/>
  <c r="AS122" i="50"/>
  <c r="AS98" i="50" s="1"/>
  <c r="AP118" i="50"/>
  <c r="AP94" i="50" s="1"/>
  <c r="AT118" i="50"/>
  <c r="AT94" i="50" s="1"/>
  <c r="AS118" i="50"/>
  <c r="AS94" i="50" s="1"/>
  <c r="AP121" i="50"/>
  <c r="AP97" i="50" s="1"/>
  <c r="AT121" i="50"/>
  <c r="AT97" i="50" s="1"/>
  <c r="AS121" i="50"/>
  <c r="AS97" i="50" s="1"/>
  <c r="AP117" i="50"/>
  <c r="AP93" i="50" s="1"/>
  <c r="AR519" i="50"/>
  <c r="AQ519" i="50"/>
  <c r="AU519" i="50"/>
  <c r="AR515" i="50"/>
  <c r="AQ515" i="50"/>
  <c r="AU515" i="50"/>
  <c r="AR518" i="50"/>
  <c r="AQ518" i="50"/>
  <c r="AU518" i="50"/>
  <c r="AR514" i="50"/>
  <c r="AQ514" i="50"/>
  <c r="AU514" i="50"/>
  <c r="AR517" i="50"/>
  <c r="AQ517" i="50"/>
  <c r="AU517" i="50"/>
  <c r="AR513" i="50"/>
  <c r="AQ513" i="50"/>
  <c r="AU513" i="50"/>
  <c r="AR520" i="50"/>
  <c r="AQ520" i="50"/>
  <c r="AU520" i="50"/>
  <c r="AR516" i="50"/>
  <c r="AQ516" i="50"/>
  <c r="AU516" i="50"/>
  <c r="AR512" i="50"/>
  <c r="AQ512" i="50"/>
  <c r="AU512" i="50"/>
  <c r="AK519" i="50"/>
  <c r="H654" i="50" s="1"/>
  <c r="AJ519" i="50"/>
  <c r="AN519" i="50"/>
  <c r="AK515" i="50"/>
  <c r="AJ515" i="50"/>
  <c r="AN515" i="50"/>
  <c r="AK518" i="50"/>
  <c r="AJ518" i="50"/>
  <c r="AN518" i="50"/>
  <c r="AK514" i="50"/>
  <c r="AJ514" i="50"/>
  <c r="AN514" i="50"/>
  <c r="AK517" i="50"/>
  <c r="AJ517" i="50"/>
  <c r="AN517" i="50"/>
  <c r="AK513" i="50"/>
  <c r="AJ513" i="50"/>
  <c r="AN513" i="50"/>
  <c r="AK520" i="50"/>
  <c r="H671" i="50" s="1"/>
  <c r="AJ520" i="50"/>
  <c r="G671" i="50" s="1"/>
  <c r="AN520" i="50"/>
  <c r="K671" i="50" s="1"/>
  <c r="AK516" i="50"/>
  <c r="AJ516" i="50"/>
  <c r="AN516" i="50"/>
  <c r="AK512" i="50"/>
  <c r="AJ512" i="50"/>
  <c r="AN512" i="50"/>
  <c r="AR120" i="50"/>
  <c r="AR96" i="50" s="1"/>
  <c r="AQ120" i="50"/>
  <c r="AQ96" i="50" s="1"/>
  <c r="AU120" i="50"/>
  <c r="AU96" i="50" s="1"/>
  <c r="AR116" i="50"/>
  <c r="AR92" i="50" s="1"/>
  <c r="AQ116" i="50"/>
  <c r="AQ92" i="50" s="1"/>
  <c r="AU116" i="50"/>
  <c r="AU92" i="50" s="1"/>
  <c r="AR123" i="50"/>
  <c r="AR99" i="50" s="1"/>
  <c r="AQ123" i="50"/>
  <c r="AQ99" i="50" s="1"/>
  <c r="AU123" i="50"/>
  <c r="AU99" i="50" s="1"/>
  <c r="AR119" i="50"/>
  <c r="AR95" i="50" s="1"/>
  <c r="AQ119" i="50"/>
  <c r="AQ95" i="50" s="1"/>
  <c r="AU119" i="50"/>
  <c r="AU95" i="50" s="1"/>
  <c r="AR122" i="50"/>
  <c r="AR98" i="50" s="1"/>
  <c r="AQ122" i="50"/>
  <c r="AQ98" i="50" s="1"/>
  <c r="AU122" i="50"/>
  <c r="AU98" i="50" s="1"/>
  <c r="AR118" i="50"/>
  <c r="AR94" i="50" s="1"/>
  <c r="AQ118" i="50"/>
  <c r="AQ94" i="50" s="1"/>
  <c r="AU118" i="50"/>
  <c r="AU94" i="50" s="1"/>
  <c r="AR121" i="50"/>
  <c r="AR97" i="50" s="1"/>
  <c r="AQ121" i="50"/>
  <c r="AQ97" i="50" s="1"/>
  <c r="AU121" i="50"/>
  <c r="AU97" i="50" s="1"/>
  <c r="AR117" i="50"/>
  <c r="AR93" i="50" s="1"/>
  <c r="AT117" i="50"/>
  <c r="AT93" i="50" s="1"/>
  <c r="AS117" i="50"/>
  <c r="AS93" i="50" s="1"/>
  <c r="AI120" i="50"/>
  <c r="AI96" i="50" s="1"/>
  <c r="AM120" i="50"/>
  <c r="AM96" i="50" s="1"/>
  <c r="AL120" i="50"/>
  <c r="AL96" i="50" s="1"/>
  <c r="AI116" i="50"/>
  <c r="AI92" i="50" s="1"/>
  <c r="AM116" i="50"/>
  <c r="AM92" i="50" s="1"/>
  <c r="AL116" i="50"/>
  <c r="AL92" i="50" s="1"/>
  <c r="AI123" i="50"/>
  <c r="AI99" i="50" s="1"/>
  <c r="AM123" i="50"/>
  <c r="AM99" i="50" s="1"/>
  <c r="AL123" i="50"/>
  <c r="AL99" i="50" s="1"/>
  <c r="AI119" i="50"/>
  <c r="AI95" i="50" s="1"/>
  <c r="AM119" i="50"/>
  <c r="AM95" i="50" s="1"/>
  <c r="AL119" i="50"/>
  <c r="AL95" i="50" s="1"/>
  <c r="AI122" i="50"/>
  <c r="AI98" i="50" s="1"/>
  <c r="AM122" i="50"/>
  <c r="AM98" i="50" s="1"/>
  <c r="AL122" i="50"/>
  <c r="AL98" i="50" s="1"/>
  <c r="AI118" i="50"/>
  <c r="AI94" i="50" s="1"/>
  <c r="AM118" i="50"/>
  <c r="AM94" i="50" s="1"/>
  <c r="AL118" i="50"/>
  <c r="AL94" i="50" s="1"/>
  <c r="AI121" i="50"/>
  <c r="AI97" i="50" s="1"/>
  <c r="AM121" i="50"/>
  <c r="AM97" i="50" s="1"/>
  <c r="AL121" i="50"/>
  <c r="AL97" i="50" s="1"/>
  <c r="AI117" i="50"/>
  <c r="AI93" i="50" s="1"/>
  <c r="AM117" i="50"/>
  <c r="AM93" i="50" s="1"/>
  <c r="AL117" i="50"/>
  <c r="AL93" i="50" s="1"/>
  <c r="AQ117" i="50"/>
  <c r="AQ93" i="50" s="1"/>
  <c r="AU117" i="50"/>
  <c r="AU93" i="50" s="1"/>
  <c r="AK120" i="50"/>
  <c r="AK96" i="50" s="1"/>
  <c r="AJ120" i="50"/>
  <c r="AJ96" i="50" s="1"/>
  <c r="AN120" i="50"/>
  <c r="AN96" i="50" s="1"/>
  <c r="AK116" i="50"/>
  <c r="AK92" i="50" s="1"/>
  <c r="AJ116" i="50"/>
  <c r="AJ92" i="50" s="1"/>
  <c r="AN116" i="50"/>
  <c r="AN92" i="50" s="1"/>
  <c r="AK123" i="50"/>
  <c r="AK99" i="50" s="1"/>
  <c r="AJ123" i="50"/>
  <c r="AJ99" i="50" s="1"/>
  <c r="AN123" i="50"/>
  <c r="AN99" i="50" s="1"/>
  <c r="AK119" i="50"/>
  <c r="AK95" i="50" s="1"/>
  <c r="AJ119" i="50"/>
  <c r="AJ95" i="50" s="1"/>
  <c r="AN119" i="50"/>
  <c r="AN95" i="50" s="1"/>
  <c r="AK122" i="50"/>
  <c r="AK98" i="50" s="1"/>
  <c r="AJ122" i="50"/>
  <c r="AJ98" i="50" s="1"/>
  <c r="AN122" i="50"/>
  <c r="AN98" i="50" s="1"/>
  <c r="AK118" i="50"/>
  <c r="AK94" i="50" s="1"/>
  <c r="AJ118" i="50"/>
  <c r="AJ94" i="50" s="1"/>
  <c r="AN118" i="50"/>
  <c r="AN94" i="50" s="1"/>
  <c r="AK121" i="50"/>
  <c r="AK97" i="50" s="1"/>
  <c r="AJ121" i="50"/>
  <c r="AJ97" i="50" s="1"/>
  <c r="AN121" i="50"/>
  <c r="AN97" i="50" s="1"/>
  <c r="AK117" i="50"/>
  <c r="AK93" i="50" s="1"/>
  <c r="AJ117" i="50"/>
  <c r="AJ93" i="50" s="1"/>
  <c r="AN117" i="50"/>
  <c r="AN93" i="50" s="1"/>
  <c r="F301" i="7"/>
  <c r="H301" i="7"/>
  <c r="D301" i="7"/>
  <c r="E301" i="7"/>
  <c r="G301" i="7"/>
  <c r="I301" i="7"/>
  <c r="F294" i="7"/>
  <c r="H294" i="7"/>
  <c r="D294" i="7"/>
  <c r="E294" i="7"/>
  <c r="G294" i="7"/>
  <c r="I294" i="7"/>
  <c r="E79" i="7"/>
  <c r="G79" i="7"/>
  <c r="I79" i="7"/>
  <c r="F79" i="7"/>
  <c r="H79" i="7"/>
  <c r="D79" i="7"/>
  <c r="H156" i="7"/>
  <c r="X107" i="7" s="1"/>
  <c r="F156" i="7"/>
  <c r="V107" i="7" s="1"/>
  <c r="E155" i="7"/>
  <c r="O107" i="7" s="1"/>
  <c r="I156" i="7"/>
  <c r="Y107" i="7" s="1"/>
  <c r="E60" i="7"/>
  <c r="G60" i="7"/>
  <c r="I60" i="7"/>
  <c r="H60" i="7"/>
  <c r="F60" i="7"/>
  <c r="D60" i="7"/>
  <c r="K67" i="7"/>
  <c r="E89" i="7"/>
  <c r="G89" i="7"/>
  <c r="I89" i="7"/>
  <c r="F89" i="7"/>
  <c r="H89" i="7"/>
  <c r="D89" i="7"/>
  <c r="F148" i="7"/>
  <c r="V106" i="7" s="1"/>
  <c r="D148" i="7"/>
  <c r="T106" i="7" s="1"/>
  <c r="E148" i="7"/>
  <c r="U106" i="7" s="1"/>
  <c r="I147" i="7"/>
  <c r="S106" i="7" s="1"/>
  <c r="D147" i="7"/>
  <c r="N106" i="7" s="1"/>
  <c r="G148" i="7"/>
  <c r="W106" i="7" s="1"/>
  <c r="H148" i="7"/>
  <c r="X106" i="7" s="1"/>
  <c r="G147" i="7"/>
  <c r="Q106" i="7" s="1"/>
  <c r="D163" i="7"/>
  <c r="N108" i="7" s="1"/>
  <c r="F163" i="7"/>
  <c r="P108" i="7" s="1"/>
  <c r="H164" i="7"/>
  <c r="X108" i="7" s="1"/>
  <c r="H494" i="7"/>
  <c r="X354" i="7" s="1"/>
  <c r="D494" i="7"/>
  <c r="T354" i="7" s="1"/>
  <c r="F478" i="7"/>
  <c r="V352" i="7" s="1"/>
  <c r="E477" i="7"/>
  <c r="O352" i="7" s="1"/>
  <c r="G477" i="7"/>
  <c r="Q352" i="7" s="1"/>
  <c r="D461" i="7"/>
  <c r="N350" i="7" s="1"/>
  <c r="G461" i="7"/>
  <c r="Q350" i="7" s="1"/>
  <c r="I446" i="7"/>
  <c r="Y348" i="7" s="1"/>
  <c r="I445" i="7"/>
  <c r="S348" i="7" s="1"/>
  <c r="H219" i="7"/>
  <c r="R115" i="7" s="1"/>
  <c r="F219" i="7"/>
  <c r="P115" i="7" s="1"/>
  <c r="E220" i="7"/>
  <c r="U115" i="7" s="1"/>
  <c r="H502" i="7"/>
  <c r="X355" i="7" s="1"/>
  <c r="E502" i="7"/>
  <c r="U355" i="7" s="1"/>
  <c r="D485" i="7"/>
  <c r="N353" i="7" s="1"/>
  <c r="G485" i="7"/>
  <c r="Q353" i="7" s="1"/>
  <c r="D470" i="7"/>
  <c r="T351" i="7" s="1"/>
  <c r="E470" i="7"/>
  <c r="U351" i="7" s="1"/>
  <c r="H470" i="7"/>
  <c r="X351" i="7" s="1"/>
  <c r="H453" i="7"/>
  <c r="R349" i="7" s="1"/>
  <c r="F454" i="7"/>
  <c r="V349" i="7" s="1"/>
  <c r="G453" i="7"/>
  <c r="Q349" i="7" s="1"/>
  <c r="J89" i="50"/>
  <c r="Z89" i="50" s="1"/>
  <c r="C132" i="50" s="1"/>
  <c r="C140" i="50" s="1"/>
  <c r="J91" i="50"/>
  <c r="Z91" i="50" s="1"/>
  <c r="C166" i="50" s="1"/>
  <c r="C174" i="50" s="1"/>
  <c r="J95" i="50"/>
  <c r="Z95" i="50" s="1"/>
  <c r="C234" i="50" s="1"/>
  <c r="C242" i="50" s="1"/>
  <c r="AF459" i="50"/>
  <c r="AF71" i="50"/>
  <c r="AF463" i="50"/>
  <c r="J277" i="38"/>
  <c r="G229" i="38"/>
  <c r="F229" i="38"/>
  <c r="E133" i="38"/>
  <c r="E205" i="38"/>
  <c r="H325" i="38"/>
  <c r="N76" i="38"/>
  <c r="V76" i="38" s="1"/>
  <c r="L85" i="38" s="1"/>
  <c r="I133" i="38"/>
  <c r="J253" i="38"/>
  <c r="G157" i="38"/>
  <c r="G253" i="38"/>
  <c r="F253" i="38"/>
  <c r="D157" i="38"/>
  <c r="D277" i="38"/>
  <c r="I73" i="38"/>
  <c r="G325" i="38"/>
  <c r="J325" i="38"/>
  <c r="F325" i="38"/>
  <c r="R77" i="38"/>
  <c r="T77" i="38" s="1"/>
  <c r="J86" i="38" s="1"/>
  <c r="N77" i="38"/>
  <c r="V77" i="38" s="1"/>
  <c r="L86" i="38" s="1"/>
  <c r="J77" i="38"/>
  <c r="B26" i="1"/>
  <c r="G26" i="1" s="1"/>
  <c r="C24" i="38"/>
  <c r="B152" i="15"/>
  <c r="AG154" i="37"/>
  <c r="AG158" i="37"/>
  <c r="C31" i="38"/>
  <c r="D92" i="15" s="1"/>
  <c r="C28" i="38"/>
  <c r="D77" i="15"/>
  <c r="B77" i="15" s="1"/>
  <c r="C145" i="37"/>
  <c r="C147" i="37"/>
  <c r="C149" i="37"/>
  <c r="C151" i="37"/>
  <c r="C153" i="37"/>
  <c r="C155" i="37"/>
  <c r="C157" i="37"/>
  <c r="C159" i="37"/>
  <c r="C161" i="37"/>
  <c r="C163" i="37"/>
  <c r="AF144" i="37"/>
  <c r="AF146" i="37"/>
  <c r="AG146" i="37" s="1"/>
  <c r="AF147" i="37"/>
  <c r="E89" i="37" s="1"/>
  <c r="AA53" i="38"/>
  <c r="C19" i="38" s="1"/>
  <c r="D156" i="37"/>
  <c r="D153" i="37"/>
  <c r="D157" i="37"/>
  <c r="D161" i="37"/>
  <c r="D152" i="37"/>
  <c r="D158" i="37"/>
  <c r="E51" i="37"/>
  <c r="E48" i="37"/>
  <c r="C44" i="38"/>
  <c r="E46" i="1"/>
  <c r="I97" i="38"/>
  <c r="J42" i="37"/>
  <c r="AA56" i="38"/>
  <c r="B139" i="15" s="1"/>
  <c r="AA60" i="38"/>
  <c r="C26" i="38" s="1"/>
  <c r="AA66" i="38"/>
  <c r="B149" i="15" s="1"/>
  <c r="AA55" i="38"/>
  <c r="B138" i="15" s="1"/>
  <c r="AA59" i="38"/>
  <c r="B142" i="15" s="1"/>
  <c r="AA63" i="38"/>
  <c r="B146" i="15" s="1"/>
  <c r="AA67" i="38"/>
  <c r="B150" i="15" s="1"/>
  <c r="AA64" i="38"/>
  <c r="C30" i="38" s="1"/>
  <c r="E87" i="37"/>
  <c r="O87" i="37" s="1"/>
  <c r="E91" i="37"/>
  <c r="J91" i="37" s="1"/>
  <c r="E93" i="37"/>
  <c r="N93" i="37" s="1"/>
  <c r="E95" i="37"/>
  <c r="R95" i="37" s="1"/>
  <c r="E99" i="37"/>
  <c r="M99" i="37" s="1"/>
  <c r="E103" i="37"/>
  <c r="H103" i="37" s="1"/>
  <c r="F53" i="15"/>
  <c r="M53" i="15"/>
  <c r="P53" i="15"/>
  <c r="J56" i="15"/>
  <c r="I56" i="15"/>
  <c r="N56" i="15"/>
  <c r="J54" i="15"/>
  <c r="M54" i="15"/>
  <c r="P54" i="15"/>
  <c r="P66" i="15"/>
  <c r="Q60" i="15"/>
  <c r="O62" i="15"/>
  <c r="Q64" i="15"/>
  <c r="Q66" i="15"/>
  <c r="J58" i="15"/>
  <c r="E62" i="15"/>
  <c r="H64" i="15"/>
  <c r="J66" i="15"/>
  <c r="J62" i="15"/>
  <c r="I58" i="15"/>
  <c r="I66" i="15"/>
  <c r="L67" i="15"/>
  <c r="H67" i="15"/>
  <c r="P61" i="15"/>
  <c r="O65" i="15"/>
  <c r="M61" i="15"/>
  <c r="H65" i="15"/>
  <c r="G63" i="15"/>
  <c r="Q176" i="15"/>
  <c r="Q175" i="15"/>
  <c r="Q174" i="15"/>
  <c r="Q172" i="15"/>
  <c r="Q171" i="15"/>
  <c r="R171" i="15" s="1"/>
  <c r="E344" i="15" s="1"/>
  <c r="Q170" i="15"/>
  <c r="Q168" i="15"/>
  <c r="Q166" i="15"/>
  <c r="Q165" i="15"/>
  <c r="Q164" i="15"/>
  <c r="Q163" i="15"/>
  <c r="N178" i="15"/>
  <c r="J488" i="50"/>
  <c r="Z488" i="50" s="1"/>
  <c r="C595" i="50" s="1"/>
  <c r="C603" i="50" s="1"/>
  <c r="J490" i="50"/>
  <c r="Z490" i="50" s="1"/>
  <c r="C629" i="50" s="1"/>
  <c r="C637" i="50" s="1"/>
  <c r="J492" i="50"/>
  <c r="Z492" i="50" s="1"/>
  <c r="C663" i="50" s="1"/>
  <c r="C671" i="50" s="1"/>
  <c r="J92" i="50"/>
  <c r="Z92" i="50" s="1"/>
  <c r="C183" i="50" s="1"/>
  <c r="C191" i="50" s="1"/>
  <c r="AF69" i="50"/>
  <c r="AF461" i="50"/>
  <c r="AF465" i="50"/>
  <c r="C3" i="38"/>
  <c r="D3" i="56"/>
  <c r="D3" i="15"/>
  <c r="S55" i="38"/>
  <c r="S66" i="38"/>
  <c r="S69" i="38"/>
  <c r="V70" i="38"/>
  <c r="X70" i="38"/>
  <c r="R64" i="38"/>
  <c r="T64" i="38" s="1"/>
  <c r="R68" i="38"/>
  <c r="T68" i="38" s="1"/>
  <c r="K77" i="38"/>
  <c r="K75" i="38"/>
  <c r="E229" i="38"/>
  <c r="H205" i="38"/>
  <c r="G205" i="38"/>
  <c r="J181" i="38"/>
  <c r="G181" i="38"/>
  <c r="J157" i="38"/>
  <c r="H157" i="38"/>
  <c r="F157" i="38"/>
  <c r="J145" i="38"/>
  <c r="H145" i="38"/>
  <c r="F145" i="38"/>
  <c r="L77" i="38"/>
  <c r="I77" i="38"/>
  <c r="T56" i="38"/>
  <c r="S56" i="38"/>
  <c r="T57" i="38"/>
  <c r="S57" i="38"/>
  <c r="S62" i="38"/>
  <c r="S74" i="38"/>
  <c r="I83" i="38" s="1"/>
  <c r="S53" i="38"/>
  <c r="T53" i="38"/>
  <c r="I181" i="38"/>
  <c r="I157" i="38"/>
  <c r="I205" i="38"/>
  <c r="J133" i="38"/>
  <c r="I277" i="38"/>
  <c r="I253" i="38"/>
  <c r="I229" i="38"/>
  <c r="H133" i="38"/>
  <c r="H277" i="38"/>
  <c r="H253" i="38"/>
  <c r="G133" i="38"/>
  <c r="G277" i="38"/>
  <c r="F205" i="38"/>
  <c r="F133" i="38"/>
  <c r="F277" i="38"/>
  <c r="E253" i="38"/>
  <c r="D181" i="38"/>
  <c r="S54" i="38"/>
  <c r="N74" i="38"/>
  <c r="S59" i="38"/>
  <c r="R75" i="38"/>
  <c r="T75" i="38" s="1"/>
  <c r="J84" i="38" s="1"/>
  <c r="J75" i="38"/>
  <c r="L75" i="38"/>
  <c r="M74" i="38"/>
  <c r="S67" i="38"/>
  <c r="P158" i="15"/>
  <c r="J53" i="15"/>
  <c r="H53" i="15"/>
  <c r="O53" i="15"/>
  <c r="I53" i="15"/>
  <c r="E53" i="15"/>
  <c r="O56" i="15"/>
  <c r="F56" i="15"/>
  <c r="M56" i="15"/>
  <c r="G56" i="15"/>
  <c r="P56" i="15"/>
  <c r="H54" i="15"/>
  <c r="F54" i="15"/>
  <c r="O54" i="15"/>
  <c r="I54" i="15"/>
  <c r="E54" i="15"/>
  <c r="N58" i="15"/>
  <c r="N60" i="15"/>
  <c r="N62" i="15"/>
  <c r="N64" i="15"/>
  <c r="N66" i="15"/>
  <c r="Q58" i="15"/>
  <c r="M58" i="15"/>
  <c r="O60" i="15"/>
  <c r="Q62" i="15"/>
  <c r="M62" i="15"/>
  <c r="O64" i="15"/>
  <c r="O66" i="15"/>
  <c r="H58" i="15"/>
  <c r="E60" i="15"/>
  <c r="I60" i="15"/>
  <c r="G62" i="15"/>
  <c r="F64" i="15"/>
  <c r="J64" i="15"/>
  <c r="H66" i="15"/>
  <c r="G58" i="15"/>
  <c r="F62" i="15"/>
  <c r="E64" i="15"/>
  <c r="G66" i="15"/>
  <c r="F60" i="15"/>
  <c r="G64" i="15"/>
  <c r="E66" i="15"/>
  <c r="J178" i="15"/>
  <c r="M57" i="15"/>
  <c r="G57" i="15"/>
  <c r="H55" i="15"/>
  <c r="G55" i="15"/>
  <c r="Q160" i="15"/>
  <c r="O67" i="15"/>
  <c r="P67" i="15"/>
  <c r="F67" i="15"/>
  <c r="N65" i="15"/>
  <c r="Q61" i="15"/>
  <c r="M63" i="15"/>
  <c r="F63" i="15"/>
  <c r="G59" i="15"/>
  <c r="E61" i="15"/>
  <c r="I65" i="15"/>
  <c r="J65" i="15"/>
  <c r="F61" i="15"/>
  <c r="H1" i="15"/>
  <c r="G405" i="7"/>
  <c r="Q343" i="7" s="1"/>
  <c r="F406" i="7"/>
  <c r="V343" i="7" s="1"/>
  <c r="I406" i="7"/>
  <c r="Y343" i="7" s="1"/>
  <c r="H406" i="7"/>
  <c r="X343" i="7" s="1"/>
  <c r="E430" i="7"/>
  <c r="U346" i="7" s="1"/>
  <c r="F430" i="7"/>
  <c r="V346" i="7" s="1"/>
  <c r="H430" i="7"/>
  <c r="X346" i="7" s="1"/>
  <c r="G430" i="7"/>
  <c r="W346" i="7" s="1"/>
  <c r="I413" i="7"/>
  <c r="S344" i="7" s="1"/>
  <c r="D414" i="7"/>
  <c r="T344" i="7" s="1"/>
  <c r="E413" i="7"/>
  <c r="O344" i="7" s="1"/>
  <c r="F414" i="7"/>
  <c r="V344" i="7" s="1"/>
  <c r="G421" i="7"/>
  <c r="Q345" i="7" s="1"/>
  <c r="H422" i="7"/>
  <c r="X345" i="7" s="1"/>
  <c r="I422" i="7"/>
  <c r="Y345" i="7" s="1"/>
  <c r="D421" i="7"/>
  <c r="N345" i="7" s="1"/>
  <c r="I251" i="7"/>
  <c r="S119" i="7" s="1"/>
  <c r="G204" i="7"/>
  <c r="W113" i="7" s="1"/>
  <c r="I203" i="7"/>
  <c r="S113" i="7" s="1"/>
  <c r="I204" i="7"/>
  <c r="Y113" i="7" s="1"/>
  <c r="G203" i="7"/>
  <c r="Q113" i="7" s="1"/>
  <c r="F203" i="7"/>
  <c r="P113" i="7" s="1"/>
  <c r="E203" i="7"/>
  <c r="O113" i="7" s="1"/>
  <c r="H204" i="7"/>
  <c r="X113" i="7" s="1"/>
  <c r="D204" i="7"/>
  <c r="T113" i="7" s="1"/>
  <c r="H187" i="7"/>
  <c r="R111" i="7" s="1"/>
  <c r="E187" i="7"/>
  <c r="O111" i="7" s="1"/>
  <c r="G187" i="7"/>
  <c r="Q111" i="7" s="1"/>
  <c r="F188" i="7"/>
  <c r="V111" i="7" s="1"/>
  <c r="D187" i="7"/>
  <c r="N111" i="7" s="1"/>
  <c r="F172" i="7"/>
  <c r="V109" i="7" s="1"/>
  <c r="D171" i="7"/>
  <c r="N109" i="7" s="1"/>
  <c r="H171" i="7"/>
  <c r="R109" i="7" s="1"/>
  <c r="I171" i="7"/>
  <c r="S109" i="7" s="1"/>
  <c r="E172" i="7"/>
  <c r="U109" i="7" s="1"/>
  <c r="G172" i="7"/>
  <c r="W109" i="7" s="1"/>
  <c r="I195" i="7"/>
  <c r="S112" i="7" s="1"/>
  <c r="E195" i="7"/>
  <c r="O112" i="7" s="1"/>
  <c r="F196" i="7"/>
  <c r="V112" i="7" s="1"/>
  <c r="D196" i="7"/>
  <c r="T112" i="7" s="1"/>
  <c r="F195" i="7"/>
  <c r="P112" i="7" s="1"/>
  <c r="H196" i="7"/>
  <c r="X112" i="7" s="1"/>
  <c r="F180" i="7"/>
  <c r="V110" i="7" s="1"/>
  <c r="I180" i="7"/>
  <c r="Y110" i="7" s="1"/>
  <c r="G180" i="7"/>
  <c r="W110" i="7" s="1"/>
  <c r="I179" i="7"/>
  <c r="S110" i="7" s="1"/>
  <c r="D180" i="7"/>
  <c r="T110" i="7" s="1"/>
  <c r="H179" i="7"/>
  <c r="R110" i="7" s="1"/>
  <c r="E156" i="7"/>
  <c r="U107" i="7" s="1"/>
  <c r="G155" i="7"/>
  <c r="Q107" i="7" s="1"/>
  <c r="D155" i="7"/>
  <c r="N107" i="7" s="1"/>
  <c r="F155" i="7"/>
  <c r="P107" i="7" s="1"/>
  <c r="F147" i="7"/>
  <c r="P106" i="7" s="1"/>
  <c r="H147" i="7"/>
  <c r="R106" i="7" s="1"/>
  <c r="E147" i="7"/>
  <c r="O106" i="7" s="1"/>
  <c r="I148" i="7"/>
  <c r="Y106" i="7" s="1"/>
  <c r="D164" i="7"/>
  <c r="T108" i="7" s="1"/>
  <c r="F164" i="7"/>
  <c r="V108" i="7" s="1"/>
  <c r="H212" i="7"/>
  <c r="X114" i="7" s="1"/>
  <c r="G219" i="7"/>
  <c r="Q115" i="7" s="1"/>
  <c r="G163" i="7"/>
  <c r="Q108" i="7" s="1"/>
  <c r="E421" i="7"/>
  <c r="O345" i="7" s="1"/>
  <c r="D422" i="7"/>
  <c r="T345" i="7" s="1"/>
  <c r="D406" i="7"/>
  <c r="T343" i="7" s="1"/>
  <c r="G494" i="7"/>
  <c r="W354" i="7" s="1"/>
  <c r="H413" i="7"/>
  <c r="R344" i="7" s="1"/>
  <c r="F422" i="7"/>
  <c r="V345" i="7" s="1"/>
  <c r="I405" i="7"/>
  <c r="S343" i="7" s="1"/>
  <c r="F405" i="7"/>
  <c r="P343" i="7" s="1"/>
  <c r="E414" i="7"/>
  <c r="U344" i="7" s="1"/>
  <c r="D469" i="7"/>
  <c r="N351" i="7" s="1"/>
  <c r="F486" i="7"/>
  <c r="V353" i="7" s="1"/>
  <c r="I478" i="7"/>
  <c r="Y352" i="7" s="1"/>
  <c r="G454" i="7"/>
  <c r="W349" i="7" s="1"/>
  <c r="D462" i="7"/>
  <c r="T350" i="7" s="1"/>
  <c r="F429" i="7"/>
  <c r="P346" i="7" s="1"/>
  <c r="D501" i="7"/>
  <c r="N355" i="7" s="1"/>
  <c r="H469" i="7"/>
  <c r="R351" i="7" s="1"/>
  <c r="D477" i="7"/>
  <c r="N352" i="7" s="1"/>
  <c r="I493" i="7"/>
  <c r="S354" i="7" s="1"/>
  <c r="F462" i="7"/>
  <c r="V350" i="7" s="1"/>
  <c r="I429" i="7"/>
  <c r="S346" i="7" s="1"/>
  <c r="H429" i="7"/>
  <c r="R346" i="7" s="1"/>
  <c r="K300" i="7"/>
  <c r="DD229" i="47"/>
  <c r="DD215" i="47"/>
  <c r="DD217" i="47"/>
  <c r="DD244" i="47"/>
  <c r="DD242" i="47"/>
  <c r="DD240" i="47"/>
  <c r="DD238" i="47"/>
  <c r="DD236" i="47"/>
  <c r="DD234" i="47"/>
  <c r="DD232" i="47"/>
  <c r="DD230" i="47"/>
  <c r="DD213" i="47"/>
  <c r="DD211" i="47"/>
  <c r="DD209" i="47"/>
  <c r="DD207" i="47"/>
  <c r="DD205" i="47"/>
  <c r="DD220" i="47"/>
  <c r="E178" i="47"/>
  <c r="E140" i="47"/>
  <c r="E106" i="47"/>
  <c r="J83" i="47"/>
  <c r="J11" i="47" s="1"/>
  <c r="AQ10" i="14" s="1"/>
  <c r="DD214" i="47"/>
  <c r="DD216" i="47"/>
  <c r="DD219" i="47"/>
  <c r="DD218" i="47"/>
  <c r="DD243" i="47"/>
  <c r="DD241" i="47"/>
  <c r="DD239" i="47"/>
  <c r="DD237" i="47"/>
  <c r="DD235" i="47"/>
  <c r="DD233" i="47"/>
  <c r="DD231" i="47"/>
  <c r="DD212" i="47"/>
  <c r="DD210" i="47"/>
  <c r="DD208" i="47"/>
  <c r="DD206" i="47"/>
  <c r="DD204" i="47"/>
  <c r="DD246" i="47"/>
  <c r="DD221" i="47"/>
  <c r="DD245" i="47"/>
  <c r="H61" i="49"/>
  <c r="H10" i="49" s="1"/>
  <c r="AO19" i="14" s="1"/>
  <c r="F42" i="58"/>
  <c r="J46" i="58"/>
  <c r="L48" i="58"/>
  <c r="Q36" i="58"/>
  <c r="Q52" i="58" s="1"/>
  <c r="H44" i="58"/>
  <c r="M49" i="58"/>
  <c r="I45" i="58"/>
  <c r="P35" i="58"/>
  <c r="E345" i="56"/>
  <c r="D26" i="60"/>
  <c r="D27" i="60" s="1"/>
  <c r="D224" i="60"/>
  <c r="D225" i="60" s="1"/>
  <c r="E70" i="47"/>
  <c r="D290" i="60"/>
  <c r="D291" i="60" s="1"/>
  <c r="D334" i="60"/>
  <c r="D335" i="60" s="1"/>
  <c r="D510" i="60"/>
  <c r="D511" i="60" s="1"/>
  <c r="D488" i="60"/>
  <c r="D489" i="60" s="1"/>
  <c r="D554" i="60"/>
  <c r="D555" i="60" s="1"/>
  <c r="D246" i="60"/>
  <c r="D247" i="60" s="1"/>
  <c r="D268" i="60"/>
  <c r="D269" i="60" s="1"/>
  <c r="D356" i="60"/>
  <c r="D357" i="60" s="1"/>
  <c r="D158" i="60"/>
  <c r="D159" i="60" s="1"/>
  <c r="D92" i="60"/>
  <c r="D93" i="60" s="1"/>
  <c r="D466" i="60"/>
  <c r="D467" i="60" s="1"/>
  <c r="D202" i="60"/>
  <c r="D203" i="60" s="1"/>
  <c r="D532" i="60"/>
  <c r="D533" i="60" s="1"/>
  <c r="D400" i="60"/>
  <c r="D401" i="60" s="1"/>
  <c r="D312" i="60"/>
  <c r="D313" i="60" s="1"/>
  <c r="D378" i="60"/>
  <c r="D379" i="60" s="1"/>
  <c r="D422" i="60"/>
  <c r="D423" i="60" s="1"/>
  <c r="D136" i="60"/>
  <c r="D137" i="60" s="1"/>
  <c r="D180" i="60"/>
  <c r="D181" i="60" s="1"/>
  <c r="D114" i="60"/>
  <c r="D115" i="60" s="1"/>
  <c r="D70" i="60"/>
  <c r="D71" i="60" s="1"/>
  <c r="D48" i="60"/>
  <c r="D49" i="60" s="1"/>
  <c r="F193" i="3"/>
  <c r="AR62" i="14"/>
  <c r="BB69" i="14"/>
  <c r="BB108" i="14" s="1"/>
  <c r="AR63" i="14"/>
  <c r="AR102" i="14" s="1"/>
  <c r="AR61" i="14"/>
  <c r="J345" i="3"/>
  <c r="J117" i="3"/>
  <c r="F172" i="47"/>
  <c r="F175" i="47" s="1"/>
  <c r="F178" i="47" s="1"/>
  <c r="F26" i="49"/>
  <c r="G26" i="49" s="1"/>
  <c r="G29" i="49" s="1"/>
  <c r="E141" i="47"/>
  <c r="D2" i="1"/>
  <c r="E2" i="60"/>
  <c r="D3" i="1"/>
  <c r="E3" i="60"/>
  <c r="I269" i="56"/>
  <c r="I155" i="56"/>
  <c r="H155" i="3"/>
  <c r="F269" i="3"/>
  <c r="H383" i="3"/>
  <c r="G193" i="56"/>
  <c r="G307" i="56"/>
  <c r="E79" i="56"/>
  <c r="F284" i="7"/>
  <c r="V123" i="7" s="1"/>
  <c r="D283" i="7"/>
  <c r="N123" i="7" s="1"/>
  <c r="F244" i="7"/>
  <c r="V118" i="7" s="1"/>
  <c r="D243" i="7"/>
  <c r="N118" i="7" s="1"/>
  <c r="F518" i="7"/>
  <c r="V357" i="7" s="1"/>
  <c r="D517" i="7"/>
  <c r="N357" i="7" s="1"/>
  <c r="H446" i="7"/>
  <c r="X348" i="7" s="1"/>
  <c r="F446" i="7"/>
  <c r="V348" i="7" s="1"/>
  <c r="G445" i="7"/>
  <c r="Q348" i="7" s="1"/>
  <c r="D484" i="50"/>
  <c r="D66" i="15"/>
  <c r="D64" i="15"/>
  <c r="D62" i="15"/>
  <c r="D60" i="15"/>
  <c r="D58" i="15"/>
  <c r="B58" i="15" s="1"/>
  <c r="D56" i="15"/>
  <c r="D54" i="15"/>
  <c r="D52" i="15"/>
  <c r="E211" i="7"/>
  <c r="O114" i="7" s="1"/>
  <c r="D212" i="7"/>
  <c r="T114" i="7" s="1"/>
  <c r="I212" i="7"/>
  <c r="Y114" i="7" s="1"/>
  <c r="G212" i="7"/>
  <c r="W114" i="7" s="1"/>
  <c r="E501" i="7"/>
  <c r="O355" i="7" s="1"/>
  <c r="H501" i="7"/>
  <c r="R355" i="7" s="1"/>
  <c r="I470" i="7"/>
  <c r="Y351" i="7" s="1"/>
  <c r="H485" i="7"/>
  <c r="R353" i="7" s="1"/>
  <c r="H486" i="7"/>
  <c r="X353" i="7" s="1"/>
  <c r="I477" i="7"/>
  <c r="S352" i="7" s="1"/>
  <c r="F494" i="7"/>
  <c r="V354" i="7" s="1"/>
  <c r="E493" i="7"/>
  <c r="O354" i="7" s="1"/>
  <c r="I454" i="7"/>
  <c r="Y349" i="7" s="1"/>
  <c r="H461" i="7"/>
  <c r="R350" i="7" s="1"/>
  <c r="E461" i="7"/>
  <c r="O350" i="7" s="1"/>
  <c r="I501" i="7"/>
  <c r="S355" i="7" s="1"/>
  <c r="I485" i="7"/>
  <c r="S353" i="7" s="1"/>
  <c r="E454" i="7"/>
  <c r="U349" i="7" s="1"/>
  <c r="H44" i="49"/>
  <c r="H9" i="49" s="1"/>
  <c r="AO18" i="14" s="1"/>
  <c r="E44" i="49"/>
  <c r="E9" i="49" s="1"/>
  <c r="AL18" i="14" s="1"/>
  <c r="I44" i="51"/>
  <c r="I9" i="51" s="1"/>
  <c r="AP28" i="14" s="1"/>
  <c r="J44" i="51"/>
  <c r="J9" i="51" s="1"/>
  <c r="AQ28" i="14" s="1"/>
  <c r="D275" i="7"/>
  <c r="N122" i="7" s="1"/>
  <c r="D50" i="15"/>
  <c r="AA51" i="38"/>
  <c r="C17" i="38" s="1"/>
  <c r="D78" i="15" s="1"/>
  <c r="D48" i="15"/>
  <c r="D88" i="50"/>
  <c r="Y88" i="50" s="1"/>
  <c r="D489" i="50"/>
  <c r="Y489" i="50" s="1"/>
  <c r="D67" i="15"/>
  <c r="B67" i="15" s="1"/>
  <c r="D65" i="15"/>
  <c r="B65" i="15" s="1"/>
  <c r="D63" i="15"/>
  <c r="B63" i="15" s="1"/>
  <c r="D61" i="15"/>
  <c r="B61" i="15" s="1"/>
  <c r="D59" i="15"/>
  <c r="B59" i="15" s="1"/>
  <c r="D57" i="15"/>
  <c r="D55" i="15"/>
  <c r="D53" i="15"/>
  <c r="B53" i="15" s="1"/>
  <c r="D51" i="15"/>
  <c r="B51" i="15" s="1"/>
  <c r="D49" i="15"/>
  <c r="C146" i="37"/>
  <c r="K1" i="60"/>
  <c r="J88" i="50"/>
  <c r="Z88" i="50" s="1"/>
  <c r="C115" i="50" s="1"/>
  <c r="C123" i="50" s="1"/>
  <c r="J90" i="50"/>
  <c r="Z90" i="50" s="1"/>
  <c r="C149" i="50" s="1"/>
  <c r="C157" i="50" s="1"/>
  <c r="AC458" i="50"/>
  <c r="AC460" i="50"/>
  <c r="AC464" i="50"/>
  <c r="B125" i="15"/>
  <c r="I101" i="15" s="1"/>
  <c r="N55" i="15"/>
  <c r="E55" i="15"/>
  <c r="I55" i="15"/>
  <c r="O55" i="15"/>
  <c r="Q55" i="15"/>
  <c r="J55" i="15"/>
  <c r="N57" i="15"/>
  <c r="E57" i="15"/>
  <c r="I57" i="15"/>
  <c r="H57" i="15"/>
  <c r="Q57" i="15"/>
  <c r="J57" i="15"/>
  <c r="Q67" i="15"/>
  <c r="N67" i="15"/>
  <c r="E67" i="15"/>
  <c r="I67" i="15"/>
  <c r="P59" i="15"/>
  <c r="L61" i="15"/>
  <c r="P63" i="15"/>
  <c r="P65" i="15"/>
  <c r="Q63" i="15"/>
  <c r="M65" i="15"/>
  <c r="Q65" i="15"/>
  <c r="Q59" i="15"/>
  <c r="M59" i="15"/>
  <c r="O61" i="15"/>
  <c r="O63" i="15"/>
  <c r="F59" i="15"/>
  <c r="H61" i="15"/>
  <c r="J63" i="15"/>
  <c r="I59" i="15"/>
  <c r="E59" i="15"/>
  <c r="G61" i="15"/>
  <c r="I63" i="15"/>
  <c r="E63" i="15"/>
  <c r="G65" i="15"/>
  <c r="L65" i="15"/>
  <c r="I181" i="15"/>
  <c r="E58" i="15"/>
  <c r="I275" i="7"/>
  <c r="S122" i="7" s="1"/>
  <c r="D251" i="7"/>
  <c r="N119" i="7" s="1"/>
  <c r="I283" i="7"/>
  <c r="S123" i="7" s="1"/>
  <c r="H27" i="51"/>
  <c r="H8" i="51" s="1"/>
  <c r="AO27" i="14" s="1"/>
  <c r="E35" i="37"/>
  <c r="C293" i="34" s="1"/>
  <c r="P293" i="34" s="1"/>
  <c r="L293" i="34" s="1"/>
  <c r="E66" i="37"/>
  <c r="E65" i="37"/>
  <c r="K65" i="37" s="1"/>
  <c r="AK134" i="37"/>
  <c r="E64" i="37"/>
  <c r="K64" i="37" s="1"/>
  <c r="AP133" i="37"/>
  <c r="E62" i="37"/>
  <c r="M62" i="37" s="1"/>
  <c r="AO131" i="37"/>
  <c r="E61" i="37"/>
  <c r="N61" i="37" s="1"/>
  <c r="E60" i="37"/>
  <c r="I60" i="37" s="1"/>
  <c r="AK129" i="37"/>
  <c r="E58" i="37"/>
  <c r="M58" i="37" s="1"/>
  <c r="E57" i="37"/>
  <c r="F57" i="37" s="1"/>
  <c r="E56" i="37"/>
  <c r="AM125" i="37"/>
  <c r="E55" i="37"/>
  <c r="M55" i="37" s="1"/>
  <c r="E54" i="37"/>
  <c r="Q54" i="37" s="1"/>
  <c r="AR123" i="37"/>
  <c r="E21" i="37"/>
  <c r="C109" i="7" s="1"/>
  <c r="E52" i="37"/>
  <c r="E19" i="37"/>
  <c r="C277" i="43" s="1"/>
  <c r="E18" i="37"/>
  <c r="C52" i="43" s="1"/>
  <c r="E16" i="37"/>
  <c r="C274" i="43" s="1"/>
  <c r="J193" i="3"/>
  <c r="H307" i="3"/>
  <c r="F79" i="3"/>
  <c r="F117" i="3"/>
  <c r="J269" i="3"/>
  <c r="F345" i="3"/>
  <c r="F41" i="56"/>
  <c r="G117" i="56"/>
  <c r="G231" i="56"/>
  <c r="I345" i="56"/>
  <c r="I79" i="56"/>
  <c r="E155" i="56"/>
  <c r="E269" i="56"/>
  <c r="G383" i="56"/>
  <c r="J41" i="56"/>
  <c r="H41" i="56"/>
  <c r="G79" i="56"/>
  <c r="E117" i="56"/>
  <c r="I193" i="56"/>
  <c r="E231" i="56"/>
  <c r="I307" i="56"/>
  <c r="G345" i="56"/>
  <c r="I41" i="56"/>
  <c r="I117" i="56"/>
  <c r="G155" i="56"/>
  <c r="E193" i="56"/>
  <c r="G269" i="56"/>
  <c r="E307" i="56"/>
  <c r="I383" i="56"/>
  <c r="H41" i="3"/>
  <c r="J155" i="3"/>
  <c r="H193" i="3"/>
  <c r="H231" i="3"/>
  <c r="H269" i="3"/>
  <c r="F307" i="3"/>
  <c r="J383" i="3"/>
  <c r="H117" i="3"/>
  <c r="F155" i="3"/>
  <c r="J231" i="3"/>
  <c r="F231" i="3"/>
  <c r="J307" i="3"/>
  <c r="H345" i="3"/>
  <c r="F383" i="3"/>
  <c r="H79" i="3"/>
  <c r="F41" i="3"/>
  <c r="J41" i="3"/>
  <c r="J27" i="51"/>
  <c r="J8" i="51" s="1"/>
  <c r="AQ27" i="14" s="1"/>
  <c r="E41" i="56"/>
  <c r="J79" i="56"/>
  <c r="F79" i="56"/>
  <c r="H117" i="56"/>
  <c r="J155" i="56"/>
  <c r="F155" i="56"/>
  <c r="H193" i="56"/>
  <c r="J231" i="56"/>
  <c r="H231" i="56"/>
  <c r="J269" i="56"/>
  <c r="F269" i="56"/>
  <c r="H307" i="56"/>
  <c r="J345" i="56"/>
  <c r="F345" i="56"/>
  <c r="H383" i="56"/>
  <c r="E383" i="56"/>
  <c r="G41" i="56"/>
  <c r="H79" i="56"/>
  <c r="J117" i="56"/>
  <c r="F117" i="56"/>
  <c r="H155" i="56"/>
  <c r="J193" i="56"/>
  <c r="F193" i="56"/>
  <c r="I231" i="56"/>
  <c r="F231" i="56"/>
  <c r="H269" i="56"/>
  <c r="J307" i="56"/>
  <c r="F307" i="56"/>
  <c r="H345" i="56"/>
  <c r="J383" i="56"/>
  <c r="F383" i="56"/>
  <c r="E79" i="3"/>
  <c r="I79" i="3"/>
  <c r="I41" i="3"/>
  <c r="E41" i="3"/>
  <c r="G117" i="3"/>
  <c r="I155" i="3"/>
  <c r="E155" i="3"/>
  <c r="G193" i="3"/>
  <c r="I231" i="3"/>
  <c r="E231" i="3"/>
  <c r="G269" i="3"/>
  <c r="I307" i="3"/>
  <c r="E307" i="3"/>
  <c r="G345" i="3"/>
  <c r="I383" i="3"/>
  <c r="E383" i="3"/>
  <c r="G79" i="3"/>
  <c r="J79" i="3"/>
  <c r="G41" i="3"/>
  <c r="I117" i="3"/>
  <c r="E117" i="3"/>
  <c r="G155" i="3"/>
  <c r="I193" i="3"/>
  <c r="E193" i="3"/>
  <c r="G231" i="3"/>
  <c r="I269" i="3"/>
  <c r="E269" i="3"/>
  <c r="G307" i="3"/>
  <c r="I345" i="3"/>
  <c r="E345" i="3"/>
  <c r="G383" i="3"/>
  <c r="G112" i="51"/>
  <c r="G13" i="51" s="1"/>
  <c r="AN32" i="14" s="1"/>
  <c r="E112" i="51"/>
  <c r="E13" i="51" s="1"/>
  <c r="AL32" i="14" s="1"/>
  <c r="F180" i="51"/>
  <c r="F17" i="51" s="1"/>
  <c r="AM36" i="14" s="1"/>
  <c r="I180" i="51"/>
  <c r="I17" i="51" s="1"/>
  <c r="AP36" i="14" s="1"/>
  <c r="E67" i="37"/>
  <c r="M67" i="37" s="1"/>
  <c r="E31" i="37"/>
  <c r="C119" i="7" s="1"/>
  <c r="E63" i="37"/>
  <c r="M63" i="37" s="1"/>
  <c r="E129" i="49"/>
  <c r="E14" i="49" s="1"/>
  <c r="AL23" i="14" s="1"/>
  <c r="G61" i="51"/>
  <c r="G10" i="51" s="1"/>
  <c r="AN29" i="14" s="1"/>
  <c r="I267" i="7"/>
  <c r="S121" i="7" s="1"/>
  <c r="D267" i="7"/>
  <c r="N121" i="7" s="1"/>
  <c r="I259" i="7"/>
  <c r="S120" i="7" s="1"/>
  <c r="D259" i="7"/>
  <c r="N120" i="7" s="1"/>
  <c r="I235" i="7"/>
  <c r="S117" i="7" s="1"/>
  <c r="D235" i="7"/>
  <c r="N117" i="7" s="1"/>
  <c r="I227" i="7"/>
  <c r="S116" i="7" s="1"/>
  <c r="D227" i="7"/>
  <c r="N116" i="7" s="1"/>
  <c r="I509" i="7"/>
  <c r="S356" i="7" s="1"/>
  <c r="D509" i="7"/>
  <c r="N356" i="7" s="1"/>
  <c r="E27" i="51"/>
  <c r="E8" i="51" s="1"/>
  <c r="AL27" i="14" s="1"/>
  <c r="G27" i="51"/>
  <c r="G8" i="51" s="1"/>
  <c r="AN27" i="14" s="1"/>
  <c r="I27" i="51"/>
  <c r="I8" i="51" s="1"/>
  <c r="AP27" i="14" s="1"/>
  <c r="Z74" i="38"/>
  <c r="F27" i="49"/>
  <c r="F8" i="49" s="1"/>
  <c r="AM17" i="14" s="1"/>
  <c r="J27" i="49"/>
  <c r="J8" i="49" s="1"/>
  <c r="AQ17" i="14" s="1"/>
  <c r="I27" i="49"/>
  <c r="I8" i="49" s="1"/>
  <c r="AP17" i="14" s="1"/>
  <c r="D87" i="49"/>
  <c r="AF11" i="14" s="1"/>
  <c r="F95" i="49"/>
  <c r="F12" i="49" s="1"/>
  <c r="AM21" i="14" s="1"/>
  <c r="J95" i="49"/>
  <c r="J12" i="49" s="1"/>
  <c r="AQ21" i="14" s="1"/>
  <c r="I95" i="49"/>
  <c r="I12" i="49" s="1"/>
  <c r="AP21" i="14" s="1"/>
  <c r="D87" i="51"/>
  <c r="AG11" i="14" s="1"/>
  <c r="I95" i="51"/>
  <c r="I12" i="51" s="1"/>
  <c r="AP31" i="14" s="1"/>
  <c r="F95" i="51"/>
  <c r="F12" i="51" s="1"/>
  <c r="AM31" i="14" s="1"/>
  <c r="J95" i="51"/>
  <c r="J12" i="51" s="1"/>
  <c r="AQ31" i="14" s="1"/>
  <c r="H146" i="51"/>
  <c r="H15" i="51" s="1"/>
  <c r="AO34" i="14" s="1"/>
  <c r="E146" i="51"/>
  <c r="E15" i="51" s="1"/>
  <c r="AL34" i="14" s="1"/>
  <c r="H163" i="49"/>
  <c r="H16" i="49" s="1"/>
  <c r="AO25" i="14" s="1"/>
  <c r="E163" i="49"/>
  <c r="E16" i="49" s="1"/>
  <c r="AL25" i="14" s="1"/>
  <c r="H155" i="47"/>
  <c r="H15" i="47" s="1"/>
  <c r="AO14" i="14" s="1"/>
  <c r="E155" i="47"/>
  <c r="E15" i="47" s="1"/>
  <c r="AL14" i="14" s="1"/>
  <c r="AE33" i="14"/>
  <c r="E27" i="37"/>
  <c r="D73" i="47"/>
  <c r="AE10" i="14" s="1"/>
  <c r="G83" i="47"/>
  <c r="G11" i="47" s="1"/>
  <c r="AN10" i="14" s="1"/>
  <c r="E83" i="47"/>
  <c r="E11" i="47" s="1"/>
  <c r="AL10" i="14" s="1"/>
  <c r="H83" i="47"/>
  <c r="H11" i="47" s="1"/>
  <c r="AO10" i="14" s="1"/>
  <c r="D53" i="49"/>
  <c r="AF9" i="14" s="1"/>
  <c r="F61" i="49"/>
  <c r="F10" i="49" s="1"/>
  <c r="AM19" i="14" s="1"/>
  <c r="J61" i="49"/>
  <c r="J10" i="49" s="1"/>
  <c r="AQ19" i="14" s="1"/>
  <c r="I61" i="49"/>
  <c r="I10" i="49" s="1"/>
  <c r="AP19" i="14" s="1"/>
  <c r="D53" i="51"/>
  <c r="AG9" i="14" s="1"/>
  <c r="I61" i="51"/>
  <c r="I10" i="51" s="1"/>
  <c r="AP29" i="14" s="1"/>
  <c r="F61" i="51"/>
  <c r="F10" i="51" s="1"/>
  <c r="AM29" i="14" s="1"/>
  <c r="J61" i="51"/>
  <c r="J10" i="51" s="1"/>
  <c r="AQ29" i="14" s="1"/>
  <c r="I164" i="7"/>
  <c r="Y108" i="7" s="1"/>
  <c r="E163" i="7"/>
  <c r="O108" i="7" s="1"/>
  <c r="E164" i="7"/>
  <c r="U108" i="7" s="1"/>
  <c r="H163" i="7"/>
  <c r="R108" i="7" s="1"/>
  <c r="G164" i="7"/>
  <c r="W108" i="7" s="1"/>
  <c r="I163" i="7"/>
  <c r="S108" i="7" s="1"/>
  <c r="I191" i="47"/>
  <c r="I17" i="47" s="1"/>
  <c r="AP16" i="14" s="1"/>
  <c r="J191" i="47"/>
  <c r="J17" i="47" s="1"/>
  <c r="AQ16" i="14" s="1"/>
  <c r="H191" i="47"/>
  <c r="H17" i="47" s="1"/>
  <c r="AO16" i="14" s="1"/>
  <c r="S1" i="3"/>
  <c r="D608" i="50"/>
  <c r="J608" i="50" s="1"/>
  <c r="D111" i="50"/>
  <c r="J111" i="50" s="1"/>
  <c r="F83" i="47"/>
  <c r="F11" i="47" s="1"/>
  <c r="AM10" i="14" s="1"/>
  <c r="E95" i="49"/>
  <c r="E12" i="49" s="1"/>
  <c r="AL21" i="14" s="1"/>
  <c r="H95" i="49"/>
  <c r="H12" i="49" s="1"/>
  <c r="AO21" i="14" s="1"/>
  <c r="G61" i="49"/>
  <c r="G10" i="49" s="1"/>
  <c r="AN19" i="14" s="1"/>
  <c r="E27" i="49"/>
  <c r="E8" i="49" s="1"/>
  <c r="AL17" i="14" s="1"/>
  <c r="H27" i="49"/>
  <c r="H8" i="49" s="1"/>
  <c r="AO17" i="14" s="1"/>
  <c r="H129" i="49"/>
  <c r="H14" i="49" s="1"/>
  <c r="AO23" i="14" s="1"/>
  <c r="E119" i="47"/>
  <c r="E13" i="47" s="1"/>
  <c r="AL12" i="14" s="1"/>
  <c r="G155" i="47"/>
  <c r="G15" i="47" s="1"/>
  <c r="AN14" i="14" s="1"/>
  <c r="H112" i="51"/>
  <c r="H13" i="51" s="1"/>
  <c r="AO32" i="14" s="1"/>
  <c r="J180" i="51"/>
  <c r="J17" i="51" s="1"/>
  <c r="AQ36" i="14" s="1"/>
  <c r="H95" i="51"/>
  <c r="H12" i="51" s="1"/>
  <c r="AO31" i="14" s="1"/>
  <c r="G95" i="51"/>
  <c r="G12" i="51" s="1"/>
  <c r="AN31" i="14" s="1"/>
  <c r="E61" i="51"/>
  <c r="E10" i="51" s="1"/>
  <c r="AL29" i="14" s="1"/>
  <c r="E59" i="37"/>
  <c r="D91" i="47"/>
  <c r="AE11" i="14" s="1"/>
  <c r="I101" i="47"/>
  <c r="I12" i="47" s="1"/>
  <c r="AP11" i="14" s="1"/>
  <c r="F101" i="47"/>
  <c r="F12" i="47" s="1"/>
  <c r="AM11" i="14" s="1"/>
  <c r="J101" i="47"/>
  <c r="J12" i="47" s="1"/>
  <c r="AQ11" i="14" s="1"/>
  <c r="D36" i="49"/>
  <c r="AF8" i="14" s="1"/>
  <c r="F44" i="49"/>
  <c r="F9" i="49" s="1"/>
  <c r="AM18" i="14" s="1"/>
  <c r="J44" i="49"/>
  <c r="J9" i="49" s="1"/>
  <c r="AQ18" i="14" s="1"/>
  <c r="I44" i="49"/>
  <c r="I9" i="49" s="1"/>
  <c r="AP18" i="14" s="1"/>
  <c r="D70" i="49"/>
  <c r="AF10" i="14" s="1"/>
  <c r="F78" i="49"/>
  <c r="F11" i="49" s="1"/>
  <c r="AM20" i="14" s="1"/>
  <c r="J78" i="49"/>
  <c r="J11" i="49" s="1"/>
  <c r="AQ20" i="14" s="1"/>
  <c r="I78" i="49"/>
  <c r="I11" i="49" s="1"/>
  <c r="AP20" i="14" s="1"/>
  <c r="D36" i="51"/>
  <c r="AG8" i="14" s="1"/>
  <c r="G44" i="51"/>
  <c r="G9" i="51" s="1"/>
  <c r="AN28" i="14" s="1"/>
  <c r="E44" i="51"/>
  <c r="E9" i="51" s="1"/>
  <c r="AL28" i="14" s="1"/>
  <c r="H44" i="51"/>
  <c r="H9" i="51" s="1"/>
  <c r="AO28" i="14" s="1"/>
  <c r="D70" i="51"/>
  <c r="AG10" i="14" s="1"/>
  <c r="G78" i="51"/>
  <c r="G11" i="51" s="1"/>
  <c r="AN30" i="14" s="1"/>
  <c r="E78" i="51"/>
  <c r="E11" i="51" s="1"/>
  <c r="AL30" i="14" s="1"/>
  <c r="H78" i="51"/>
  <c r="H11" i="51" s="1"/>
  <c r="AO30" i="14" s="1"/>
  <c r="C107" i="38"/>
  <c r="AG33" i="14"/>
  <c r="AH33" i="14"/>
  <c r="G438" i="7"/>
  <c r="W347" i="7" s="1"/>
  <c r="D437" i="7"/>
  <c r="N347" i="7" s="1"/>
  <c r="F438" i="7"/>
  <c r="V347" i="7" s="1"/>
  <c r="I437" i="7"/>
  <c r="S347" i="7" s="1"/>
  <c r="G437" i="7"/>
  <c r="Q347" i="7" s="1"/>
  <c r="E437" i="7"/>
  <c r="O347" i="7" s="1"/>
  <c r="F437" i="7"/>
  <c r="P347" i="7" s="1"/>
  <c r="D438" i="7"/>
  <c r="T347" i="7" s="1"/>
  <c r="Y74" i="38"/>
  <c r="Y73" i="38"/>
  <c r="E53" i="37"/>
  <c r="E17" i="37"/>
  <c r="C40" i="43" s="1"/>
  <c r="E49" i="37"/>
  <c r="G195" i="7"/>
  <c r="Q112" i="7" s="1"/>
  <c r="I196" i="7"/>
  <c r="Y112" i="7" s="1"/>
  <c r="I188" i="7"/>
  <c r="Y111" i="7" s="1"/>
  <c r="E180" i="7"/>
  <c r="U110" i="7" s="1"/>
  <c r="D203" i="7"/>
  <c r="N113" i="7" s="1"/>
  <c r="G188" i="7"/>
  <c r="W111" i="7" s="1"/>
  <c r="I172" i="7"/>
  <c r="Y109" i="7" s="1"/>
  <c r="G171" i="7"/>
  <c r="Q109" i="7" s="1"/>
  <c r="E171" i="7"/>
  <c r="O109" i="7" s="1"/>
  <c r="E179" i="7"/>
  <c r="O110" i="7" s="1"/>
  <c r="E196" i="7"/>
  <c r="U112" i="7" s="1"/>
  <c r="H203" i="7"/>
  <c r="R113" i="7" s="1"/>
  <c r="E204" i="7"/>
  <c r="U113" i="7" s="1"/>
  <c r="F204" i="7"/>
  <c r="V113" i="7" s="1"/>
  <c r="H172" i="7"/>
  <c r="X109" i="7" s="1"/>
  <c r="F179" i="7"/>
  <c r="P110" i="7" s="1"/>
  <c r="H188" i="7"/>
  <c r="X111" i="7" s="1"/>
  <c r="G179" i="7"/>
  <c r="Q110" i="7" s="1"/>
  <c r="D179" i="7"/>
  <c r="N110" i="7" s="1"/>
  <c r="D188" i="7"/>
  <c r="T111" i="7" s="1"/>
  <c r="H180" i="7"/>
  <c r="X110" i="7" s="1"/>
  <c r="E188" i="7"/>
  <c r="U111" i="7" s="1"/>
  <c r="I187" i="7"/>
  <c r="S111" i="7" s="1"/>
  <c r="F187" i="7"/>
  <c r="P111" i="7" s="1"/>
  <c r="F171" i="7"/>
  <c r="P109" i="7" s="1"/>
  <c r="H195" i="7"/>
  <c r="R112" i="7" s="1"/>
  <c r="D172" i="7"/>
  <c r="T109" i="7" s="1"/>
  <c r="G196" i="7"/>
  <c r="W112" i="7" s="1"/>
  <c r="F421" i="7"/>
  <c r="P345" i="7" s="1"/>
  <c r="H421" i="7"/>
  <c r="R345" i="7" s="1"/>
  <c r="I421" i="7"/>
  <c r="S345" i="7" s="1"/>
  <c r="H405" i="7"/>
  <c r="R343" i="7" s="1"/>
  <c r="G406" i="7"/>
  <c r="W343" i="7" s="1"/>
  <c r="D405" i="7"/>
  <c r="N343" i="7" s="1"/>
  <c r="G414" i="7"/>
  <c r="W344" i="7" s="1"/>
  <c r="F413" i="7"/>
  <c r="P344" i="7" s="1"/>
  <c r="H414" i="7"/>
  <c r="X344" i="7" s="1"/>
  <c r="G413" i="7"/>
  <c r="Q344" i="7" s="1"/>
  <c r="E422" i="7"/>
  <c r="U345" i="7" s="1"/>
  <c r="G422" i="7"/>
  <c r="W345" i="7" s="1"/>
  <c r="E405" i="7"/>
  <c r="O343" i="7" s="1"/>
  <c r="E406" i="7"/>
  <c r="U343" i="7" s="1"/>
  <c r="I414" i="7"/>
  <c r="Y344" i="7" s="1"/>
  <c r="D413" i="7"/>
  <c r="N344" i="7" s="1"/>
  <c r="D430" i="7"/>
  <c r="T346" i="7" s="1"/>
  <c r="I430" i="7"/>
  <c r="Y346" i="7" s="1"/>
  <c r="D429" i="7"/>
  <c r="N346" i="7" s="1"/>
  <c r="E429" i="7"/>
  <c r="O346" i="7" s="1"/>
  <c r="G429" i="7"/>
  <c r="Q346" i="7" s="1"/>
  <c r="AB158" i="15"/>
  <c r="AB162" i="15"/>
  <c r="AB160" i="15"/>
  <c r="Z76" i="38"/>
  <c r="Z75" i="38"/>
  <c r="D247" i="50"/>
  <c r="J247" i="50" s="1"/>
  <c r="D96" i="50"/>
  <c r="Y96" i="50" s="1"/>
  <c r="D94" i="50"/>
  <c r="Y94" i="50" s="1"/>
  <c r="D213" i="50"/>
  <c r="J213" i="50" s="1"/>
  <c r="D92" i="50"/>
  <c r="Y92" i="50" s="1"/>
  <c r="D179" i="50"/>
  <c r="J179" i="50" s="1"/>
  <c r="D90" i="50"/>
  <c r="Y90" i="50" s="1"/>
  <c r="D145" i="50"/>
  <c r="J145" i="50" s="1"/>
  <c r="D491" i="50"/>
  <c r="Y491" i="50" s="1"/>
  <c r="D642" i="50"/>
  <c r="J642" i="50" s="1"/>
  <c r="D574" i="50"/>
  <c r="J574" i="50" s="1"/>
  <c r="D487" i="50"/>
  <c r="Y487" i="50" s="1"/>
  <c r="D506" i="50"/>
  <c r="J506" i="50" s="1"/>
  <c r="D483" i="50"/>
  <c r="Y483" i="50" s="1"/>
  <c r="C7" i="38"/>
  <c r="C203" i="38"/>
  <c r="C263" i="38"/>
  <c r="C299" i="38"/>
  <c r="C167" i="38"/>
  <c r="I313" i="7"/>
  <c r="H323" i="7"/>
  <c r="F313" i="7"/>
  <c r="L124" i="7"/>
  <c r="H22" i="41" s="1"/>
  <c r="G323" i="7"/>
  <c r="E313" i="7"/>
  <c r="D313" i="7"/>
  <c r="AH141" i="37"/>
  <c r="V83" i="38" s="1"/>
  <c r="AJ141" i="37"/>
  <c r="X83" i="38" s="1"/>
  <c r="W82" i="38"/>
  <c r="Z77" i="38"/>
  <c r="Y76" i="38"/>
  <c r="Y77" i="38"/>
  <c r="Y75" i="38"/>
  <c r="Z73" i="38"/>
  <c r="E29" i="37"/>
  <c r="C287" i="43" s="1"/>
  <c r="K287" i="43" s="1"/>
  <c r="B174" i="15"/>
  <c r="AB174" i="15"/>
  <c r="B172" i="15"/>
  <c r="AB172" i="15"/>
  <c r="B170" i="15"/>
  <c r="AB170" i="15"/>
  <c r="B166" i="15"/>
  <c r="AB166" i="15"/>
  <c r="B164" i="15"/>
  <c r="AB164" i="15"/>
  <c r="D523" i="50"/>
  <c r="J523" i="50" s="1"/>
  <c r="AB168" i="15"/>
  <c r="AB176" i="15"/>
  <c r="E33" i="37"/>
  <c r="C232" i="43" s="1"/>
  <c r="L232" i="43" s="1"/>
  <c r="AI153" i="37"/>
  <c r="E25" i="37"/>
  <c r="C136" i="43" s="1"/>
  <c r="L136" i="43" s="1"/>
  <c r="E23" i="37"/>
  <c r="C112" i="43" s="1"/>
  <c r="L112" i="43" s="1"/>
  <c r="B175" i="15"/>
  <c r="AB175" i="15"/>
  <c r="B169" i="15"/>
  <c r="AB169" i="15"/>
  <c r="B165" i="15"/>
  <c r="AB165" i="15"/>
  <c r="AM91" i="15"/>
  <c r="AL117" i="15"/>
  <c r="AO111" i="15"/>
  <c r="AJ113" i="15"/>
  <c r="B57" i="15"/>
  <c r="D121" i="51"/>
  <c r="AG13" i="14" s="1"/>
  <c r="F129" i="51"/>
  <c r="F14" i="51" s="1"/>
  <c r="AM33" i="14" s="1"/>
  <c r="J129" i="51"/>
  <c r="J14" i="51" s="1"/>
  <c r="AQ33" i="14" s="1"/>
  <c r="I129" i="51"/>
  <c r="I14" i="51" s="1"/>
  <c r="AP33" i="14" s="1"/>
  <c r="H129" i="51"/>
  <c r="H14" i="51" s="1"/>
  <c r="AO33" i="14" s="1"/>
  <c r="E129" i="51"/>
  <c r="E14" i="51" s="1"/>
  <c r="AL33" i="14" s="1"/>
  <c r="D155" i="51"/>
  <c r="AG15" i="14" s="1"/>
  <c r="F163" i="51"/>
  <c r="F16" i="51" s="1"/>
  <c r="AM35" i="14" s="1"/>
  <c r="J163" i="51"/>
  <c r="J16" i="51" s="1"/>
  <c r="AQ35" i="14" s="1"/>
  <c r="I163" i="51"/>
  <c r="I16" i="51" s="1"/>
  <c r="AP35" i="14" s="1"/>
  <c r="H163" i="51"/>
  <c r="H16" i="51" s="1"/>
  <c r="AO35" i="14" s="1"/>
  <c r="E163" i="51"/>
  <c r="E16" i="51" s="1"/>
  <c r="AL35" i="14" s="1"/>
  <c r="D104" i="49"/>
  <c r="AF12" i="14" s="1"/>
  <c r="F112" i="49"/>
  <c r="F13" i="49" s="1"/>
  <c r="J112" i="49"/>
  <c r="J13" i="49" s="1"/>
  <c r="AQ22" i="14" s="1"/>
  <c r="I112" i="49"/>
  <c r="I13" i="49" s="1"/>
  <c r="AP22" i="14" s="1"/>
  <c r="G112" i="49"/>
  <c r="G13" i="49" s="1"/>
  <c r="AN22" i="14" s="1"/>
  <c r="D138" i="49"/>
  <c r="AF14" i="14" s="1"/>
  <c r="F146" i="49"/>
  <c r="F15" i="49" s="1"/>
  <c r="AM24" i="14" s="1"/>
  <c r="J146" i="49"/>
  <c r="J15" i="49" s="1"/>
  <c r="AQ24" i="14" s="1"/>
  <c r="I146" i="49"/>
  <c r="I15" i="49" s="1"/>
  <c r="AP24" i="14" s="1"/>
  <c r="G146" i="49"/>
  <c r="G15" i="49" s="1"/>
  <c r="AN24" i="14" s="1"/>
  <c r="D172" i="49"/>
  <c r="AF16" i="14" s="1"/>
  <c r="F180" i="49"/>
  <c r="F17" i="49" s="1"/>
  <c r="AM26" i="14" s="1"/>
  <c r="J180" i="49"/>
  <c r="J17" i="49" s="1"/>
  <c r="AQ26" i="14" s="1"/>
  <c r="I180" i="49"/>
  <c r="I17" i="49" s="1"/>
  <c r="AP26" i="14" s="1"/>
  <c r="G180" i="49"/>
  <c r="G17" i="49" s="1"/>
  <c r="AN26" i="14" s="1"/>
  <c r="D127" i="47"/>
  <c r="AE13" i="14" s="1"/>
  <c r="F137" i="47"/>
  <c r="F14" i="47" s="1"/>
  <c r="AM13" i="14" s="1"/>
  <c r="J137" i="47"/>
  <c r="J14" i="47" s="1"/>
  <c r="AQ13" i="14" s="1"/>
  <c r="I137" i="47"/>
  <c r="I14" i="47" s="1"/>
  <c r="AP13" i="14" s="1"/>
  <c r="H137" i="47"/>
  <c r="H14" i="47" s="1"/>
  <c r="AO13" i="14" s="1"/>
  <c r="E137" i="47"/>
  <c r="E14" i="47" s="1"/>
  <c r="AL13" i="14" s="1"/>
  <c r="D163" i="47"/>
  <c r="AE15" i="14" s="1"/>
  <c r="F173" i="47"/>
  <c r="F16" i="47" s="1"/>
  <c r="AM15" i="14" s="1"/>
  <c r="G173" i="47"/>
  <c r="G16" i="47" s="1"/>
  <c r="AN15" i="14" s="1"/>
  <c r="E173" i="47"/>
  <c r="E16" i="47" s="1"/>
  <c r="AL15" i="14" s="1"/>
  <c r="J173" i="47"/>
  <c r="J16" i="47" s="1"/>
  <c r="AQ15" i="14" s="1"/>
  <c r="H173" i="47"/>
  <c r="H16" i="47" s="1"/>
  <c r="AO15" i="14" s="1"/>
  <c r="AF33" i="14"/>
  <c r="H112" i="49"/>
  <c r="H13" i="49" s="1"/>
  <c r="AO22" i="14" s="1"/>
  <c r="E146" i="49"/>
  <c r="E15" i="49" s="1"/>
  <c r="AL24" i="14" s="1"/>
  <c r="H180" i="49"/>
  <c r="H17" i="49" s="1"/>
  <c r="AO26" i="14" s="1"/>
  <c r="G137" i="47"/>
  <c r="G14" i="47" s="1"/>
  <c r="AN13" i="14" s="1"/>
  <c r="I173" i="47"/>
  <c r="I16" i="47" s="1"/>
  <c r="AP15" i="14" s="1"/>
  <c r="G129" i="51"/>
  <c r="G14" i="51" s="1"/>
  <c r="AN33" i="14" s="1"/>
  <c r="G163" i="51"/>
  <c r="G16" i="51" s="1"/>
  <c r="AN35" i="14" s="1"/>
  <c r="I284" i="7"/>
  <c r="Y123" i="7" s="1"/>
  <c r="E284" i="7"/>
  <c r="U123" i="7" s="1"/>
  <c r="G283" i="7"/>
  <c r="Q123" i="7" s="1"/>
  <c r="H284" i="7"/>
  <c r="X123" i="7" s="1"/>
  <c r="D284" i="7"/>
  <c r="T123" i="7" s="1"/>
  <c r="F283" i="7"/>
  <c r="P123" i="7" s="1"/>
  <c r="G284" i="7"/>
  <c r="W123" i="7" s="1"/>
  <c r="E283" i="7"/>
  <c r="O123" i="7" s="1"/>
  <c r="H283" i="7"/>
  <c r="R123" i="7" s="1"/>
  <c r="I276" i="7"/>
  <c r="Y122" i="7" s="1"/>
  <c r="E276" i="7"/>
  <c r="U122" i="7" s="1"/>
  <c r="G275" i="7"/>
  <c r="Q122" i="7" s="1"/>
  <c r="H276" i="7"/>
  <c r="X122" i="7" s="1"/>
  <c r="D276" i="7"/>
  <c r="T122" i="7" s="1"/>
  <c r="F275" i="7"/>
  <c r="P122" i="7" s="1"/>
  <c r="G276" i="7"/>
  <c r="W122" i="7" s="1"/>
  <c r="E275" i="7"/>
  <c r="O122" i="7" s="1"/>
  <c r="H275" i="7"/>
  <c r="R122" i="7" s="1"/>
  <c r="I268" i="7"/>
  <c r="Y121" i="7" s="1"/>
  <c r="E268" i="7"/>
  <c r="U121" i="7" s="1"/>
  <c r="G267" i="7"/>
  <c r="Q121" i="7" s="1"/>
  <c r="H268" i="7"/>
  <c r="X121" i="7" s="1"/>
  <c r="D268" i="7"/>
  <c r="T121" i="7" s="1"/>
  <c r="F267" i="7"/>
  <c r="P121" i="7" s="1"/>
  <c r="G268" i="7"/>
  <c r="W121" i="7" s="1"/>
  <c r="E267" i="7"/>
  <c r="O121" i="7" s="1"/>
  <c r="H267" i="7"/>
  <c r="R121" i="7" s="1"/>
  <c r="I260" i="7"/>
  <c r="Y120" i="7" s="1"/>
  <c r="E260" i="7"/>
  <c r="U120" i="7" s="1"/>
  <c r="G259" i="7"/>
  <c r="Q120" i="7" s="1"/>
  <c r="H260" i="7"/>
  <c r="X120" i="7" s="1"/>
  <c r="D260" i="7"/>
  <c r="T120" i="7" s="1"/>
  <c r="F259" i="7"/>
  <c r="P120" i="7" s="1"/>
  <c r="G260" i="7"/>
  <c r="W120" i="7" s="1"/>
  <c r="E259" i="7"/>
  <c r="O120" i="7" s="1"/>
  <c r="H259" i="7"/>
  <c r="R120" i="7" s="1"/>
  <c r="I252" i="7"/>
  <c r="Y119" i="7" s="1"/>
  <c r="E252" i="7"/>
  <c r="U119" i="7" s="1"/>
  <c r="G251" i="7"/>
  <c r="Q119" i="7" s="1"/>
  <c r="H252" i="7"/>
  <c r="X119" i="7" s="1"/>
  <c r="D252" i="7"/>
  <c r="T119" i="7" s="1"/>
  <c r="F251" i="7"/>
  <c r="P119" i="7" s="1"/>
  <c r="G252" i="7"/>
  <c r="W119" i="7" s="1"/>
  <c r="E251" i="7"/>
  <c r="O119" i="7" s="1"/>
  <c r="H251" i="7"/>
  <c r="R119" i="7" s="1"/>
  <c r="I244" i="7"/>
  <c r="Y118" i="7" s="1"/>
  <c r="E244" i="7"/>
  <c r="U118" i="7" s="1"/>
  <c r="G243" i="7"/>
  <c r="Q118" i="7" s="1"/>
  <c r="H244" i="7"/>
  <c r="X118" i="7" s="1"/>
  <c r="D244" i="7"/>
  <c r="T118" i="7" s="1"/>
  <c r="F243" i="7"/>
  <c r="P118" i="7" s="1"/>
  <c r="G244" i="7"/>
  <c r="W118" i="7" s="1"/>
  <c r="E243" i="7"/>
  <c r="O118" i="7" s="1"/>
  <c r="H243" i="7"/>
  <c r="R118" i="7" s="1"/>
  <c r="I236" i="7"/>
  <c r="Y117" i="7" s="1"/>
  <c r="E236" i="7"/>
  <c r="U117" i="7" s="1"/>
  <c r="G235" i="7"/>
  <c r="Q117" i="7" s="1"/>
  <c r="H236" i="7"/>
  <c r="X117" i="7" s="1"/>
  <c r="D236" i="7"/>
  <c r="T117" i="7" s="1"/>
  <c r="F235" i="7"/>
  <c r="P117" i="7" s="1"/>
  <c r="G236" i="7"/>
  <c r="W117" i="7" s="1"/>
  <c r="E235" i="7"/>
  <c r="O117" i="7" s="1"/>
  <c r="H235" i="7"/>
  <c r="R117" i="7" s="1"/>
  <c r="I228" i="7"/>
  <c r="Y116" i="7" s="1"/>
  <c r="E228" i="7"/>
  <c r="U116" i="7" s="1"/>
  <c r="G227" i="7"/>
  <c r="Q116" i="7" s="1"/>
  <c r="H228" i="7"/>
  <c r="X116" i="7" s="1"/>
  <c r="D228" i="7"/>
  <c r="T116" i="7" s="1"/>
  <c r="F227" i="7"/>
  <c r="P116" i="7" s="1"/>
  <c r="G228" i="7"/>
  <c r="W116" i="7" s="1"/>
  <c r="E227" i="7"/>
  <c r="O116" i="7" s="1"/>
  <c r="H227" i="7"/>
  <c r="R116" i="7" s="1"/>
  <c r="I219" i="7"/>
  <c r="S115" i="7" s="1"/>
  <c r="E219" i="7"/>
  <c r="O115" i="7" s="1"/>
  <c r="H220" i="7"/>
  <c r="X115" i="7" s="1"/>
  <c r="D219" i="7"/>
  <c r="N115" i="7" s="1"/>
  <c r="G220" i="7"/>
  <c r="W115" i="7" s="1"/>
  <c r="F220" i="7"/>
  <c r="V115" i="7" s="1"/>
  <c r="D220" i="7"/>
  <c r="T115" i="7" s="1"/>
  <c r="I220" i="7"/>
  <c r="Y115" i="7" s="1"/>
  <c r="E212" i="7"/>
  <c r="U114" i="7" s="1"/>
  <c r="D211" i="7"/>
  <c r="N114" i="7" s="1"/>
  <c r="F211" i="7"/>
  <c r="P114" i="7" s="1"/>
  <c r="F212" i="7"/>
  <c r="V114" i="7" s="1"/>
  <c r="G211" i="7"/>
  <c r="Q114" i="7" s="1"/>
  <c r="I211" i="7"/>
  <c r="S114" i="7" s="1"/>
  <c r="H211" i="7"/>
  <c r="R114" i="7" s="1"/>
  <c r="I518" i="7"/>
  <c r="Y357" i="7" s="1"/>
  <c r="E518" i="7"/>
  <c r="U357" i="7" s="1"/>
  <c r="G517" i="7"/>
  <c r="Q357" i="7" s="1"/>
  <c r="H518" i="7"/>
  <c r="X357" i="7" s="1"/>
  <c r="D518" i="7"/>
  <c r="T357" i="7" s="1"/>
  <c r="F517" i="7"/>
  <c r="P357" i="7" s="1"/>
  <c r="G518" i="7"/>
  <c r="W357" i="7" s="1"/>
  <c r="E517" i="7"/>
  <c r="O357" i="7" s="1"/>
  <c r="H517" i="7"/>
  <c r="R357" i="7" s="1"/>
  <c r="I510" i="7"/>
  <c r="Y356" i="7" s="1"/>
  <c r="E510" i="7"/>
  <c r="U356" i="7" s="1"/>
  <c r="G509" i="7"/>
  <c r="Q356" i="7" s="1"/>
  <c r="H510" i="7"/>
  <c r="X356" i="7" s="1"/>
  <c r="D510" i="7"/>
  <c r="T356" i="7" s="1"/>
  <c r="F509" i="7"/>
  <c r="P356" i="7" s="1"/>
  <c r="G510" i="7"/>
  <c r="W356" i="7" s="1"/>
  <c r="E509" i="7"/>
  <c r="O356" i="7" s="1"/>
  <c r="H509" i="7"/>
  <c r="R356" i="7" s="1"/>
  <c r="D502" i="7"/>
  <c r="T355" i="7" s="1"/>
  <c r="F502" i="7"/>
  <c r="V355" i="7" s="1"/>
  <c r="G502" i="7"/>
  <c r="W355" i="7" s="1"/>
  <c r="F501" i="7"/>
  <c r="P355" i="7" s="1"/>
  <c r="I502" i="7"/>
  <c r="Y355" i="7" s="1"/>
  <c r="G501" i="7"/>
  <c r="Q355" i="7" s="1"/>
  <c r="G493" i="7"/>
  <c r="Q354" i="7" s="1"/>
  <c r="I494" i="7"/>
  <c r="Y354" i="7" s="1"/>
  <c r="D493" i="7"/>
  <c r="N354" i="7" s="1"/>
  <c r="H493" i="7"/>
  <c r="R354" i="7" s="1"/>
  <c r="E494" i="7"/>
  <c r="U354" i="7" s="1"/>
  <c r="F493" i="7"/>
  <c r="P354" i="7" s="1"/>
  <c r="D486" i="7"/>
  <c r="T353" i="7" s="1"/>
  <c r="E486" i="7"/>
  <c r="U353" i="7" s="1"/>
  <c r="G486" i="7"/>
  <c r="W353" i="7" s="1"/>
  <c r="I486" i="7"/>
  <c r="Y353" i="7" s="1"/>
  <c r="F485" i="7"/>
  <c r="P353" i="7" s="1"/>
  <c r="E485" i="7"/>
  <c r="O353" i="7" s="1"/>
  <c r="F477" i="7"/>
  <c r="P352" i="7" s="1"/>
  <c r="H478" i="7"/>
  <c r="X352" i="7" s="1"/>
  <c r="E478" i="7"/>
  <c r="U352" i="7" s="1"/>
  <c r="D478" i="7"/>
  <c r="T352" i="7" s="1"/>
  <c r="H477" i="7"/>
  <c r="R352" i="7" s="1"/>
  <c r="G478" i="7"/>
  <c r="W352" i="7" s="1"/>
  <c r="G469" i="7"/>
  <c r="Q351" i="7" s="1"/>
  <c r="G470" i="7"/>
  <c r="W351" i="7" s="1"/>
  <c r="F469" i="7"/>
  <c r="P351" i="7" s="1"/>
  <c r="I469" i="7"/>
  <c r="S351" i="7" s="1"/>
  <c r="F470" i="7"/>
  <c r="V351" i="7" s="1"/>
  <c r="E469" i="7"/>
  <c r="O351" i="7" s="1"/>
  <c r="F461" i="7"/>
  <c r="P350" i="7" s="1"/>
  <c r="E462" i="7"/>
  <c r="U350" i="7" s="1"/>
  <c r="H462" i="7"/>
  <c r="X350" i="7" s="1"/>
  <c r="I462" i="7"/>
  <c r="Y350" i="7" s="1"/>
  <c r="G462" i="7"/>
  <c r="W350" i="7" s="1"/>
  <c r="I461" i="7"/>
  <c r="S350" i="7" s="1"/>
  <c r="D453" i="7"/>
  <c r="N349" i="7" s="1"/>
  <c r="I453" i="7"/>
  <c r="S349" i="7" s="1"/>
  <c r="F453" i="7"/>
  <c r="P349" i="7" s="1"/>
  <c r="D454" i="7"/>
  <c r="T349" i="7" s="1"/>
  <c r="H454" i="7"/>
  <c r="X349" i="7" s="1"/>
  <c r="E453" i="7"/>
  <c r="O349" i="7" s="1"/>
  <c r="E446" i="7"/>
  <c r="U348" i="7" s="1"/>
  <c r="H445" i="7"/>
  <c r="R348" i="7" s="1"/>
  <c r="F445" i="7"/>
  <c r="P348" i="7" s="1"/>
  <c r="D445" i="7"/>
  <c r="N348" i="7" s="1"/>
  <c r="G446" i="7"/>
  <c r="W348" i="7" s="1"/>
  <c r="D446" i="7"/>
  <c r="T348" i="7" s="1"/>
  <c r="E445" i="7"/>
  <c r="O348" i="7" s="1"/>
  <c r="C323" i="38"/>
  <c r="C275" i="38"/>
  <c r="C227" i="38"/>
  <c r="C179" i="38"/>
  <c r="C131" i="38"/>
  <c r="C335" i="38"/>
  <c r="C287" i="38"/>
  <c r="C239" i="38"/>
  <c r="C191" i="38"/>
  <c r="C143" i="38"/>
  <c r="C251" i="38"/>
  <c r="C155" i="38"/>
  <c r="C311" i="38"/>
  <c r="C215" i="38"/>
  <c r="C119" i="38"/>
  <c r="G50" i="1"/>
  <c r="E323" i="7"/>
  <c r="I323" i="7"/>
  <c r="G313" i="7"/>
  <c r="F323" i="7"/>
  <c r="D323" i="7"/>
  <c r="H313" i="7"/>
  <c r="I438" i="7"/>
  <c r="Y347" i="7" s="1"/>
  <c r="E438" i="7"/>
  <c r="U347" i="7" s="1"/>
  <c r="H437" i="7"/>
  <c r="R347" i="7" s="1"/>
  <c r="D104" i="51"/>
  <c r="AG12" i="14" s="1"/>
  <c r="F112" i="51"/>
  <c r="F13" i="51" s="1"/>
  <c r="AM32" i="14" s="1"/>
  <c r="J112" i="51"/>
  <c r="J13" i="51" s="1"/>
  <c r="AQ32" i="14" s="1"/>
  <c r="I112" i="51"/>
  <c r="I13" i="51" s="1"/>
  <c r="AP32" i="14" s="1"/>
  <c r="D138" i="51"/>
  <c r="AG14" i="14" s="1"/>
  <c r="F146" i="51"/>
  <c r="F15" i="51" s="1"/>
  <c r="AM34" i="14" s="1"/>
  <c r="J146" i="51"/>
  <c r="J15" i="51" s="1"/>
  <c r="AQ34" i="14" s="1"/>
  <c r="I146" i="51"/>
  <c r="I15" i="51" s="1"/>
  <c r="AP34" i="14" s="1"/>
  <c r="D172" i="51"/>
  <c r="AG16" i="14" s="1"/>
  <c r="G180" i="51"/>
  <c r="G17" i="51" s="1"/>
  <c r="AN36" i="14" s="1"/>
  <c r="E180" i="51"/>
  <c r="E17" i="51" s="1"/>
  <c r="AL36" i="14" s="1"/>
  <c r="H180" i="51"/>
  <c r="H17" i="51" s="1"/>
  <c r="AO36" i="14" s="1"/>
  <c r="D121" i="49"/>
  <c r="AF13" i="14" s="1"/>
  <c r="F129" i="49"/>
  <c r="F14" i="49" s="1"/>
  <c r="AM23" i="14" s="1"/>
  <c r="J129" i="49"/>
  <c r="J14" i="49" s="1"/>
  <c r="AQ23" i="14" s="1"/>
  <c r="I129" i="49"/>
  <c r="I14" i="49" s="1"/>
  <c r="AP23" i="14" s="1"/>
  <c r="D155" i="49"/>
  <c r="AF15" i="14" s="1"/>
  <c r="F163" i="49"/>
  <c r="F16" i="49" s="1"/>
  <c r="AM25" i="14" s="1"/>
  <c r="J163" i="49"/>
  <c r="J16" i="49" s="1"/>
  <c r="AQ25" i="14" s="1"/>
  <c r="I163" i="49"/>
  <c r="I16" i="49" s="1"/>
  <c r="AP25" i="14" s="1"/>
  <c r="D109" i="47"/>
  <c r="AE12" i="14" s="1"/>
  <c r="F119" i="47"/>
  <c r="F13" i="47" s="1"/>
  <c r="AM12" i="14" s="1"/>
  <c r="J119" i="47"/>
  <c r="J13" i="47" s="1"/>
  <c r="AQ12" i="14" s="1"/>
  <c r="I119" i="47"/>
  <c r="I13" i="47" s="1"/>
  <c r="AP12" i="14" s="1"/>
  <c r="D145" i="47"/>
  <c r="AE14" i="14" s="1"/>
  <c r="F155" i="47"/>
  <c r="F15" i="47" s="1"/>
  <c r="AM14" i="14" s="1"/>
  <c r="J155" i="47"/>
  <c r="J15" i="47" s="1"/>
  <c r="AQ14" i="14" s="1"/>
  <c r="I155" i="47"/>
  <c r="I15" i="47" s="1"/>
  <c r="AP14" i="14" s="1"/>
  <c r="D181" i="47"/>
  <c r="AE16" i="14" s="1"/>
  <c r="E191" i="47"/>
  <c r="E17" i="47" s="1"/>
  <c r="AL16" i="14" s="1"/>
  <c r="D540" i="50"/>
  <c r="J540" i="50" s="1"/>
  <c r="D485" i="50"/>
  <c r="Y485" i="50" s="1"/>
  <c r="AF124" i="15"/>
  <c r="V82" i="38"/>
  <c r="X82" i="38"/>
  <c r="AM136" i="37"/>
  <c r="E32" i="37"/>
  <c r="C220" i="43" s="1"/>
  <c r="L220" i="43" s="1"/>
  <c r="E28" i="37"/>
  <c r="C172" i="43" s="1"/>
  <c r="L172" i="43" s="1"/>
  <c r="AS128" i="37"/>
  <c r="E24" i="37"/>
  <c r="C124" i="43" s="1"/>
  <c r="L124" i="43" s="1"/>
  <c r="E20" i="37"/>
  <c r="C278" i="43" s="1"/>
  <c r="AI141" i="37"/>
  <c r="W83" i="38" s="1"/>
  <c r="E34" i="37"/>
  <c r="C292" i="43" s="1"/>
  <c r="K292" i="43" s="1"/>
  <c r="AI158" i="37"/>
  <c r="E30" i="37"/>
  <c r="C288" i="43" s="1"/>
  <c r="K288" i="43" s="1"/>
  <c r="AI154" i="37"/>
  <c r="E26" i="37"/>
  <c r="C284" i="43" s="1"/>
  <c r="K284" i="43" s="1"/>
  <c r="E22" i="37"/>
  <c r="C100" i="43" s="1"/>
  <c r="L100" i="43" s="1"/>
  <c r="D95" i="50"/>
  <c r="Y95" i="50" s="1"/>
  <c r="D230" i="50"/>
  <c r="J230" i="50" s="1"/>
  <c r="D162" i="50"/>
  <c r="J162" i="50" s="1"/>
  <c r="D91" i="50"/>
  <c r="Y91" i="50" s="1"/>
  <c r="D625" i="50"/>
  <c r="J625" i="50" s="1"/>
  <c r="D490" i="50"/>
  <c r="Y490" i="50" s="1"/>
  <c r="D486" i="50"/>
  <c r="Y486" i="50" s="1"/>
  <c r="D557" i="50"/>
  <c r="J557" i="50" s="1"/>
  <c r="L73" i="38"/>
  <c r="J73" i="38"/>
  <c r="I76" i="38"/>
  <c r="K76" i="38"/>
  <c r="L76" i="38"/>
  <c r="R76" i="38"/>
  <c r="I74" i="38"/>
  <c r="K74" i="38"/>
  <c r="D264" i="50"/>
  <c r="J264" i="50" s="1"/>
  <c r="D97" i="50"/>
  <c r="Y97" i="50" s="1"/>
  <c r="D196" i="50"/>
  <c r="J196" i="50" s="1"/>
  <c r="D93" i="50"/>
  <c r="Y93" i="50" s="1"/>
  <c r="D128" i="50"/>
  <c r="J128" i="50" s="1"/>
  <c r="D89" i="50"/>
  <c r="Y89" i="50" s="1"/>
  <c r="D659" i="50"/>
  <c r="J659" i="50" s="1"/>
  <c r="D492" i="50"/>
  <c r="Y492" i="50" s="1"/>
  <c r="D591" i="50"/>
  <c r="J591" i="50" s="1"/>
  <c r="D488" i="50"/>
  <c r="Y488" i="50" s="1"/>
  <c r="R50" i="38"/>
  <c r="U50" i="38" s="1"/>
  <c r="W70" i="38"/>
  <c r="G278" i="43"/>
  <c r="G280" i="43"/>
  <c r="G285" i="43"/>
  <c r="G288" i="43"/>
  <c r="G286" i="43"/>
  <c r="B23" i="1"/>
  <c r="K25" i="46" s="1"/>
  <c r="C184" i="43"/>
  <c r="L184" i="43" s="1"/>
  <c r="B27" i="46"/>
  <c r="G274" i="43"/>
  <c r="G277" i="43"/>
  <c r="C3" i="43"/>
  <c r="E2" i="37"/>
  <c r="G283" i="43"/>
  <c r="G287" i="43"/>
  <c r="G284" i="43"/>
  <c r="G291" i="43"/>
  <c r="G292" i="43"/>
  <c r="G289" i="43"/>
  <c r="G282" i="43"/>
  <c r="G279" i="43"/>
  <c r="G276" i="43"/>
  <c r="C281" i="43"/>
  <c r="K281" i="43" s="1"/>
  <c r="D3" i="58"/>
  <c r="D3" i="3"/>
  <c r="E3" i="37"/>
  <c r="D3" i="50"/>
  <c r="D3" i="51"/>
  <c r="B3" i="46"/>
  <c r="C3" i="34"/>
  <c r="C160" i="43"/>
  <c r="L160" i="43" s="1"/>
  <c r="C196" i="43"/>
  <c r="L196" i="43" s="1"/>
  <c r="N372" i="41"/>
  <c r="G372" i="41" s="1"/>
  <c r="D187" i="38"/>
  <c r="G43" i="51"/>
  <c r="H43" i="51" s="1"/>
  <c r="H46" i="51" s="1"/>
  <c r="E97" i="49"/>
  <c r="G94" i="51"/>
  <c r="H94" i="51" s="1"/>
  <c r="I94" i="51" s="1"/>
  <c r="J94" i="51" s="1"/>
  <c r="J97" i="51" s="1"/>
  <c r="G259" i="15"/>
  <c r="H259" i="15" s="1"/>
  <c r="I259" i="15" s="1"/>
  <c r="J259" i="15" s="1"/>
  <c r="K259" i="15" s="1"/>
  <c r="D2" i="53"/>
  <c r="F100" i="47"/>
  <c r="F103" i="47" s="1"/>
  <c r="F105" i="47" s="1"/>
  <c r="F111" i="49"/>
  <c r="G111" i="49" s="1"/>
  <c r="H111" i="49" s="1"/>
  <c r="E104" i="47"/>
  <c r="G46" i="41"/>
  <c r="C2" i="7"/>
  <c r="F190" i="47"/>
  <c r="G190" i="47" s="1"/>
  <c r="G193" i="47" s="1"/>
  <c r="G194" i="47" s="1"/>
  <c r="B2" i="57"/>
  <c r="B2" i="59"/>
  <c r="E194" i="47"/>
  <c r="D2" i="56"/>
  <c r="F162" i="49"/>
  <c r="G162" i="49" s="1"/>
  <c r="G165" i="49" s="1"/>
  <c r="F46" i="47"/>
  <c r="G46" i="47" s="1"/>
  <c r="H46" i="47" s="1"/>
  <c r="D2" i="15"/>
  <c r="D2" i="50"/>
  <c r="D2" i="51"/>
  <c r="D2" i="49"/>
  <c r="E160" i="47"/>
  <c r="G283" i="15"/>
  <c r="H283" i="15" s="1"/>
  <c r="I283" i="15" s="1"/>
  <c r="J283" i="15" s="1"/>
  <c r="K283" i="15" s="1"/>
  <c r="G235" i="15"/>
  <c r="H235" i="15" s="1"/>
  <c r="I235" i="15" s="1"/>
  <c r="J235" i="15" s="1"/>
  <c r="K235" i="15" s="1"/>
  <c r="D2" i="47"/>
  <c r="B2" i="46"/>
  <c r="E114" i="51"/>
  <c r="E131" i="49"/>
  <c r="E121" i="47"/>
  <c r="E122" i="47" s="1"/>
  <c r="C2" i="44"/>
  <c r="C2" i="43"/>
  <c r="C2" i="45"/>
  <c r="D2" i="58"/>
  <c r="F43" i="49"/>
  <c r="F46" i="49" s="1"/>
  <c r="D2" i="3"/>
  <c r="E159" i="47"/>
  <c r="C2" i="38"/>
  <c r="C2" i="41"/>
  <c r="D103" i="38"/>
  <c r="E52" i="47"/>
  <c r="E50" i="47"/>
  <c r="E51" i="47"/>
  <c r="G128" i="49"/>
  <c r="H128" i="49" s="1"/>
  <c r="F131" i="49"/>
  <c r="E80" i="51"/>
  <c r="E187" i="15"/>
  <c r="E148" i="51"/>
  <c r="F82" i="47"/>
  <c r="F85" i="47" s="1"/>
  <c r="F88" i="47" s="1"/>
  <c r="E271" i="15"/>
  <c r="F154" i="47"/>
  <c r="G154" i="47" s="1"/>
  <c r="H154" i="47" s="1"/>
  <c r="G179" i="51"/>
  <c r="H179" i="51" s="1"/>
  <c r="H182" i="51" s="1"/>
  <c r="F77" i="49"/>
  <c r="G77" i="49" s="1"/>
  <c r="G80" i="49" s="1"/>
  <c r="E195" i="47"/>
  <c r="N367" i="41"/>
  <c r="G367" i="41" s="1"/>
  <c r="G111" i="51"/>
  <c r="H111" i="51" s="1"/>
  <c r="H114" i="51" s="1"/>
  <c r="E165" i="51"/>
  <c r="E295" i="15"/>
  <c r="E131" i="51"/>
  <c r="F136" i="47"/>
  <c r="G136" i="47" s="1"/>
  <c r="G139" i="47" s="1"/>
  <c r="G140" i="47" s="1"/>
  <c r="F64" i="47"/>
  <c r="G64" i="47" s="1"/>
  <c r="G67" i="47" s="1"/>
  <c r="E97" i="51"/>
  <c r="F179" i="49"/>
  <c r="F60" i="49"/>
  <c r="G60" i="49" s="1"/>
  <c r="G63" i="49" s="1"/>
  <c r="E176" i="47"/>
  <c r="E142" i="47"/>
  <c r="E68" i="47"/>
  <c r="F60" i="51"/>
  <c r="G60" i="51" s="1"/>
  <c r="G63" i="51" s="1"/>
  <c r="E247" i="15"/>
  <c r="D139" i="38"/>
  <c r="D211" i="38"/>
  <c r="D163" i="38"/>
  <c r="G211" i="15"/>
  <c r="H211" i="15" s="1"/>
  <c r="I211" i="15" s="1"/>
  <c r="J211" i="15" s="1"/>
  <c r="K211" i="15" s="1"/>
  <c r="D115" i="38"/>
  <c r="E177" i="47"/>
  <c r="E105" i="47"/>
  <c r="D259" i="38"/>
  <c r="E307" i="15"/>
  <c r="O104" i="15"/>
  <c r="E331" i="15"/>
  <c r="F121" i="47"/>
  <c r="F123" i="47" s="1"/>
  <c r="F148" i="51"/>
  <c r="G145" i="51"/>
  <c r="H145" i="51" s="1"/>
  <c r="I145" i="51" s="1"/>
  <c r="G128" i="51"/>
  <c r="F131" i="51"/>
  <c r="F165" i="51"/>
  <c r="G162" i="51"/>
  <c r="C2" i="34"/>
  <c r="D271" i="38"/>
  <c r="E379" i="15"/>
  <c r="D307" i="38"/>
  <c r="D199" i="38"/>
  <c r="F235" i="38"/>
  <c r="G235" i="38" s="1"/>
  <c r="H235" i="38" s="1"/>
  <c r="I235" i="38" s="1"/>
  <c r="J235" i="38" s="1"/>
  <c r="D235" i="38"/>
  <c r="F331" i="38"/>
  <c r="G331" i="38" s="1"/>
  <c r="H331" i="38" s="1"/>
  <c r="I331" i="38" s="1"/>
  <c r="J331" i="38" s="1"/>
  <c r="D331" i="38"/>
  <c r="F283" i="38"/>
  <c r="G283" i="38" s="1"/>
  <c r="H283" i="38" s="1"/>
  <c r="I283" i="38" s="1"/>
  <c r="J283" i="38" s="1"/>
  <c r="D283" i="38"/>
  <c r="E355" i="15"/>
  <c r="E403" i="15"/>
  <c r="H118" i="47"/>
  <c r="I118" i="47" s="1"/>
  <c r="G121" i="47"/>
  <c r="G123" i="47" s="1"/>
  <c r="G94" i="49"/>
  <c r="E148" i="49"/>
  <c r="F145" i="49"/>
  <c r="F247" i="38"/>
  <c r="G247" i="38" s="1"/>
  <c r="H247" i="38" s="1"/>
  <c r="I247" i="38" s="1"/>
  <c r="J247" i="38" s="1"/>
  <c r="D247" i="38"/>
  <c r="F295" i="38"/>
  <c r="G295" i="38" s="1"/>
  <c r="H295" i="38" s="1"/>
  <c r="I295" i="38" s="1"/>
  <c r="J295" i="38" s="1"/>
  <c r="D295" i="38"/>
  <c r="F80" i="51"/>
  <c r="G77" i="51"/>
  <c r="G80" i="51" s="1"/>
  <c r="D319" i="38"/>
  <c r="D223" i="38"/>
  <c r="M41" i="58"/>
  <c r="N41" i="58" s="1"/>
  <c r="O41" i="58" s="1"/>
  <c r="P41" i="58" s="1"/>
  <c r="Q41" i="58" s="1"/>
  <c r="K41" i="58"/>
  <c r="J41" i="58" s="1"/>
  <c r="I41" i="58" s="1"/>
  <c r="H41" i="58" s="1"/>
  <c r="G41" i="58" s="1"/>
  <c r="F41" i="58" s="1"/>
  <c r="G343" i="15"/>
  <c r="H343" i="15" s="1"/>
  <c r="I343" i="15" s="1"/>
  <c r="J343" i="15" s="1"/>
  <c r="K343" i="15" s="1"/>
  <c r="E343" i="15"/>
  <c r="G367" i="15"/>
  <c r="H367" i="15" s="1"/>
  <c r="I367" i="15" s="1"/>
  <c r="J367" i="15" s="1"/>
  <c r="K367" i="15" s="1"/>
  <c r="E367" i="15"/>
  <c r="G391" i="15"/>
  <c r="H391" i="15" s="1"/>
  <c r="I391" i="15" s="1"/>
  <c r="J391" i="15" s="1"/>
  <c r="K391" i="15" s="1"/>
  <c r="E391" i="15"/>
  <c r="G415" i="15"/>
  <c r="H415" i="15" s="1"/>
  <c r="I415" i="15" s="1"/>
  <c r="J415" i="15" s="1"/>
  <c r="K415" i="15" s="1"/>
  <c r="E415" i="15"/>
  <c r="E88" i="47"/>
  <c r="E87" i="47"/>
  <c r="E86" i="47"/>
  <c r="F80" i="49"/>
  <c r="D151" i="38"/>
  <c r="E199" i="15"/>
  <c r="D175" i="38"/>
  <c r="D127" i="38"/>
  <c r="G223" i="15"/>
  <c r="H223" i="15" s="1"/>
  <c r="I223" i="15" s="1"/>
  <c r="J223" i="15" s="1"/>
  <c r="K223" i="15" s="1"/>
  <c r="E182" i="51"/>
  <c r="E69" i="47"/>
  <c r="E65" i="47" s="1"/>
  <c r="E10" i="47" s="1"/>
  <c r="AL9" i="14" s="1"/>
  <c r="E46" i="51"/>
  <c r="E29" i="51"/>
  <c r="F26" i="51"/>
  <c r="M25" i="58"/>
  <c r="N25" i="58" s="1"/>
  <c r="O25" i="58" s="1"/>
  <c r="P25" i="58" s="1"/>
  <c r="Q25" i="58" s="1"/>
  <c r="K25" i="58"/>
  <c r="J25" i="58" s="1"/>
  <c r="I25" i="58" s="1"/>
  <c r="H25" i="58" s="1"/>
  <c r="G25" i="58" s="1"/>
  <c r="F25" i="58" s="1"/>
  <c r="F28" i="47"/>
  <c r="E31" i="47"/>
  <c r="O116" i="37"/>
  <c r="BA119" i="14"/>
  <c r="R164" i="15" l="1"/>
  <c r="R166" i="15"/>
  <c r="E284" i="15" s="1"/>
  <c r="R170" i="15"/>
  <c r="S170" i="15" s="1"/>
  <c r="R158" i="15"/>
  <c r="K102" i="37"/>
  <c r="S60" i="38"/>
  <c r="AW133" i="50"/>
  <c r="S64" i="38"/>
  <c r="S58" i="38"/>
  <c r="S63" i="38"/>
  <c r="F346" i="3"/>
  <c r="C15" i="1"/>
  <c r="H15" i="1" s="1"/>
  <c r="K654" i="50"/>
  <c r="K653" i="50" s="1"/>
  <c r="K34" i="38"/>
  <c r="L95" i="15" s="1"/>
  <c r="T51" i="38"/>
  <c r="J104" i="37"/>
  <c r="H102" i="37"/>
  <c r="J102" i="37"/>
  <c r="AF102" i="37"/>
  <c r="AF104" i="37"/>
  <c r="M102" i="37"/>
  <c r="L149" i="37"/>
  <c r="AP149" i="37" s="1"/>
  <c r="AI162" i="37"/>
  <c r="AG162" i="37"/>
  <c r="S1" i="56"/>
  <c r="L1" i="53"/>
  <c r="G49" i="47"/>
  <c r="G172" i="47"/>
  <c r="G232" i="56"/>
  <c r="G141" i="47"/>
  <c r="F157" i="47"/>
  <c r="F193" i="47"/>
  <c r="F195" i="47" s="1"/>
  <c r="F176" i="47"/>
  <c r="F177" i="47"/>
  <c r="AG151" i="37"/>
  <c r="AG160" i="37"/>
  <c r="X84" i="38"/>
  <c r="AI151" i="37"/>
  <c r="S158" i="37"/>
  <c r="AW127" i="50"/>
  <c r="BA125" i="50"/>
  <c r="AL100" i="50"/>
  <c r="AZ100" i="50" s="1"/>
  <c r="L154" i="37"/>
  <c r="AP154" i="37" s="1"/>
  <c r="AW125" i="50"/>
  <c r="AK101" i="50"/>
  <c r="H302" i="50" s="1"/>
  <c r="H301" i="50" s="1"/>
  <c r="AK100" i="50"/>
  <c r="H285" i="50" s="1"/>
  <c r="AI100" i="50"/>
  <c r="AJ100" i="50"/>
  <c r="G285" i="50" s="1"/>
  <c r="AN100" i="50"/>
  <c r="K285" i="50" s="1"/>
  <c r="AP103" i="50"/>
  <c r="AW103" i="50" s="1"/>
  <c r="AM100" i="50"/>
  <c r="J285" i="50" s="1"/>
  <c r="G20" i="1"/>
  <c r="C27" i="38"/>
  <c r="D88" i="15" s="1"/>
  <c r="B88" i="15" s="1"/>
  <c r="AT101" i="50"/>
  <c r="BA101" i="50" s="1"/>
  <c r="AP109" i="50"/>
  <c r="AW109" i="50" s="1"/>
  <c r="AN101" i="50"/>
  <c r="BB101" i="50" s="1"/>
  <c r="S52" i="38"/>
  <c r="G142" i="47"/>
  <c r="S156" i="37"/>
  <c r="K637" i="50"/>
  <c r="K636" i="50" s="1"/>
  <c r="I384" i="56"/>
  <c r="H136" i="47"/>
  <c r="H139" i="47" s="1"/>
  <c r="R160" i="15"/>
  <c r="T160" i="15" s="1"/>
  <c r="G586" i="50"/>
  <c r="AG148" i="37"/>
  <c r="AW129" i="50"/>
  <c r="E123" i="47"/>
  <c r="C18" i="38"/>
  <c r="D79" i="15" s="1"/>
  <c r="K620" i="50"/>
  <c r="K619" i="50" s="1"/>
  <c r="H620" i="50"/>
  <c r="H619" i="50" s="1"/>
  <c r="H637" i="50"/>
  <c r="H636" i="50" s="1"/>
  <c r="I620" i="50"/>
  <c r="I619" i="50" s="1"/>
  <c r="F620" i="50"/>
  <c r="F619" i="50" s="1"/>
  <c r="I637" i="50"/>
  <c r="I636" i="50" s="1"/>
  <c r="F637" i="50"/>
  <c r="F636" i="50" s="1"/>
  <c r="K535" i="50"/>
  <c r="H535" i="50"/>
  <c r="G603" i="50"/>
  <c r="G552" i="50"/>
  <c r="G569" i="50"/>
  <c r="I535" i="50"/>
  <c r="F535" i="50"/>
  <c r="J603" i="50"/>
  <c r="J552" i="50"/>
  <c r="J569" i="50"/>
  <c r="K603" i="50"/>
  <c r="K602" i="50" s="1"/>
  <c r="H603" i="50"/>
  <c r="H602" i="50" s="1"/>
  <c r="K552" i="50"/>
  <c r="G620" i="50"/>
  <c r="G619" i="50" s="1"/>
  <c r="K569" i="50"/>
  <c r="H569" i="50"/>
  <c r="G637" i="50"/>
  <c r="G636" i="50" s="1"/>
  <c r="K586" i="50"/>
  <c r="I603" i="50"/>
  <c r="F603" i="50"/>
  <c r="I552" i="50"/>
  <c r="F552" i="50"/>
  <c r="J620" i="50"/>
  <c r="J619" i="50" s="1"/>
  <c r="I569" i="50"/>
  <c r="F569" i="50"/>
  <c r="J637" i="50"/>
  <c r="J636" i="50" s="1"/>
  <c r="I586" i="50"/>
  <c r="F586" i="50"/>
  <c r="J654" i="50"/>
  <c r="J653" i="50" s="1"/>
  <c r="H60" i="51"/>
  <c r="I60" i="51" s="1"/>
  <c r="I43" i="51"/>
  <c r="J43" i="51" s="1"/>
  <c r="J46" i="51" s="1"/>
  <c r="I111" i="51"/>
  <c r="I114" i="51" s="1"/>
  <c r="H552" i="50"/>
  <c r="G535" i="50"/>
  <c r="G670" i="50"/>
  <c r="J670" i="50"/>
  <c r="H586" i="50"/>
  <c r="G654" i="50"/>
  <c r="G653" i="50" s="1"/>
  <c r="AN497" i="50"/>
  <c r="K680" i="50" s="1"/>
  <c r="K679" i="50" s="1"/>
  <c r="K688" i="50"/>
  <c r="K687" i="50" s="1"/>
  <c r="AN499" i="50"/>
  <c r="K714" i="50" s="1"/>
  <c r="K713" i="50" s="1"/>
  <c r="K722" i="50"/>
  <c r="K721" i="50" s="1"/>
  <c r="AN501" i="50"/>
  <c r="K748" i="50" s="1"/>
  <c r="K747" i="50" s="1"/>
  <c r="K756" i="50"/>
  <c r="K755" i="50" s="1"/>
  <c r="AN503" i="50"/>
  <c r="K782" i="50" s="1"/>
  <c r="K781" i="50" s="1"/>
  <c r="K790" i="50"/>
  <c r="K789" i="50" s="1"/>
  <c r="AN505" i="50"/>
  <c r="K816" i="50" s="1"/>
  <c r="K815" i="50" s="1"/>
  <c r="K824" i="50"/>
  <c r="K823" i="50" s="1"/>
  <c r="AJ497" i="50"/>
  <c r="G680" i="50" s="1"/>
  <c r="G679" i="50" s="1"/>
  <c r="G688" i="50"/>
  <c r="G687" i="50" s="1"/>
  <c r="AM497" i="50"/>
  <c r="J680" i="50" s="1"/>
  <c r="J688" i="50"/>
  <c r="J687" i="50" s="1"/>
  <c r="AJ499" i="50"/>
  <c r="G714" i="50" s="1"/>
  <c r="G713" i="50" s="1"/>
  <c r="G722" i="50"/>
  <c r="G721" i="50" s="1"/>
  <c r="AM499" i="50"/>
  <c r="J714" i="50" s="1"/>
  <c r="J722" i="50"/>
  <c r="J721" i="50" s="1"/>
  <c r="AJ501" i="50"/>
  <c r="G748" i="50" s="1"/>
  <c r="G747" i="50" s="1"/>
  <c r="G756" i="50"/>
  <c r="G755" i="50" s="1"/>
  <c r="AM501" i="50"/>
  <c r="J748" i="50" s="1"/>
  <c r="J747" i="50" s="1"/>
  <c r="J756" i="50"/>
  <c r="J755" i="50" s="1"/>
  <c r="AJ503" i="50"/>
  <c r="G782" i="50" s="1"/>
  <c r="G781" i="50" s="1"/>
  <c r="G790" i="50"/>
  <c r="G789" i="50" s="1"/>
  <c r="AM503" i="50"/>
  <c r="J782" i="50" s="1"/>
  <c r="J781" i="50" s="1"/>
  <c r="J790" i="50"/>
  <c r="J789" i="50" s="1"/>
  <c r="AJ505" i="50"/>
  <c r="G816" i="50" s="1"/>
  <c r="G815" i="50" s="1"/>
  <c r="G824" i="50"/>
  <c r="G823" i="50" s="1"/>
  <c r="AM505" i="50"/>
  <c r="J816" i="50" s="1"/>
  <c r="J815" i="50" s="1"/>
  <c r="J824" i="50"/>
  <c r="J823" i="50" s="1"/>
  <c r="AN498" i="50"/>
  <c r="K697" i="50" s="1"/>
  <c r="K696" i="50" s="1"/>
  <c r="K705" i="50"/>
  <c r="K704" i="50" s="1"/>
  <c r="AL498" i="50"/>
  <c r="I697" i="50" s="1"/>
  <c r="I696" i="50" s="1"/>
  <c r="I705" i="50"/>
  <c r="I704" i="50" s="1"/>
  <c r="AM498" i="50"/>
  <c r="J697" i="50" s="1"/>
  <c r="J698" i="50" s="1"/>
  <c r="J705" i="50"/>
  <c r="J704" i="50" s="1"/>
  <c r="AN500" i="50"/>
  <c r="K731" i="50" s="1"/>
  <c r="K730" i="50" s="1"/>
  <c r="K739" i="50"/>
  <c r="K738" i="50" s="1"/>
  <c r="AL500" i="50"/>
  <c r="I731" i="50" s="1"/>
  <c r="I730" i="50" s="1"/>
  <c r="I739" i="50"/>
  <c r="I738" i="50" s="1"/>
  <c r="AM500" i="50"/>
  <c r="J731" i="50" s="1"/>
  <c r="J730" i="50" s="1"/>
  <c r="J739" i="50"/>
  <c r="J740" i="50" s="1"/>
  <c r="AN502" i="50"/>
  <c r="K765" i="50" s="1"/>
  <c r="K764" i="50" s="1"/>
  <c r="K773" i="50"/>
  <c r="K772" i="50" s="1"/>
  <c r="AL502" i="50"/>
  <c r="I765" i="50" s="1"/>
  <c r="I764" i="50" s="1"/>
  <c r="I773" i="50"/>
  <c r="I772" i="50" s="1"/>
  <c r="AM502" i="50"/>
  <c r="J765" i="50" s="1"/>
  <c r="J764" i="50" s="1"/>
  <c r="J773" i="50"/>
  <c r="J772" i="50" s="1"/>
  <c r="AN504" i="50"/>
  <c r="K799" i="50" s="1"/>
  <c r="K798" i="50" s="1"/>
  <c r="K807" i="50"/>
  <c r="K806" i="50" s="1"/>
  <c r="AL504" i="50"/>
  <c r="I799" i="50" s="1"/>
  <c r="I798" i="50" s="1"/>
  <c r="I807" i="50"/>
  <c r="I806" i="50" s="1"/>
  <c r="AM504" i="50"/>
  <c r="J799" i="50" s="1"/>
  <c r="J798" i="50" s="1"/>
  <c r="J807" i="50"/>
  <c r="J806" i="50" s="1"/>
  <c r="AM506" i="50"/>
  <c r="J833" i="50" s="1"/>
  <c r="J832" i="50" s="1"/>
  <c r="J841" i="50"/>
  <c r="J840" i="50" s="1"/>
  <c r="J535" i="50"/>
  <c r="K670" i="50"/>
  <c r="H670" i="50"/>
  <c r="I670" i="50"/>
  <c r="F670" i="50"/>
  <c r="AZ521" i="50"/>
  <c r="I688" i="50"/>
  <c r="I687" i="50" s="1"/>
  <c r="AY521" i="50"/>
  <c r="H688" i="50"/>
  <c r="H687" i="50" s="1"/>
  <c r="AZ523" i="50"/>
  <c r="I722" i="50"/>
  <c r="I721" i="50" s="1"/>
  <c r="AY523" i="50"/>
  <c r="H722" i="50"/>
  <c r="H721" i="50" s="1"/>
  <c r="AZ525" i="50"/>
  <c r="I756" i="50"/>
  <c r="I755" i="50" s="1"/>
  <c r="AY525" i="50"/>
  <c r="H756" i="50"/>
  <c r="H755" i="50" s="1"/>
  <c r="AZ527" i="50"/>
  <c r="I790" i="50"/>
  <c r="I789" i="50" s="1"/>
  <c r="AY527" i="50"/>
  <c r="H790" i="50"/>
  <c r="H789" i="50" s="1"/>
  <c r="AZ529" i="50"/>
  <c r="I824" i="50"/>
  <c r="I823" i="50" s="1"/>
  <c r="AY529" i="50"/>
  <c r="H824" i="50"/>
  <c r="H823" i="50" s="1"/>
  <c r="AJ498" i="50"/>
  <c r="G697" i="50" s="1"/>
  <c r="G696" i="50" s="1"/>
  <c r="G705" i="50"/>
  <c r="G704" i="50" s="1"/>
  <c r="AY522" i="50"/>
  <c r="H705" i="50"/>
  <c r="H704" i="50" s="1"/>
  <c r="AJ500" i="50"/>
  <c r="G731" i="50" s="1"/>
  <c r="G730" i="50" s="1"/>
  <c r="G739" i="50"/>
  <c r="G738" i="50" s="1"/>
  <c r="AY524" i="50"/>
  <c r="H739" i="50"/>
  <c r="H738" i="50" s="1"/>
  <c r="AJ502" i="50"/>
  <c r="G765" i="50" s="1"/>
  <c r="G764" i="50" s="1"/>
  <c r="G773" i="50"/>
  <c r="G772" i="50" s="1"/>
  <c r="AJ504" i="50"/>
  <c r="G799" i="50" s="1"/>
  <c r="G798" i="50" s="1"/>
  <c r="G807" i="50"/>
  <c r="G806" i="50" s="1"/>
  <c r="AY528" i="50"/>
  <c r="H807" i="50"/>
  <c r="H806" i="50" s="1"/>
  <c r="AN506" i="50"/>
  <c r="K833" i="50" s="1"/>
  <c r="K832" i="50" s="1"/>
  <c r="K841" i="50"/>
  <c r="K840" i="50" s="1"/>
  <c r="AI497" i="50"/>
  <c r="F680" i="50" s="1"/>
  <c r="F688" i="50"/>
  <c r="F687" i="50" s="1"/>
  <c r="AI499" i="50"/>
  <c r="F714" i="50" s="1"/>
  <c r="F722" i="50"/>
  <c r="F721" i="50" s="1"/>
  <c r="AI501" i="50"/>
  <c r="F748" i="50" s="1"/>
  <c r="F756" i="50"/>
  <c r="F755" i="50" s="1"/>
  <c r="AI503" i="50"/>
  <c r="F782" i="50" s="1"/>
  <c r="F781" i="50" s="1"/>
  <c r="F790" i="50"/>
  <c r="F789" i="50" s="1"/>
  <c r="AI505" i="50"/>
  <c r="F816" i="50" s="1"/>
  <c r="F824" i="50"/>
  <c r="F823" i="50" s="1"/>
  <c r="AI498" i="50"/>
  <c r="F697" i="50" s="1"/>
  <c r="F696" i="50" s="1"/>
  <c r="F705" i="50"/>
  <c r="F706" i="50" s="1"/>
  <c r="AI500" i="50"/>
  <c r="F731" i="50" s="1"/>
  <c r="F730" i="50" s="1"/>
  <c r="F739" i="50"/>
  <c r="F738" i="50" s="1"/>
  <c r="AI502" i="50"/>
  <c r="F765" i="50" s="1"/>
  <c r="F764" i="50" s="1"/>
  <c r="F773" i="50"/>
  <c r="F775" i="50" s="1"/>
  <c r="AI504" i="50"/>
  <c r="F799" i="50" s="1"/>
  <c r="F798" i="50" s="1"/>
  <c r="F807" i="50"/>
  <c r="F806" i="50" s="1"/>
  <c r="AJ506" i="50"/>
  <c r="G833" i="50" s="1"/>
  <c r="G832" i="50" s="1"/>
  <c r="G841" i="50"/>
  <c r="G840" i="50" s="1"/>
  <c r="AL506" i="50"/>
  <c r="I833" i="50" s="1"/>
  <c r="I832" i="50" s="1"/>
  <c r="I841" i="50"/>
  <c r="I840" i="50" s="1"/>
  <c r="AI506" i="50"/>
  <c r="F833" i="50" s="1"/>
  <c r="F832" i="50" s="1"/>
  <c r="F841" i="50"/>
  <c r="F840" i="50" s="1"/>
  <c r="V84" i="38"/>
  <c r="Q287" i="43"/>
  <c r="L287" i="43" s="1"/>
  <c r="S287" i="43"/>
  <c r="T287" i="43"/>
  <c r="R287" i="43"/>
  <c r="M287" i="43" s="1"/>
  <c r="Q284" i="43"/>
  <c r="L284" i="43" s="1"/>
  <c r="S284" i="43"/>
  <c r="T284" i="43"/>
  <c r="R284" i="43"/>
  <c r="M284" i="43" s="1"/>
  <c r="Q288" i="43"/>
  <c r="L288" i="43" s="1"/>
  <c r="S288" i="43"/>
  <c r="T288" i="43"/>
  <c r="R288" i="43"/>
  <c r="M288" i="43" s="1"/>
  <c r="Q292" i="43"/>
  <c r="L292" i="43" s="1"/>
  <c r="S292" i="43"/>
  <c r="T292" i="43"/>
  <c r="R292" i="43"/>
  <c r="M292" i="43" s="1"/>
  <c r="Q281" i="43"/>
  <c r="L281" i="43" s="1"/>
  <c r="S281" i="43"/>
  <c r="T281" i="43"/>
  <c r="R281" i="43"/>
  <c r="M281" i="43" s="1"/>
  <c r="Q293" i="34"/>
  <c r="M293" i="34" s="1"/>
  <c r="S293" i="34"/>
  <c r="R293" i="34"/>
  <c r="N293" i="34" s="1"/>
  <c r="T293" i="34"/>
  <c r="AY526" i="50"/>
  <c r="J486" i="50"/>
  <c r="Z486" i="50" s="1"/>
  <c r="C561" i="50" s="1"/>
  <c r="C569" i="50" s="1"/>
  <c r="J487" i="50"/>
  <c r="Z487" i="50" s="1"/>
  <c r="C578" i="50" s="1"/>
  <c r="C586" i="50" s="1"/>
  <c r="J485" i="50"/>
  <c r="Z485" i="50" s="1"/>
  <c r="C544" i="50" s="1"/>
  <c r="C552" i="50" s="1"/>
  <c r="Y484" i="50"/>
  <c r="J484" i="50"/>
  <c r="Z484" i="50" s="1"/>
  <c r="C527" i="50" s="1"/>
  <c r="C535" i="50" s="1"/>
  <c r="R162" i="15"/>
  <c r="S162" i="15" s="1"/>
  <c r="O178" i="15"/>
  <c r="C286" i="43"/>
  <c r="K286" i="43" s="1"/>
  <c r="C282" i="43"/>
  <c r="K282" i="43" s="1"/>
  <c r="C64" i="43"/>
  <c r="C280" i="43"/>
  <c r="K280" i="43" s="1"/>
  <c r="C76" i="43"/>
  <c r="C208" i="43"/>
  <c r="L208" i="43" s="1"/>
  <c r="C275" i="43"/>
  <c r="C290" i="43"/>
  <c r="K290" i="43" s="1"/>
  <c r="C289" i="43"/>
  <c r="K289" i="43" s="1"/>
  <c r="C88" i="43"/>
  <c r="C276" i="43"/>
  <c r="C283" i="43"/>
  <c r="K283" i="43" s="1"/>
  <c r="C293" i="43"/>
  <c r="K293" i="43" s="1"/>
  <c r="R73" i="38"/>
  <c r="M73" i="38"/>
  <c r="N73" i="38"/>
  <c r="W73" i="38"/>
  <c r="U70" i="38"/>
  <c r="C244" i="43"/>
  <c r="L244" i="43" s="1"/>
  <c r="C148" i="43"/>
  <c r="L148" i="43" s="1"/>
  <c r="W84" i="38"/>
  <c r="C279" i="43"/>
  <c r="C115" i="7"/>
  <c r="C285" i="43"/>
  <c r="K285" i="43" s="1"/>
  <c r="C291" i="43"/>
  <c r="K291" i="43" s="1"/>
  <c r="C28" i="43"/>
  <c r="C256" i="43"/>
  <c r="L256" i="43" s="1"/>
  <c r="D19" i="58"/>
  <c r="AH7" i="14" s="1"/>
  <c r="I26" i="58"/>
  <c r="J26" i="58" s="1"/>
  <c r="J42" i="58" s="1"/>
  <c r="G42" i="58"/>
  <c r="P34" i="58"/>
  <c r="Q34" i="58" s="1"/>
  <c r="Q50" i="58" s="1"/>
  <c r="F104" i="37"/>
  <c r="O104" i="37"/>
  <c r="AI146" i="37"/>
  <c r="M96" i="37"/>
  <c r="I98" i="37"/>
  <c r="P96" i="37"/>
  <c r="BA102" i="50"/>
  <c r="AK498" i="50"/>
  <c r="AI156" i="37"/>
  <c r="AI160" i="37"/>
  <c r="Q104" i="37"/>
  <c r="AF96" i="37"/>
  <c r="N96" i="37"/>
  <c r="G96" i="37"/>
  <c r="P102" i="37"/>
  <c r="F102" i="37"/>
  <c r="I102" i="37"/>
  <c r="G44" i="1"/>
  <c r="I96" i="37"/>
  <c r="G102" i="37"/>
  <c r="N102" i="37"/>
  <c r="O102" i="37"/>
  <c r="S160" i="37"/>
  <c r="AI149" i="37"/>
  <c r="L162" i="37"/>
  <c r="AP162" i="37" s="1"/>
  <c r="Q102" i="37"/>
  <c r="G42" i="1"/>
  <c r="L156" i="37"/>
  <c r="AP156" i="37" s="1"/>
  <c r="C23" i="38"/>
  <c r="D84" i="15" s="1"/>
  <c r="B84" i="15" s="1"/>
  <c r="AG153" i="37"/>
  <c r="S151" i="37"/>
  <c r="S149" i="37"/>
  <c r="S77" i="38"/>
  <c r="I86" i="38" s="1"/>
  <c r="S65" i="38"/>
  <c r="B137" i="15"/>
  <c r="J94" i="37"/>
  <c r="N100" i="37"/>
  <c r="R98" i="37"/>
  <c r="E105" i="37"/>
  <c r="P105" i="37" s="1"/>
  <c r="E101" i="37"/>
  <c r="F101" i="37" s="1"/>
  <c r="E97" i="37"/>
  <c r="H97" i="37" s="1"/>
  <c r="R167" i="15"/>
  <c r="S167" i="15" s="1"/>
  <c r="R175" i="15"/>
  <c r="E392" i="15" s="1"/>
  <c r="R173" i="15"/>
  <c r="S173" i="15" s="1"/>
  <c r="F63" i="51"/>
  <c r="H97" i="51"/>
  <c r="C29" i="38"/>
  <c r="P29" i="38" s="1"/>
  <c r="Q90" i="15" s="1"/>
  <c r="AY103" i="50"/>
  <c r="AY530" i="50"/>
  <c r="AY107" i="50"/>
  <c r="AK506" i="50"/>
  <c r="AK502" i="50"/>
  <c r="AK505" i="50"/>
  <c r="AK501" i="50"/>
  <c r="AY105" i="50"/>
  <c r="AY497" i="50"/>
  <c r="T164" i="15"/>
  <c r="E260" i="15"/>
  <c r="E266" i="15" s="1"/>
  <c r="F284" i="15"/>
  <c r="G284" i="15" s="1"/>
  <c r="H284" i="15" s="1"/>
  <c r="I284" i="15" s="1"/>
  <c r="J284" i="15" s="1"/>
  <c r="E290" i="15"/>
  <c r="S175" i="15"/>
  <c r="S164" i="15"/>
  <c r="T166" i="15"/>
  <c r="AY102" i="50"/>
  <c r="P178" i="15"/>
  <c r="R163" i="15"/>
  <c r="S163" i="15" s="1"/>
  <c r="R165" i="15"/>
  <c r="S165" i="15" s="1"/>
  <c r="R168" i="15"/>
  <c r="T168" i="15" s="1"/>
  <c r="R174" i="15"/>
  <c r="T174" i="15" s="1"/>
  <c r="R176" i="15"/>
  <c r="T176" i="15" s="1"/>
  <c r="AL505" i="50"/>
  <c r="AL503" i="50"/>
  <c r="AK504" i="50"/>
  <c r="AK500" i="50"/>
  <c r="AL501" i="50"/>
  <c r="AL499" i="50"/>
  <c r="AL497" i="50"/>
  <c r="AK503" i="50"/>
  <c r="AK499" i="50"/>
  <c r="BB522" i="50"/>
  <c r="BB524" i="50"/>
  <c r="BB526" i="50"/>
  <c r="BB528" i="50"/>
  <c r="AZ104" i="50"/>
  <c r="AX522" i="50"/>
  <c r="AX524" i="50"/>
  <c r="AX526" i="50"/>
  <c r="AX528" i="50"/>
  <c r="BB530" i="50"/>
  <c r="AW521" i="50"/>
  <c r="AW523" i="50"/>
  <c r="AW525" i="50"/>
  <c r="AW527" i="50"/>
  <c r="AW529" i="50"/>
  <c r="AW522" i="50"/>
  <c r="AW524" i="50"/>
  <c r="AW526" i="50"/>
  <c r="AW528" i="50"/>
  <c r="AX530" i="50"/>
  <c r="AZ530" i="50"/>
  <c r="AW530" i="50"/>
  <c r="AX104" i="50"/>
  <c r="AZ108" i="50"/>
  <c r="AW105" i="50"/>
  <c r="AX108" i="50"/>
  <c r="BB103" i="50"/>
  <c r="BA108" i="50"/>
  <c r="BB105" i="50"/>
  <c r="AX102" i="50"/>
  <c r="AZ102" i="50"/>
  <c r="BB108" i="50"/>
  <c r="AX107" i="50"/>
  <c r="AZ107" i="50"/>
  <c r="BA105" i="50"/>
  <c r="BB109" i="50"/>
  <c r="BB106" i="50"/>
  <c r="AX105" i="50"/>
  <c r="BA109" i="50"/>
  <c r="AY106" i="50"/>
  <c r="BA103" i="50"/>
  <c r="AZ105" i="50"/>
  <c r="BA104" i="50"/>
  <c r="AW128" i="50"/>
  <c r="AX125" i="50"/>
  <c r="AZ127" i="50"/>
  <c r="AX129" i="50"/>
  <c r="AZ131" i="50"/>
  <c r="BB124" i="50"/>
  <c r="BB128" i="50"/>
  <c r="BB132" i="50"/>
  <c r="BA129" i="50"/>
  <c r="AW126" i="50"/>
  <c r="AY124" i="50"/>
  <c r="BA124" i="50"/>
  <c r="AY127" i="50"/>
  <c r="BA128" i="50"/>
  <c r="AY131" i="50"/>
  <c r="BA132" i="50"/>
  <c r="AX127" i="50"/>
  <c r="AX131" i="50"/>
  <c r="AZ133" i="50"/>
  <c r="AY126" i="50"/>
  <c r="AZ124" i="50"/>
  <c r="BB126" i="50"/>
  <c r="AZ128" i="50"/>
  <c r="BB130" i="50"/>
  <c r="AZ132" i="50"/>
  <c r="AW131" i="50"/>
  <c r="BB521" i="50"/>
  <c r="BB523" i="50"/>
  <c r="BB525" i="50"/>
  <c r="BB527" i="50"/>
  <c r="BB529" i="50"/>
  <c r="AX521" i="50"/>
  <c r="BA521" i="50"/>
  <c r="AX523" i="50"/>
  <c r="BA523" i="50"/>
  <c r="AX525" i="50"/>
  <c r="BA525" i="50"/>
  <c r="AX527" i="50"/>
  <c r="BA527" i="50"/>
  <c r="AX529" i="50"/>
  <c r="BA529" i="50"/>
  <c r="AZ522" i="50"/>
  <c r="BA522" i="50"/>
  <c r="AZ524" i="50"/>
  <c r="BA524" i="50"/>
  <c r="AZ526" i="50"/>
  <c r="BA526" i="50"/>
  <c r="AZ528" i="50"/>
  <c r="BA528" i="50"/>
  <c r="BA530" i="50"/>
  <c r="BB107" i="50"/>
  <c r="AW107" i="50"/>
  <c r="AW101" i="50"/>
  <c r="AX109" i="50"/>
  <c r="AX106" i="50"/>
  <c r="AY108" i="50"/>
  <c r="H679" i="50"/>
  <c r="AZ109" i="50"/>
  <c r="AZ106" i="50"/>
  <c r="AY109" i="50"/>
  <c r="BB104" i="50"/>
  <c r="AX103" i="50"/>
  <c r="AW106" i="50"/>
  <c r="AZ103" i="50"/>
  <c r="AY104" i="50"/>
  <c r="BB102" i="50"/>
  <c r="AX101" i="50"/>
  <c r="BA107" i="50"/>
  <c r="AZ101" i="50"/>
  <c r="AW124" i="50"/>
  <c r="AW132" i="50"/>
  <c r="BB133" i="50"/>
  <c r="AY128" i="50"/>
  <c r="AW130" i="50"/>
  <c r="BB125" i="50"/>
  <c r="BB129" i="50"/>
  <c r="AX133" i="50"/>
  <c r="AY132" i="50"/>
  <c r="AX124" i="50"/>
  <c r="AZ126" i="50"/>
  <c r="AX128" i="50"/>
  <c r="AZ130" i="50"/>
  <c r="AX132" i="50"/>
  <c r="AY125" i="50"/>
  <c r="BA126" i="50"/>
  <c r="BA127" i="50"/>
  <c r="AY129" i="50"/>
  <c r="H772" i="50"/>
  <c r="BA130" i="50"/>
  <c r="BA131" i="50"/>
  <c r="AY133" i="50"/>
  <c r="H840" i="50"/>
  <c r="AZ125" i="50"/>
  <c r="BB127" i="50"/>
  <c r="AZ129" i="50"/>
  <c r="BB131" i="50"/>
  <c r="AY130" i="50"/>
  <c r="AX126" i="50"/>
  <c r="AX130" i="50"/>
  <c r="BA133" i="50"/>
  <c r="AF92" i="37"/>
  <c r="P98" i="37"/>
  <c r="H92" i="37"/>
  <c r="L163" i="37"/>
  <c r="AP163" i="37" s="1"/>
  <c r="G94" i="37"/>
  <c r="H100" i="37"/>
  <c r="L161" i="37"/>
  <c r="AP161" i="37" s="1"/>
  <c r="AG152" i="37"/>
  <c r="L157" i="37"/>
  <c r="AP157" i="37" s="1"/>
  <c r="M31" i="58"/>
  <c r="N31" i="58" s="1"/>
  <c r="M30" i="58"/>
  <c r="N30" i="58" s="1"/>
  <c r="J28" i="58"/>
  <c r="J44" i="58" s="1"/>
  <c r="K46" i="58"/>
  <c r="I296" i="50"/>
  <c r="I295" i="50"/>
  <c r="I294" i="50"/>
  <c r="AA287" i="50"/>
  <c r="G295" i="50"/>
  <c r="G296" i="50"/>
  <c r="AA285" i="50"/>
  <c r="G294" i="50"/>
  <c r="H296" i="50"/>
  <c r="H295" i="50"/>
  <c r="AA286" i="50"/>
  <c r="H294" i="50"/>
  <c r="J296" i="50"/>
  <c r="J295" i="50"/>
  <c r="AA288" i="50"/>
  <c r="J294" i="50"/>
  <c r="K296" i="50"/>
  <c r="K295" i="50"/>
  <c r="K294" i="50"/>
  <c r="AA289" i="50"/>
  <c r="F295" i="50"/>
  <c r="AA284" i="50"/>
  <c r="F294" i="50"/>
  <c r="F296" i="50"/>
  <c r="AC75" i="50"/>
  <c r="F310" i="50"/>
  <c r="F309" i="50" s="1"/>
  <c r="J302" i="50"/>
  <c r="J301" i="50" s="1"/>
  <c r="J310" i="50"/>
  <c r="J309" i="50" s="1"/>
  <c r="G302" i="50"/>
  <c r="G301" i="50" s="1"/>
  <c r="H310" i="50"/>
  <c r="H309" i="50" s="1"/>
  <c r="I310" i="50"/>
  <c r="I309" i="50" s="1"/>
  <c r="I302" i="50"/>
  <c r="I301" i="50" s="1"/>
  <c r="K310" i="50"/>
  <c r="K309" i="50" s="1"/>
  <c r="G310" i="50"/>
  <c r="G309" i="50" s="1"/>
  <c r="F302" i="50"/>
  <c r="F301" i="50" s="1"/>
  <c r="K674" i="50"/>
  <c r="K673" i="50"/>
  <c r="K672" i="50"/>
  <c r="AA667" i="50"/>
  <c r="H674" i="50"/>
  <c r="H673" i="50"/>
  <c r="H672" i="50"/>
  <c r="AA664" i="50"/>
  <c r="I674" i="50"/>
  <c r="I673" i="50"/>
  <c r="I672" i="50"/>
  <c r="AA665" i="50"/>
  <c r="AA662" i="50"/>
  <c r="F674" i="50"/>
  <c r="F673" i="50"/>
  <c r="F672" i="50"/>
  <c r="G674" i="50"/>
  <c r="G673" i="50"/>
  <c r="G672" i="50"/>
  <c r="AA663" i="50"/>
  <c r="J674" i="50"/>
  <c r="J673" i="50"/>
  <c r="J672" i="50"/>
  <c r="AA666" i="50"/>
  <c r="K259" i="50"/>
  <c r="H259" i="50"/>
  <c r="H258" i="50" s="1"/>
  <c r="H653" i="50"/>
  <c r="I259" i="50"/>
  <c r="I653" i="50"/>
  <c r="F259" i="50"/>
  <c r="F258" i="50" s="1"/>
  <c r="F653" i="50"/>
  <c r="G259" i="50"/>
  <c r="J259" i="50"/>
  <c r="J258" i="50" s="1"/>
  <c r="K242" i="50"/>
  <c r="H242" i="50"/>
  <c r="H241" i="50" s="1"/>
  <c r="I242" i="50"/>
  <c r="F242" i="50"/>
  <c r="F241" i="50" s="1"/>
  <c r="G242" i="50"/>
  <c r="J242" i="50"/>
  <c r="J241" i="50" s="1"/>
  <c r="K225" i="50"/>
  <c r="H225" i="50"/>
  <c r="H224" i="50" s="1"/>
  <c r="I225" i="50"/>
  <c r="F225" i="50"/>
  <c r="F224" i="50" s="1"/>
  <c r="G225" i="50"/>
  <c r="J225" i="50"/>
  <c r="J224" i="50" s="1"/>
  <c r="K208" i="50"/>
  <c r="G191" i="50"/>
  <c r="J191" i="50"/>
  <c r="K191" i="50"/>
  <c r="H191" i="50"/>
  <c r="I191" i="50"/>
  <c r="F191" i="50"/>
  <c r="G174" i="50"/>
  <c r="J174" i="50"/>
  <c r="K174" i="50"/>
  <c r="H174" i="50"/>
  <c r="I174" i="50"/>
  <c r="F174" i="50"/>
  <c r="G157" i="50"/>
  <c r="J157" i="50"/>
  <c r="K157" i="50"/>
  <c r="H157" i="50"/>
  <c r="I157" i="50"/>
  <c r="F157" i="50"/>
  <c r="K276" i="50"/>
  <c r="K275" i="50" s="1"/>
  <c r="H276" i="50"/>
  <c r="H275" i="50" s="1"/>
  <c r="I276" i="50"/>
  <c r="I275" i="50" s="1"/>
  <c r="F276" i="50"/>
  <c r="F275" i="50" s="1"/>
  <c r="G276" i="50"/>
  <c r="G275" i="50" s="1"/>
  <c r="J276" i="50"/>
  <c r="J275" i="50" s="1"/>
  <c r="AX119" i="50"/>
  <c r="G208" i="50"/>
  <c r="G207" i="50" s="1"/>
  <c r="BA119" i="50"/>
  <c r="J208" i="50"/>
  <c r="J207" i="50" s="1"/>
  <c r="AY119" i="50"/>
  <c r="H208" i="50"/>
  <c r="H207" i="50" s="1"/>
  <c r="AZ119" i="50"/>
  <c r="I208" i="50"/>
  <c r="I207" i="50" s="1"/>
  <c r="AW119" i="50"/>
  <c r="F208" i="50"/>
  <c r="F207" i="50" s="1"/>
  <c r="V74" i="38"/>
  <c r="L83" i="38" s="1"/>
  <c r="K24" i="38"/>
  <c r="L85" i="15" s="1"/>
  <c r="O35" i="38"/>
  <c r="P96" i="15" s="1"/>
  <c r="AR90" i="14"/>
  <c r="H64" i="50"/>
  <c r="H458" i="50"/>
  <c r="H63" i="50"/>
  <c r="G64" i="50"/>
  <c r="G63" i="50"/>
  <c r="G458" i="50"/>
  <c r="R172" i="15"/>
  <c r="S172" i="15" s="1"/>
  <c r="R161" i="15"/>
  <c r="T161" i="15" s="1"/>
  <c r="R159" i="15"/>
  <c r="S159" i="15" s="1"/>
  <c r="R94" i="37"/>
  <c r="G100" i="37"/>
  <c r="F98" i="37"/>
  <c r="R92" i="37"/>
  <c r="L155" i="37"/>
  <c r="AP155" i="37" s="1"/>
  <c r="AI157" i="37"/>
  <c r="G92" i="37"/>
  <c r="K98" i="37"/>
  <c r="O98" i="37"/>
  <c r="AI155" i="37"/>
  <c r="P94" i="37"/>
  <c r="N98" i="37"/>
  <c r="M94" i="37"/>
  <c r="L150" i="37"/>
  <c r="AP150" i="37" s="1"/>
  <c r="AG157" i="37"/>
  <c r="AI150" i="37"/>
  <c r="AI152" i="37"/>
  <c r="I104" i="37"/>
  <c r="H104" i="37"/>
  <c r="P104" i="37"/>
  <c r="AI145" i="37"/>
  <c r="AI161" i="37"/>
  <c r="R96" i="37"/>
  <c r="J96" i="37"/>
  <c r="K96" i="37"/>
  <c r="K104" i="37"/>
  <c r="H94" i="37"/>
  <c r="H98" i="37"/>
  <c r="M98" i="37"/>
  <c r="S155" i="37"/>
  <c r="S163" i="37"/>
  <c r="O94" i="37"/>
  <c r="H96" i="37"/>
  <c r="O96" i="37"/>
  <c r="Q98" i="37"/>
  <c r="AF98" i="37"/>
  <c r="M104" i="37"/>
  <c r="R104" i="37"/>
  <c r="S161" i="37"/>
  <c r="AI159" i="37"/>
  <c r="AI163" i="37"/>
  <c r="G104" i="37"/>
  <c r="G98" i="37"/>
  <c r="F96" i="37"/>
  <c r="S152" i="37"/>
  <c r="AG150" i="37"/>
  <c r="S145" i="37"/>
  <c r="H384" i="3"/>
  <c r="I120" i="58"/>
  <c r="J104" i="58"/>
  <c r="J121" i="58"/>
  <c r="K105" i="58"/>
  <c r="H309" i="58"/>
  <c r="I293" i="58"/>
  <c r="P241" i="58"/>
  <c r="Q225" i="58"/>
  <c r="Q241" i="58" s="1"/>
  <c r="K198" i="58"/>
  <c r="L182" i="58"/>
  <c r="N374" i="58"/>
  <c r="M390" i="58"/>
  <c r="H385" i="58"/>
  <c r="I369" i="58"/>
  <c r="G346" i="58"/>
  <c r="H330" i="58"/>
  <c r="G308" i="58"/>
  <c r="H292" i="58"/>
  <c r="K274" i="58"/>
  <c r="L258" i="58"/>
  <c r="H195" i="58"/>
  <c r="I179" i="58"/>
  <c r="J370" i="58"/>
  <c r="I386" i="58"/>
  <c r="O223" i="58"/>
  <c r="N239" i="58"/>
  <c r="L199" i="58"/>
  <c r="M183" i="58"/>
  <c r="J142" i="58"/>
  <c r="I158" i="58"/>
  <c r="L123" i="58"/>
  <c r="M107" i="58"/>
  <c r="P89" i="58"/>
  <c r="Q73" i="58"/>
  <c r="Q89" i="58" s="1"/>
  <c r="L85" i="58"/>
  <c r="M69" i="58"/>
  <c r="O375" i="58"/>
  <c r="N391" i="58"/>
  <c r="L351" i="58"/>
  <c r="M335" i="58"/>
  <c r="H271" i="58"/>
  <c r="I255" i="58"/>
  <c r="J218" i="58"/>
  <c r="I234" i="58"/>
  <c r="G156" i="58"/>
  <c r="H140" i="58"/>
  <c r="K388" i="58"/>
  <c r="L372" i="58"/>
  <c r="P203" i="58"/>
  <c r="Q187" i="58"/>
  <c r="Q203" i="58" s="1"/>
  <c r="O126" i="58"/>
  <c r="P110" i="58"/>
  <c r="G118" i="58"/>
  <c r="H102" i="58"/>
  <c r="N70" i="58"/>
  <c r="M86" i="58"/>
  <c r="P355" i="58"/>
  <c r="Q339" i="58"/>
  <c r="Q355" i="58" s="1"/>
  <c r="P279" i="58"/>
  <c r="Q263" i="58"/>
  <c r="Q279" i="58" s="1"/>
  <c r="O240" i="58"/>
  <c r="P224" i="58"/>
  <c r="H157" i="58"/>
  <c r="I141" i="58"/>
  <c r="G80" i="58"/>
  <c r="J256" i="58"/>
  <c r="I272" i="58"/>
  <c r="O261" i="58"/>
  <c r="N277" i="58"/>
  <c r="J294" i="58"/>
  <c r="I310" i="58"/>
  <c r="N298" i="58"/>
  <c r="M314" i="58"/>
  <c r="J332" i="58"/>
  <c r="I348" i="58"/>
  <c r="N336" i="58"/>
  <c r="M352" i="58"/>
  <c r="K371" i="58"/>
  <c r="J387" i="58"/>
  <c r="N146" i="58"/>
  <c r="M162" i="58"/>
  <c r="J180" i="58"/>
  <c r="I196" i="58"/>
  <c r="N184" i="58"/>
  <c r="M200" i="58"/>
  <c r="K219" i="58"/>
  <c r="J235" i="58"/>
  <c r="N125" i="58"/>
  <c r="O109" i="58"/>
  <c r="M124" i="58"/>
  <c r="N108" i="58"/>
  <c r="H347" i="58"/>
  <c r="I331" i="58"/>
  <c r="L275" i="58"/>
  <c r="M259" i="58"/>
  <c r="H233" i="58"/>
  <c r="I217" i="58"/>
  <c r="G194" i="58"/>
  <c r="H178" i="58"/>
  <c r="P393" i="58"/>
  <c r="Q377" i="58"/>
  <c r="Q393" i="58" s="1"/>
  <c r="K350" i="58"/>
  <c r="L334" i="58"/>
  <c r="K312" i="58"/>
  <c r="L296" i="58"/>
  <c r="O278" i="58"/>
  <c r="P262" i="58"/>
  <c r="G270" i="58"/>
  <c r="H254" i="58"/>
  <c r="K160" i="58"/>
  <c r="L144" i="58"/>
  <c r="O392" i="58"/>
  <c r="P376" i="58"/>
  <c r="G384" i="58"/>
  <c r="H368" i="58"/>
  <c r="O354" i="58"/>
  <c r="P338" i="58"/>
  <c r="O316" i="58"/>
  <c r="P300" i="58"/>
  <c r="L237" i="58"/>
  <c r="M221" i="58"/>
  <c r="P165" i="58"/>
  <c r="Q149" i="58"/>
  <c r="Q165" i="58" s="1"/>
  <c r="P127" i="58"/>
  <c r="Q111" i="58"/>
  <c r="Q127" i="58" s="1"/>
  <c r="H119" i="58"/>
  <c r="I103" i="58"/>
  <c r="O71" i="58"/>
  <c r="N87" i="58"/>
  <c r="J66" i="58"/>
  <c r="I82" i="58"/>
  <c r="L389" i="58"/>
  <c r="M373" i="58"/>
  <c r="L313" i="58"/>
  <c r="M297" i="58"/>
  <c r="N222" i="58"/>
  <c r="M238" i="58"/>
  <c r="G232" i="58"/>
  <c r="H216" i="58"/>
  <c r="O202" i="58"/>
  <c r="P186" i="58"/>
  <c r="O164" i="58"/>
  <c r="P148" i="58"/>
  <c r="H81" i="58"/>
  <c r="I65" i="58"/>
  <c r="K257" i="58"/>
  <c r="J273" i="58"/>
  <c r="L161" i="58"/>
  <c r="M145" i="58"/>
  <c r="K122" i="58"/>
  <c r="L106" i="58"/>
  <c r="O88" i="58"/>
  <c r="P72" i="58"/>
  <c r="K67" i="58"/>
  <c r="J83" i="58"/>
  <c r="P317" i="58"/>
  <c r="Q301" i="58"/>
  <c r="Q317" i="58" s="1"/>
  <c r="K236" i="58"/>
  <c r="L220" i="58"/>
  <c r="K84" i="58"/>
  <c r="L68" i="58"/>
  <c r="N260" i="58"/>
  <c r="M276" i="58"/>
  <c r="K295" i="58"/>
  <c r="J311" i="58"/>
  <c r="O299" i="58"/>
  <c r="N315" i="58"/>
  <c r="K333" i="58"/>
  <c r="J349" i="58"/>
  <c r="O337" i="58"/>
  <c r="N353" i="58"/>
  <c r="K143" i="58"/>
  <c r="J159" i="58"/>
  <c r="O147" i="58"/>
  <c r="N163" i="58"/>
  <c r="K181" i="58"/>
  <c r="J197" i="58"/>
  <c r="O185" i="58"/>
  <c r="N201" i="58"/>
  <c r="N32" i="58"/>
  <c r="N48" i="58" s="1"/>
  <c r="K29" i="58"/>
  <c r="K45" i="58" s="1"/>
  <c r="I27" i="58"/>
  <c r="J27" i="58" s="1"/>
  <c r="AG159" i="37"/>
  <c r="S159" i="37"/>
  <c r="J483" i="50"/>
  <c r="Z483" i="50" s="1"/>
  <c r="C510" i="50" s="1"/>
  <c r="C518" i="50" s="1"/>
  <c r="T175" i="15"/>
  <c r="AG145" i="37"/>
  <c r="S153" i="37"/>
  <c r="F89" i="37"/>
  <c r="P89" i="37"/>
  <c r="P28" i="38"/>
  <c r="Q89" i="15" s="1"/>
  <c r="S148" i="37"/>
  <c r="L148" i="37"/>
  <c r="AP148" i="37" s="1"/>
  <c r="E90" i="37"/>
  <c r="AF93" i="37"/>
  <c r="N94" i="37"/>
  <c r="I94" i="37"/>
  <c r="Q94" i="37"/>
  <c r="M100" i="37"/>
  <c r="Q92" i="37"/>
  <c r="F94" i="37"/>
  <c r="AF94" i="37"/>
  <c r="AF100" i="37"/>
  <c r="B143" i="15"/>
  <c r="F92" i="37"/>
  <c r="K92" i="37"/>
  <c r="Q100" i="37"/>
  <c r="B151" i="15"/>
  <c r="AF89" i="37"/>
  <c r="R100" i="37"/>
  <c r="J100" i="37"/>
  <c r="K100" i="37"/>
  <c r="N92" i="37"/>
  <c r="I92" i="37"/>
  <c r="J92" i="37"/>
  <c r="B136" i="15"/>
  <c r="M92" i="37"/>
  <c r="O92" i="37"/>
  <c r="I100" i="37"/>
  <c r="P100" i="37"/>
  <c r="O100" i="37"/>
  <c r="I93" i="37"/>
  <c r="AW26" i="14"/>
  <c r="J89" i="37"/>
  <c r="K93" i="37"/>
  <c r="G89" i="37"/>
  <c r="C21" i="38"/>
  <c r="L21" i="38" s="1"/>
  <c r="M82" i="15" s="1"/>
  <c r="B147" i="15"/>
  <c r="E332" i="15"/>
  <c r="N49" i="58"/>
  <c r="O33" i="58"/>
  <c r="L144" i="37"/>
  <c r="AP144" i="37" s="1"/>
  <c r="E86" i="37"/>
  <c r="S146" i="37"/>
  <c r="E88" i="37"/>
  <c r="E47" i="47"/>
  <c r="E9" i="47" s="1"/>
  <c r="AL8" i="14" s="1"/>
  <c r="H87" i="37"/>
  <c r="M103" i="37"/>
  <c r="R87" i="37"/>
  <c r="AF91" i="37"/>
  <c r="F65" i="37"/>
  <c r="N54" i="37"/>
  <c r="J99" i="37"/>
  <c r="D212" i="38"/>
  <c r="D218" i="38" s="1"/>
  <c r="D216" i="38" s="1"/>
  <c r="H95" i="37"/>
  <c r="C33" i="38"/>
  <c r="K33" i="38" s="1"/>
  <c r="L94" i="15" s="1"/>
  <c r="F99" i="37"/>
  <c r="Q91" i="37"/>
  <c r="M60" i="37"/>
  <c r="G23" i="1"/>
  <c r="D308" i="38"/>
  <c r="D314" i="38" s="1"/>
  <c r="D312" i="38" s="1"/>
  <c r="AG144" i="37"/>
  <c r="R54" i="37"/>
  <c r="O31" i="38"/>
  <c r="P92" i="15" s="1"/>
  <c r="M61" i="37"/>
  <c r="F95" i="37"/>
  <c r="J103" i="37"/>
  <c r="C22" i="38"/>
  <c r="K22" i="38" s="1"/>
  <c r="L83" i="15" s="1"/>
  <c r="K28" i="38"/>
  <c r="L89" i="15" s="1"/>
  <c r="N28" i="38"/>
  <c r="O89" i="15" s="1"/>
  <c r="O20" i="38"/>
  <c r="P81" i="15" s="1"/>
  <c r="L20" i="38"/>
  <c r="M81" i="15" s="1"/>
  <c r="N24" i="38"/>
  <c r="O85" i="15" s="1"/>
  <c r="BB119" i="50"/>
  <c r="Y116" i="50"/>
  <c r="Y117" i="50" s="1"/>
  <c r="Y118" i="50" s="1"/>
  <c r="Y119" i="50" s="1"/>
  <c r="O30" i="38"/>
  <c r="P91" i="15" s="1"/>
  <c r="Q65" i="37"/>
  <c r="O89" i="37"/>
  <c r="O93" i="37"/>
  <c r="B134" i="15"/>
  <c r="J62" i="37"/>
  <c r="O62" i="37"/>
  <c r="L146" i="37"/>
  <c r="AP146" i="37" s="1"/>
  <c r="N57" i="37"/>
  <c r="G65" i="37"/>
  <c r="J93" i="37"/>
  <c r="R93" i="37"/>
  <c r="H89" i="37"/>
  <c r="N89" i="37"/>
  <c r="D16" i="15"/>
  <c r="C28" i="44" s="1"/>
  <c r="P60" i="37"/>
  <c r="H31" i="15"/>
  <c r="G483" i="7" s="1"/>
  <c r="AE353" i="7" s="1"/>
  <c r="F67" i="7"/>
  <c r="F22" i="7" s="1"/>
  <c r="H67" i="7"/>
  <c r="H22" i="7" s="1"/>
  <c r="D67" i="7"/>
  <c r="D22" i="7" s="1"/>
  <c r="E67" i="7"/>
  <c r="E22" i="7" s="1"/>
  <c r="G67" i="7"/>
  <c r="G22" i="7" s="1"/>
  <c r="I67" i="7"/>
  <c r="I22" i="7" s="1"/>
  <c r="BB59" i="14"/>
  <c r="BB50" i="14"/>
  <c r="AM145" i="37" s="1"/>
  <c r="J83" i="38"/>
  <c r="U77" i="38"/>
  <c r="K86" i="38" s="1"/>
  <c r="AS160" i="37"/>
  <c r="AT160" i="37" s="1"/>
  <c r="AA160" i="37" s="1"/>
  <c r="O24" i="38"/>
  <c r="P85" i="15" s="1"/>
  <c r="S75" i="38"/>
  <c r="I84" i="38" s="1"/>
  <c r="O28" i="38"/>
  <c r="P89" i="15" s="1"/>
  <c r="M31" i="38"/>
  <c r="N92" i="15" s="1"/>
  <c r="N35" i="38"/>
  <c r="O96" i="15" s="1"/>
  <c r="N34" i="38"/>
  <c r="O95" i="15" s="1"/>
  <c r="N31" i="38"/>
  <c r="O92" i="15" s="1"/>
  <c r="P31" i="38"/>
  <c r="Q92" i="15" s="1"/>
  <c r="AS161" i="37"/>
  <c r="AT161" i="37" s="1"/>
  <c r="AA161" i="37" s="1"/>
  <c r="B16" i="15"/>
  <c r="K30" i="38"/>
  <c r="L91" i="15" s="1"/>
  <c r="G103" i="37"/>
  <c r="P103" i="37"/>
  <c r="R103" i="37"/>
  <c r="AF103" i="37"/>
  <c r="K99" i="37"/>
  <c r="P99" i="37"/>
  <c r="R99" i="37"/>
  <c r="I95" i="37"/>
  <c r="M95" i="37"/>
  <c r="P95" i="37"/>
  <c r="N95" i="37"/>
  <c r="O95" i="37"/>
  <c r="N91" i="37"/>
  <c r="I91" i="37"/>
  <c r="R91" i="37"/>
  <c r="O91" i="37"/>
  <c r="I87" i="37"/>
  <c r="K87" i="37"/>
  <c r="Q87" i="37"/>
  <c r="G87" i="37"/>
  <c r="P87" i="37"/>
  <c r="D296" i="38"/>
  <c r="E296" i="38" s="1"/>
  <c r="D140" i="38"/>
  <c r="D116" i="38"/>
  <c r="D122" i="38" s="1"/>
  <c r="D188" i="38"/>
  <c r="E188" i="38" s="1"/>
  <c r="D152" i="38"/>
  <c r="E152" i="38" s="1"/>
  <c r="D236" i="38"/>
  <c r="E236" i="38" s="1"/>
  <c r="D224" i="38"/>
  <c r="E224" i="38" s="1"/>
  <c r="D320" i="38"/>
  <c r="E320" i="38" s="1"/>
  <c r="L147" i="37"/>
  <c r="AP147" i="37" s="1"/>
  <c r="S147" i="37"/>
  <c r="AG147" i="37"/>
  <c r="D81" i="15"/>
  <c r="B20" i="15" s="1"/>
  <c r="K20" i="38"/>
  <c r="L81" i="15" s="1"/>
  <c r="D89" i="15"/>
  <c r="F28" i="15" s="1"/>
  <c r="L28" i="38"/>
  <c r="M89" i="15" s="1"/>
  <c r="B92" i="15"/>
  <c r="L31" i="15"/>
  <c r="D216" i="44" s="1"/>
  <c r="D95" i="15"/>
  <c r="O34" i="15" s="1"/>
  <c r="O34" i="38"/>
  <c r="P95" i="15" s="1"/>
  <c r="M34" i="38"/>
  <c r="N95" i="15" s="1"/>
  <c r="L34" i="38"/>
  <c r="M95" i="15" s="1"/>
  <c r="D96" i="15"/>
  <c r="Q35" i="15" s="1"/>
  <c r="K35" i="38"/>
  <c r="L96" i="15" s="1"/>
  <c r="P35" i="38"/>
  <c r="Q96" i="15" s="1"/>
  <c r="D85" i="15"/>
  <c r="J24" i="15" s="1"/>
  <c r="I127" i="45" s="1"/>
  <c r="P24" i="38"/>
  <c r="Q85" i="15" s="1"/>
  <c r="K31" i="38"/>
  <c r="L92" i="15" s="1"/>
  <c r="AI144" i="37"/>
  <c r="F87" i="37"/>
  <c r="J87" i="37"/>
  <c r="AF87" i="37"/>
  <c r="M20" i="38"/>
  <c r="N81" i="15" s="1"/>
  <c r="L31" i="38"/>
  <c r="M92" i="15" s="1"/>
  <c r="M24" i="38"/>
  <c r="N85" i="15" s="1"/>
  <c r="F31" i="15"/>
  <c r="E211" i="44" s="1"/>
  <c r="L35" i="38"/>
  <c r="M96" i="15" s="1"/>
  <c r="M35" i="38"/>
  <c r="N96" i="15" s="1"/>
  <c r="P34" i="38"/>
  <c r="Q95" i="15" s="1"/>
  <c r="P20" i="38"/>
  <c r="Q81" i="15" s="1"/>
  <c r="AI147" i="37"/>
  <c r="N87" i="37"/>
  <c r="M87" i="37"/>
  <c r="AF95" i="37"/>
  <c r="D272" i="38"/>
  <c r="D278" i="38" s="1"/>
  <c r="D276" i="38" s="1"/>
  <c r="D164" i="38"/>
  <c r="E164" i="38" s="1"/>
  <c r="D176" i="38"/>
  <c r="D182" i="38" s="1"/>
  <c r="D180" i="38" s="1"/>
  <c r="D104" i="38"/>
  <c r="M28" i="38"/>
  <c r="N89" i="15" s="1"/>
  <c r="S144" i="37"/>
  <c r="C25" i="38"/>
  <c r="D86" i="15" s="1"/>
  <c r="F25" i="15" s="1"/>
  <c r="E139" i="44" s="1"/>
  <c r="I99" i="37"/>
  <c r="K91" i="37"/>
  <c r="G95" i="37"/>
  <c r="I103" i="37"/>
  <c r="D332" i="38"/>
  <c r="C32" i="38"/>
  <c r="P32" i="38" s="1"/>
  <c r="Q93" i="15" s="1"/>
  <c r="N99" i="37"/>
  <c r="P91" i="37"/>
  <c r="Q103" i="37"/>
  <c r="C164" i="37"/>
  <c r="K56" i="37"/>
  <c r="O56" i="37"/>
  <c r="M66" i="37"/>
  <c r="F66" i="37"/>
  <c r="L26" i="38"/>
  <c r="M87" i="15" s="1"/>
  <c r="D87" i="15"/>
  <c r="J26" i="15" s="1"/>
  <c r="I151" i="45" s="1"/>
  <c r="I58" i="37"/>
  <c r="B78" i="15"/>
  <c r="Q101" i="37"/>
  <c r="J101" i="37"/>
  <c r="M93" i="37"/>
  <c r="Q93" i="37"/>
  <c r="G93" i="37"/>
  <c r="P93" i="37"/>
  <c r="Q89" i="37"/>
  <c r="I89" i="37"/>
  <c r="M89" i="37"/>
  <c r="K89" i="37"/>
  <c r="M19" i="38"/>
  <c r="N80" i="15" s="1"/>
  <c r="D80" i="15"/>
  <c r="H93" i="37"/>
  <c r="F93" i="37"/>
  <c r="R89" i="37"/>
  <c r="L24" i="38"/>
  <c r="M85" i="15" s="1"/>
  <c r="N20" i="38"/>
  <c r="O81" i="15" s="1"/>
  <c r="D91" i="15"/>
  <c r="H30" i="15" s="1"/>
  <c r="O103" i="37"/>
  <c r="N103" i="37"/>
  <c r="F103" i="37"/>
  <c r="K103" i="37"/>
  <c r="O99" i="37"/>
  <c r="AF99" i="37"/>
  <c r="G99" i="37"/>
  <c r="H99" i="37"/>
  <c r="Q99" i="37"/>
  <c r="Q95" i="37"/>
  <c r="J95" i="37"/>
  <c r="K95" i="37"/>
  <c r="M91" i="37"/>
  <c r="G91" i="37"/>
  <c r="H91" i="37"/>
  <c r="F91" i="37"/>
  <c r="D248" i="38"/>
  <c r="D200" i="38"/>
  <c r="D284" i="38"/>
  <c r="D260" i="38"/>
  <c r="D128" i="38"/>
  <c r="Q66" i="37"/>
  <c r="N55" i="37"/>
  <c r="F58" i="37"/>
  <c r="G66" i="37"/>
  <c r="H60" i="37"/>
  <c r="K66" i="37"/>
  <c r="G56" i="37"/>
  <c r="R58" i="37"/>
  <c r="Q60" i="37"/>
  <c r="P55" i="37"/>
  <c r="E404" i="15"/>
  <c r="F404" i="15" s="1"/>
  <c r="E31" i="15"/>
  <c r="D483" i="7" s="1"/>
  <c r="AB353" i="7" s="1"/>
  <c r="M31" i="15"/>
  <c r="E216" i="45" s="1"/>
  <c r="T171" i="15"/>
  <c r="S171" i="15"/>
  <c r="T170" i="15"/>
  <c r="G270" i="56"/>
  <c r="I308" i="56"/>
  <c r="L30" i="38"/>
  <c r="M91" i="15" s="1"/>
  <c r="S68" i="38"/>
  <c r="AS154" i="37"/>
  <c r="AT154" i="37" s="1"/>
  <c r="AA154" i="37" s="1"/>
  <c r="AS152" i="37"/>
  <c r="AT152" i="37" s="1"/>
  <c r="AA152" i="37" s="1"/>
  <c r="U73" i="38"/>
  <c r="K82" i="38" s="1"/>
  <c r="AS162" i="37"/>
  <c r="AT162" i="37" s="1"/>
  <c r="AA162" i="37" s="1"/>
  <c r="AS144" i="37"/>
  <c r="AT144" i="37" s="1"/>
  <c r="AA144" i="37" s="1"/>
  <c r="AS156" i="37"/>
  <c r="AT156" i="37" s="1"/>
  <c r="AA156" i="37" s="1"/>
  <c r="AS148" i="37"/>
  <c r="AT148" i="37" s="1"/>
  <c r="AA148" i="37" s="1"/>
  <c r="U75" i="38"/>
  <c r="K84" i="38" s="1"/>
  <c r="N30" i="38"/>
  <c r="O91" i="15" s="1"/>
  <c r="P30" i="38"/>
  <c r="Q91" i="15" s="1"/>
  <c r="M30" i="38"/>
  <c r="N91" i="15" s="1"/>
  <c r="R61" i="37"/>
  <c r="H65" i="37"/>
  <c r="I62" i="37"/>
  <c r="G62" i="37"/>
  <c r="J54" i="37"/>
  <c r="J64" i="37"/>
  <c r="G64" i="37"/>
  <c r="D17" i="15"/>
  <c r="C275" i="44" s="1"/>
  <c r="B48" i="15"/>
  <c r="E236" i="15"/>
  <c r="F236" i="15" s="1"/>
  <c r="G236" i="15" s="1"/>
  <c r="E380" i="15"/>
  <c r="E386" i="15" s="1"/>
  <c r="S177" i="15"/>
  <c r="E416" i="15"/>
  <c r="AS145" i="37"/>
  <c r="AT145" i="37" s="1"/>
  <c r="AA145" i="37" s="1"/>
  <c r="AS146" i="37"/>
  <c r="AT146" i="37" s="1"/>
  <c r="AA146" i="37" s="1"/>
  <c r="O31" i="15"/>
  <c r="G484" i="7" s="1"/>
  <c r="AK353" i="7" s="1"/>
  <c r="N31" i="15"/>
  <c r="F216" i="44" s="1"/>
  <c r="D31" i="15"/>
  <c r="C281" i="38" s="1"/>
  <c r="I281" i="38" s="1"/>
  <c r="J31" i="15"/>
  <c r="I211" i="45" s="1"/>
  <c r="G31" i="15"/>
  <c r="F483" i="7" s="1"/>
  <c r="AD353" i="7" s="1"/>
  <c r="Q31" i="15"/>
  <c r="I216" i="44" s="1"/>
  <c r="P31" i="15"/>
  <c r="H484" i="7" s="1"/>
  <c r="AL353" i="7" s="1"/>
  <c r="I31" i="15"/>
  <c r="H483" i="7" s="1"/>
  <c r="AF353" i="7" s="1"/>
  <c r="B31" i="15"/>
  <c r="B50" i="15"/>
  <c r="E320" i="15"/>
  <c r="T169" i="15"/>
  <c r="S169" i="15"/>
  <c r="G43" i="49"/>
  <c r="G46" i="49" s="1"/>
  <c r="H60" i="49"/>
  <c r="H63" i="49" s="1"/>
  <c r="G131" i="49"/>
  <c r="G114" i="49"/>
  <c r="F63" i="49"/>
  <c r="F114" i="49"/>
  <c r="G46" i="51"/>
  <c r="G97" i="51"/>
  <c r="Q35" i="58"/>
  <c r="Q51" i="58" s="1"/>
  <c r="P51" i="58"/>
  <c r="N26" i="60"/>
  <c r="E194" i="56"/>
  <c r="C22" i="60"/>
  <c r="I66" i="37"/>
  <c r="K60" i="37"/>
  <c r="R60" i="37"/>
  <c r="R66" i="37"/>
  <c r="F56" i="37"/>
  <c r="Q58" i="37"/>
  <c r="H58" i="37"/>
  <c r="N58" i="37"/>
  <c r="I56" i="37"/>
  <c r="F55" i="37"/>
  <c r="O55" i="37"/>
  <c r="H56" i="37"/>
  <c r="F61" i="37"/>
  <c r="O61" i="37"/>
  <c r="I65" i="37"/>
  <c r="N62" i="37"/>
  <c r="C166" i="7"/>
  <c r="G57" i="37"/>
  <c r="P54" i="37"/>
  <c r="I54" i="37"/>
  <c r="C88" i="34"/>
  <c r="P64" i="37"/>
  <c r="K61" i="37"/>
  <c r="H54" i="37"/>
  <c r="K57" i="37"/>
  <c r="Q61" i="37"/>
  <c r="H64" i="37"/>
  <c r="F64" i="37"/>
  <c r="P57" i="37"/>
  <c r="K62" i="37"/>
  <c r="N64" i="37"/>
  <c r="AS150" i="37"/>
  <c r="AT150" i="37" s="1"/>
  <c r="AA150" i="37" s="1"/>
  <c r="AS157" i="37"/>
  <c r="AT157" i="37" s="1"/>
  <c r="AA157" i="37" s="1"/>
  <c r="AS149" i="37"/>
  <c r="AT149" i="37" s="1"/>
  <c r="AA149" i="37" s="1"/>
  <c r="AS163" i="37"/>
  <c r="AT163" i="37" s="1"/>
  <c r="AA163" i="37" s="1"/>
  <c r="AS159" i="37"/>
  <c r="AT159" i="37" s="1"/>
  <c r="AA159" i="37" s="1"/>
  <c r="AS155" i="37"/>
  <c r="AT155" i="37" s="1"/>
  <c r="AA155" i="37" s="1"/>
  <c r="AS151" i="37"/>
  <c r="AT151" i="37" s="1"/>
  <c r="AA151" i="37" s="1"/>
  <c r="AS147" i="37"/>
  <c r="AT147" i="37" s="1"/>
  <c r="AA147" i="37" s="1"/>
  <c r="AS158" i="37"/>
  <c r="AT158" i="37" s="1"/>
  <c r="AA158" i="37" s="1"/>
  <c r="AS153" i="37"/>
  <c r="AT153" i="37" s="1"/>
  <c r="AA153" i="37" s="1"/>
  <c r="I61" i="37"/>
  <c r="H61" i="37"/>
  <c r="G61" i="37"/>
  <c r="R65" i="37"/>
  <c r="O65" i="37"/>
  <c r="N65" i="37"/>
  <c r="O66" i="37"/>
  <c r="H62" i="37"/>
  <c r="P62" i="37"/>
  <c r="G60" i="37"/>
  <c r="F60" i="37"/>
  <c r="J60" i="37"/>
  <c r="F62" i="37"/>
  <c r="R62" i="37"/>
  <c r="Q62" i="37"/>
  <c r="J66" i="37"/>
  <c r="H66" i="37"/>
  <c r="N66" i="37"/>
  <c r="P66" i="37"/>
  <c r="P56" i="37"/>
  <c r="Q56" i="37"/>
  <c r="J56" i="37"/>
  <c r="C279" i="34"/>
  <c r="R56" i="37"/>
  <c r="N56" i="37"/>
  <c r="M56" i="37"/>
  <c r="O54" i="37"/>
  <c r="G54" i="37"/>
  <c r="Q55" i="37"/>
  <c r="G55" i="37"/>
  <c r="R57" i="37"/>
  <c r="K55" i="37"/>
  <c r="I55" i="37"/>
  <c r="P58" i="37"/>
  <c r="O58" i="37"/>
  <c r="G58" i="37"/>
  <c r="J58" i="37"/>
  <c r="K58" i="37"/>
  <c r="O64" i="37"/>
  <c r="O60" i="37"/>
  <c r="J65" i="37"/>
  <c r="M57" i="37"/>
  <c r="O57" i="37"/>
  <c r="Q57" i="37"/>
  <c r="J57" i="37"/>
  <c r="N60" i="37"/>
  <c r="J61" i="37"/>
  <c r="I64" i="37"/>
  <c r="R64" i="37"/>
  <c r="Q64" i="37"/>
  <c r="P65" i="37"/>
  <c r="M65" i="37"/>
  <c r="H55" i="37"/>
  <c r="J55" i="37"/>
  <c r="R55" i="37"/>
  <c r="M54" i="37"/>
  <c r="H57" i="37"/>
  <c r="K54" i="37"/>
  <c r="I57" i="37"/>
  <c r="F54" i="37"/>
  <c r="P61" i="37"/>
  <c r="M64" i="37"/>
  <c r="BC69" i="14"/>
  <c r="BC108" i="14" s="1"/>
  <c r="BB52" i="14"/>
  <c r="AM147" i="37" s="1"/>
  <c r="N70" i="60"/>
  <c r="C66" i="60"/>
  <c r="BB57" i="14"/>
  <c r="N180" i="60"/>
  <c r="C176" i="60"/>
  <c r="BB68" i="14"/>
  <c r="C418" i="60"/>
  <c r="N422" i="60"/>
  <c r="BB63" i="14"/>
  <c r="C308" i="60"/>
  <c r="N312" i="60"/>
  <c r="BB73" i="14"/>
  <c r="N532" i="60"/>
  <c r="C528" i="60"/>
  <c r="BB70" i="14"/>
  <c r="C462" i="60"/>
  <c r="N466" i="60"/>
  <c r="BB56" i="14"/>
  <c r="N158" i="60"/>
  <c r="C154" i="60"/>
  <c r="BB61" i="14"/>
  <c r="C264" i="60"/>
  <c r="N268" i="60"/>
  <c r="BB74" i="14"/>
  <c r="C550" i="60"/>
  <c r="N554" i="60"/>
  <c r="N510" i="60"/>
  <c r="BB72" i="14"/>
  <c r="C506" i="60"/>
  <c r="BB62" i="14"/>
  <c r="N290" i="60"/>
  <c r="C286" i="60"/>
  <c r="C27" i="60"/>
  <c r="C49" i="60"/>
  <c r="C159" i="60"/>
  <c r="C401" i="60"/>
  <c r="C511" i="60"/>
  <c r="C313" i="60"/>
  <c r="C379" i="60"/>
  <c r="C423" i="60"/>
  <c r="C137" i="60"/>
  <c r="C181" i="60"/>
  <c r="C115" i="60"/>
  <c r="C71" i="60"/>
  <c r="C203" i="60"/>
  <c r="C489" i="60"/>
  <c r="C335" i="60"/>
  <c r="C533" i="60"/>
  <c r="C291" i="60"/>
  <c r="C467" i="60"/>
  <c r="C555" i="60"/>
  <c r="C247" i="60"/>
  <c r="C269" i="60"/>
  <c r="C357" i="60"/>
  <c r="C93" i="60"/>
  <c r="C44" i="60"/>
  <c r="N48" i="60"/>
  <c r="BB51" i="14"/>
  <c r="AM146" i="37" s="1"/>
  <c r="BB54" i="14"/>
  <c r="AM149" i="37" s="1"/>
  <c r="C110" i="60"/>
  <c r="N114" i="60"/>
  <c r="BB55" i="14"/>
  <c r="N136" i="60"/>
  <c r="C132" i="60"/>
  <c r="BB66" i="14"/>
  <c r="C374" i="60"/>
  <c r="N378" i="60"/>
  <c r="N400" i="60"/>
  <c r="BB67" i="14"/>
  <c r="C396" i="60"/>
  <c r="C198" i="60"/>
  <c r="BB58" i="14"/>
  <c r="N202" i="60"/>
  <c r="BB53" i="14"/>
  <c r="AM148" i="37" s="1"/>
  <c r="N92" i="60"/>
  <c r="C88" i="60"/>
  <c r="BB65" i="14"/>
  <c r="C352" i="60"/>
  <c r="N356" i="60"/>
  <c r="BB60" i="14"/>
  <c r="N246" i="60"/>
  <c r="C242" i="60"/>
  <c r="BB71" i="14"/>
  <c r="N488" i="60"/>
  <c r="C484" i="60"/>
  <c r="BB64" i="14"/>
  <c r="C330" i="60"/>
  <c r="N334" i="60"/>
  <c r="E270" i="3"/>
  <c r="I194" i="3"/>
  <c r="N63" i="37"/>
  <c r="O67" i="37"/>
  <c r="Q63" i="37"/>
  <c r="C445" i="60"/>
  <c r="C225" i="60"/>
  <c r="G196" i="47"/>
  <c r="H26" i="49"/>
  <c r="I26" i="49" s="1"/>
  <c r="I29" i="49" s="1"/>
  <c r="H77" i="51"/>
  <c r="H80" i="51" s="1"/>
  <c r="G157" i="47"/>
  <c r="G158" i="47" s="1"/>
  <c r="F29" i="49"/>
  <c r="F104" i="47"/>
  <c r="F87" i="47"/>
  <c r="H29" i="49"/>
  <c r="H77" i="49"/>
  <c r="H80" i="49" s="1"/>
  <c r="F86" i="47"/>
  <c r="H148" i="51"/>
  <c r="H190" i="47"/>
  <c r="I190" i="47" s="1"/>
  <c r="G195" i="47"/>
  <c r="H162" i="49"/>
  <c r="H165" i="49" s="1"/>
  <c r="F165" i="49"/>
  <c r="F106" i="47"/>
  <c r="G82" i="47"/>
  <c r="G85" i="47" s="1"/>
  <c r="G44" i="7"/>
  <c r="I346" i="56"/>
  <c r="B49" i="15"/>
  <c r="B17" i="15"/>
  <c r="B55" i="15"/>
  <c r="B52" i="15"/>
  <c r="B54" i="15"/>
  <c r="B56" i="15"/>
  <c r="B60" i="15"/>
  <c r="B62" i="15"/>
  <c r="B64" i="15"/>
  <c r="B66" i="15"/>
  <c r="H44" i="7"/>
  <c r="O26" i="38"/>
  <c r="P87" i="15" s="1"/>
  <c r="N26" i="38"/>
  <c r="O87" i="15" s="1"/>
  <c r="P26" i="38"/>
  <c r="Q87" i="15" s="1"/>
  <c r="M26" i="38"/>
  <c r="N87" i="15" s="1"/>
  <c r="F34" i="7"/>
  <c r="K26" i="38"/>
  <c r="L87" i="15" s="1"/>
  <c r="I34" i="7"/>
  <c r="G34" i="7"/>
  <c r="T162" i="15"/>
  <c r="T158" i="15"/>
  <c r="D34" i="7"/>
  <c r="Q178" i="15"/>
  <c r="S174" i="15"/>
  <c r="F344" i="15"/>
  <c r="E350" i="15"/>
  <c r="S158" i="15"/>
  <c r="E188" i="15"/>
  <c r="E212" i="15"/>
  <c r="H34" i="7"/>
  <c r="F44" i="7"/>
  <c r="I44" i="7"/>
  <c r="E44" i="7"/>
  <c r="B178" i="15"/>
  <c r="I155" i="15" s="1"/>
  <c r="D44" i="7"/>
  <c r="H15" i="7"/>
  <c r="C285" i="34"/>
  <c r="P285" i="34" s="1"/>
  <c r="L285" i="34" s="1"/>
  <c r="C256" i="34"/>
  <c r="L256" i="34" s="1"/>
  <c r="C278" i="7"/>
  <c r="C123" i="7"/>
  <c r="C274" i="34"/>
  <c r="C104" i="7"/>
  <c r="C28" i="34"/>
  <c r="C126" i="7"/>
  <c r="C276" i="34"/>
  <c r="C106" i="7"/>
  <c r="C52" i="34"/>
  <c r="C142" i="7"/>
  <c r="C277" i="34"/>
  <c r="C150" i="7"/>
  <c r="C107" i="7"/>
  <c r="C64" i="34"/>
  <c r="D15" i="7"/>
  <c r="J67" i="37"/>
  <c r="R63" i="37"/>
  <c r="I67" i="37"/>
  <c r="I63" i="37"/>
  <c r="N67" i="37"/>
  <c r="F67" i="37"/>
  <c r="R67" i="37"/>
  <c r="F63" i="37"/>
  <c r="H63" i="37"/>
  <c r="J63" i="37"/>
  <c r="O63" i="37"/>
  <c r="P67" i="37"/>
  <c r="H67" i="37"/>
  <c r="F15" i="7"/>
  <c r="I15" i="7"/>
  <c r="E15" i="7"/>
  <c r="E34" i="7"/>
  <c r="G15" i="7"/>
  <c r="H308" i="3"/>
  <c r="F156" i="3"/>
  <c r="E145" i="53"/>
  <c r="E149" i="53" s="1"/>
  <c r="E116" i="53"/>
  <c r="E120" i="53" s="1"/>
  <c r="F87" i="53"/>
  <c r="F91" i="53" s="1"/>
  <c r="E58" i="53"/>
  <c r="E62" i="53" s="1"/>
  <c r="B19" i="1"/>
  <c r="G19" i="1" s="1"/>
  <c r="F156" i="56"/>
  <c r="AM163" i="37"/>
  <c r="AT136" i="37"/>
  <c r="AF117" i="15"/>
  <c r="AZ516" i="50"/>
  <c r="H142" i="56"/>
  <c r="H156" i="56" s="1"/>
  <c r="AW514" i="50"/>
  <c r="C289" i="34"/>
  <c r="P289" i="34" s="1"/>
  <c r="L289" i="34" s="1"/>
  <c r="C208" i="34"/>
  <c r="L208" i="34" s="1"/>
  <c r="C246" i="7"/>
  <c r="P63" i="37"/>
  <c r="G63" i="37"/>
  <c r="K63" i="37"/>
  <c r="K67" i="37"/>
  <c r="Q67" i="37"/>
  <c r="G67" i="37"/>
  <c r="AL492" i="50"/>
  <c r="I595" i="50" s="1"/>
  <c r="BA118" i="50"/>
  <c r="I87" i="53"/>
  <c r="I91" i="53" s="1"/>
  <c r="AH117" i="15"/>
  <c r="AM489" i="50"/>
  <c r="J544" i="50" s="1"/>
  <c r="I142" i="3"/>
  <c r="I156" i="3" s="1"/>
  <c r="H256" i="56"/>
  <c r="H270" i="56" s="1"/>
  <c r="AU493" i="50"/>
  <c r="F370" i="3"/>
  <c r="F384" i="3" s="1"/>
  <c r="N59" i="37"/>
  <c r="P59" i="37"/>
  <c r="O59" i="37"/>
  <c r="G59" i="37"/>
  <c r="H59" i="37"/>
  <c r="I59" i="37"/>
  <c r="Q59" i="37"/>
  <c r="M59" i="37"/>
  <c r="R59" i="37"/>
  <c r="F59" i="37"/>
  <c r="K59" i="37"/>
  <c r="J59" i="37"/>
  <c r="C214" i="7"/>
  <c r="C160" i="34"/>
  <c r="L160" i="34" s="1"/>
  <c r="S292" i="56"/>
  <c r="AJ111" i="15"/>
  <c r="AO82" i="15"/>
  <c r="AO54" i="15" s="1"/>
  <c r="AN127" i="37"/>
  <c r="AQ127" i="37"/>
  <c r="AQ135" i="37"/>
  <c r="AS135" i="37"/>
  <c r="AI124" i="37"/>
  <c r="AP124" i="37"/>
  <c r="AJ132" i="37"/>
  <c r="AT132" i="37"/>
  <c r="AO132" i="37"/>
  <c r="AG124" i="15"/>
  <c r="AO124" i="15"/>
  <c r="AF112" i="15"/>
  <c r="AQ112" i="15"/>
  <c r="F332" i="56"/>
  <c r="F346" i="56" s="1"/>
  <c r="E332" i="56"/>
  <c r="E346" i="56" s="1"/>
  <c r="AN116" i="15"/>
  <c r="AK116" i="15"/>
  <c r="AP89" i="15"/>
  <c r="AQ89" i="15"/>
  <c r="AP118" i="15"/>
  <c r="AI118" i="15"/>
  <c r="AO120" i="15"/>
  <c r="AM120" i="15"/>
  <c r="AM63" i="15" s="1"/>
  <c r="AJ93" i="15"/>
  <c r="AG122" i="15"/>
  <c r="AT491" i="50"/>
  <c r="AL111" i="15"/>
  <c r="AG111" i="15"/>
  <c r="E294" i="56"/>
  <c r="E308" i="56" s="1"/>
  <c r="AF120" i="15"/>
  <c r="AU491" i="50"/>
  <c r="AK127" i="37"/>
  <c r="AK124" i="37"/>
  <c r="AM154" i="37"/>
  <c r="AF122" i="15"/>
  <c r="AN112" i="15"/>
  <c r="AI101" i="37"/>
  <c r="AI490" i="50"/>
  <c r="F561" i="50" s="1"/>
  <c r="AT125" i="37"/>
  <c r="AP125" i="37"/>
  <c r="AS102" i="37"/>
  <c r="AM133" i="37"/>
  <c r="AT130" i="37"/>
  <c r="AJ130" i="37"/>
  <c r="AK114" i="15"/>
  <c r="AI114" i="15"/>
  <c r="AI110" i="15"/>
  <c r="AF110" i="15"/>
  <c r="AN115" i="15"/>
  <c r="AF115" i="15"/>
  <c r="AJ119" i="15"/>
  <c r="AL119" i="15"/>
  <c r="AL92" i="15"/>
  <c r="AN121" i="15"/>
  <c r="AO121" i="15"/>
  <c r="AG123" i="15"/>
  <c r="AM123" i="15"/>
  <c r="AJ488" i="50"/>
  <c r="G527" i="50" s="1"/>
  <c r="I116" i="53"/>
  <c r="I120" i="53" s="1"/>
  <c r="AI115" i="15"/>
  <c r="AM117" i="15"/>
  <c r="AF123" i="15"/>
  <c r="AG121" i="15"/>
  <c r="AN110" i="15"/>
  <c r="AU495" i="50"/>
  <c r="E180" i="3"/>
  <c r="E194" i="3" s="1"/>
  <c r="F180" i="3"/>
  <c r="F194" i="3" s="1"/>
  <c r="E87" i="53"/>
  <c r="E91" i="53" s="1"/>
  <c r="E142" i="3"/>
  <c r="E156" i="3" s="1"/>
  <c r="AL113" i="15"/>
  <c r="F218" i="56"/>
  <c r="F232" i="56" s="1"/>
  <c r="AH115" i="15"/>
  <c r="AM115" i="15"/>
  <c r="AI117" i="15"/>
  <c r="AI123" i="15"/>
  <c r="AH113" i="15"/>
  <c r="AG119" i="15"/>
  <c r="AO119" i="15"/>
  <c r="AL121" i="15"/>
  <c r="AF114" i="15"/>
  <c r="AN114" i="15"/>
  <c r="AS133" i="37"/>
  <c r="AI133" i="37"/>
  <c r="AL125" i="37"/>
  <c r="AN125" i="37"/>
  <c r="AM152" i="37"/>
  <c r="AO133" i="37"/>
  <c r="AN133" i="37"/>
  <c r="AM160" i="37"/>
  <c r="S254" i="56"/>
  <c r="AM121" i="15"/>
  <c r="AG114" i="15"/>
  <c r="AL136" i="37"/>
  <c r="AP489" i="50"/>
  <c r="O19" i="38"/>
  <c r="P80" i="15" s="1"/>
  <c r="N19" i="38"/>
  <c r="O80" i="15" s="1"/>
  <c r="L19" i="38"/>
  <c r="M80" i="15" s="1"/>
  <c r="P19" i="38"/>
  <c r="Q80" i="15" s="1"/>
  <c r="K19" i="38"/>
  <c r="L80" i="15" s="1"/>
  <c r="C275" i="34"/>
  <c r="C134" i="7"/>
  <c r="C105" i="7"/>
  <c r="C40" i="34"/>
  <c r="I332" i="3"/>
  <c r="I346" i="3" s="1"/>
  <c r="AG113" i="15"/>
  <c r="H218" i="56"/>
  <c r="H232" i="56" s="1"/>
  <c r="AF118" i="15"/>
  <c r="AM118" i="15"/>
  <c r="AI120" i="15"/>
  <c r="AP113" i="15"/>
  <c r="AH116" i="15"/>
  <c r="AP116" i="15"/>
  <c r="AQ122" i="15"/>
  <c r="AM122" i="15"/>
  <c r="AL122" i="15"/>
  <c r="AN122" i="15"/>
  <c r="AJ116" i="15"/>
  <c r="AM89" i="15"/>
  <c r="C111" i="7"/>
  <c r="C112" i="34"/>
  <c r="L112" i="34" s="1"/>
  <c r="C281" i="34"/>
  <c r="P281" i="34" s="1"/>
  <c r="L281" i="34" s="1"/>
  <c r="C182" i="7"/>
  <c r="C283" i="34"/>
  <c r="P283" i="34" s="1"/>
  <c r="L283" i="34" s="1"/>
  <c r="C113" i="7"/>
  <c r="C198" i="7"/>
  <c r="C136" i="34"/>
  <c r="L136" i="34" s="1"/>
  <c r="C121" i="7"/>
  <c r="C291" i="34"/>
  <c r="P291" i="34" s="1"/>
  <c r="L291" i="34" s="1"/>
  <c r="C262" i="7"/>
  <c r="C232" i="34"/>
  <c r="L232" i="34" s="1"/>
  <c r="C117" i="7"/>
  <c r="C287" i="34"/>
  <c r="P287" i="34" s="1"/>
  <c r="L287" i="34" s="1"/>
  <c r="C230" i="7"/>
  <c r="C184" i="34"/>
  <c r="L184" i="34" s="1"/>
  <c r="AJ96" i="37"/>
  <c r="AT127" i="37"/>
  <c r="AO127" i="37"/>
  <c r="AJ127" i="37"/>
  <c r="AR127" i="37"/>
  <c r="AL127" i="37"/>
  <c r="AP131" i="37"/>
  <c r="AL131" i="37"/>
  <c r="AR131" i="37"/>
  <c r="AJ131" i="37"/>
  <c r="AR104" i="37"/>
  <c r="AL135" i="37"/>
  <c r="AN104" i="37"/>
  <c r="AO135" i="37"/>
  <c r="AM162" i="37"/>
  <c r="AP135" i="37"/>
  <c r="AN135" i="37"/>
  <c r="AM135" i="37"/>
  <c r="AK135" i="37"/>
  <c r="AI135" i="37"/>
  <c r="AR135" i="37"/>
  <c r="AO95" i="37"/>
  <c r="AM153" i="37"/>
  <c r="AL126" i="37"/>
  <c r="AS126" i="37"/>
  <c r="AQ126" i="37"/>
  <c r="AI126" i="37"/>
  <c r="AP126" i="37"/>
  <c r="AT103" i="37"/>
  <c r="AM134" i="37"/>
  <c r="AM161" i="37"/>
  <c r="AN134" i="37"/>
  <c r="AQ134" i="37"/>
  <c r="AI134" i="37"/>
  <c r="G58" i="53"/>
  <c r="G62" i="53" s="1"/>
  <c r="F58" i="53"/>
  <c r="F62" i="53" s="1"/>
  <c r="J58" i="53"/>
  <c r="J62" i="53" s="1"/>
  <c r="AL93" i="37"/>
  <c r="AM124" i="37"/>
  <c r="AS93" i="37"/>
  <c r="AT93" i="37"/>
  <c r="AT124" i="37"/>
  <c r="AS124" i="37"/>
  <c r="AJ124" i="37"/>
  <c r="AR124" i="37"/>
  <c r="AL124" i="37"/>
  <c r="AK132" i="37"/>
  <c r="AM159" i="37"/>
  <c r="AP132" i="37"/>
  <c r="AN132" i="37"/>
  <c r="AI132" i="37"/>
  <c r="AM132" i="37"/>
  <c r="AL132" i="37"/>
  <c r="G332" i="3"/>
  <c r="G346" i="3" s="1"/>
  <c r="J332" i="3"/>
  <c r="J346" i="3" s="1"/>
  <c r="H332" i="3"/>
  <c r="H346" i="3" s="1"/>
  <c r="S216" i="3"/>
  <c r="J218" i="3"/>
  <c r="J232" i="3" s="1"/>
  <c r="F218" i="3"/>
  <c r="F232" i="3" s="1"/>
  <c r="E218" i="3"/>
  <c r="E232" i="3" s="1"/>
  <c r="I218" i="3"/>
  <c r="I232" i="3" s="1"/>
  <c r="S178" i="56"/>
  <c r="H180" i="56"/>
  <c r="H194" i="56" s="1"/>
  <c r="AQ95" i="15"/>
  <c r="AH95" i="15"/>
  <c r="AP124" i="15"/>
  <c r="AK124" i="15"/>
  <c r="AH124" i="15"/>
  <c r="AI124" i="15"/>
  <c r="AN124" i="15"/>
  <c r="AJ83" i="15"/>
  <c r="AO112" i="15"/>
  <c r="AL112" i="15"/>
  <c r="AH112" i="15"/>
  <c r="AM112" i="15"/>
  <c r="AJ112" i="15"/>
  <c r="AG112" i="15"/>
  <c r="F256" i="3"/>
  <c r="F270" i="3" s="1"/>
  <c r="G256" i="3"/>
  <c r="G270" i="3" s="1"/>
  <c r="J256" i="3"/>
  <c r="J270" i="3" s="1"/>
  <c r="S254" i="3"/>
  <c r="H256" i="3"/>
  <c r="H270" i="3" s="1"/>
  <c r="F145" i="53"/>
  <c r="F149" i="53" s="1"/>
  <c r="J145" i="53"/>
  <c r="J149" i="53" s="1"/>
  <c r="J370" i="56"/>
  <c r="J384" i="56" s="1"/>
  <c r="H370" i="56"/>
  <c r="H384" i="56" s="1"/>
  <c r="F370" i="56"/>
  <c r="F384" i="56" s="1"/>
  <c r="G370" i="56"/>
  <c r="G384" i="56" s="1"/>
  <c r="I145" i="53"/>
  <c r="I149" i="53" s="1"/>
  <c r="I58" i="53"/>
  <c r="I62" i="53" s="1"/>
  <c r="E332" i="3"/>
  <c r="E346" i="3" s="1"/>
  <c r="I256" i="3"/>
  <c r="I270" i="3" s="1"/>
  <c r="H218" i="3"/>
  <c r="H232" i="3" s="1"/>
  <c r="I180" i="56"/>
  <c r="I194" i="56" s="1"/>
  <c r="S368" i="56"/>
  <c r="E370" i="56"/>
  <c r="E384" i="56" s="1"/>
  <c r="AO124" i="37"/>
  <c r="AN124" i="37"/>
  <c r="AM151" i="37"/>
  <c r="AI127" i="37"/>
  <c r="AM127" i="37"/>
  <c r="AP127" i="37"/>
  <c r="AS132" i="37"/>
  <c r="AQ132" i="37"/>
  <c r="AJ135" i="37"/>
  <c r="AT135" i="37"/>
  <c r="AM124" i="15"/>
  <c r="AL124" i="15"/>
  <c r="AK112" i="15"/>
  <c r="AI112" i="15"/>
  <c r="H58" i="53"/>
  <c r="H62" i="53" s="1"/>
  <c r="S330" i="3"/>
  <c r="AR132" i="37"/>
  <c r="G218" i="3"/>
  <c r="G232" i="3" s="1"/>
  <c r="AS134" i="37"/>
  <c r="AK126" i="37"/>
  <c r="AK95" i="37"/>
  <c r="AF95" i="15"/>
  <c r="AF67" i="15" s="1"/>
  <c r="AS100" i="37"/>
  <c r="G180" i="3"/>
  <c r="G194" i="3" s="1"/>
  <c r="S178" i="3"/>
  <c r="AK84" i="15"/>
  <c r="AO84" i="15"/>
  <c r="AM86" i="15"/>
  <c r="AG115" i="15"/>
  <c r="AF88" i="15"/>
  <c r="AN88" i="15"/>
  <c r="AH90" i="15"/>
  <c r="AN90" i="15"/>
  <c r="AG90" i="15"/>
  <c r="AM90" i="15"/>
  <c r="AQ119" i="15"/>
  <c r="AO92" i="15"/>
  <c r="AN92" i="15"/>
  <c r="AG92" i="15"/>
  <c r="AM92" i="15"/>
  <c r="AQ121" i="15"/>
  <c r="AO94" i="15"/>
  <c r="AH123" i="15"/>
  <c r="H180" i="3"/>
  <c r="H194" i="3" s="1"/>
  <c r="AM113" i="15"/>
  <c r="AK113" i="15"/>
  <c r="AF113" i="15"/>
  <c r="S216" i="56"/>
  <c r="I218" i="56"/>
  <c r="I232" i="56" s="1"/>
  <c r="E218" i="56"/>
  <c r="E232" i="56" s="1"/>
  <c r="AJ115" i="15"/>
  <c r="AL115" i="15"/>
  <c r="AQ115" i="15"/>
  <c r="AJ117" i="15"/>
  <c r="AN117" i="15"/>
  <c r="AQ117" i="15"/>
  <c r="AJ123" i="15"/>
  <c r="AN123" i="15"/>
  <c r="AQ123" i="15"/>
  <c r="AI113" i="15"/>
  <c r="AQ113" i="15"/>
  <c r="AH119" i="15"/>
  <c r="AK119" i="15"/>
  <c r="AP119" i="15"/>
  <c r="AH121" i="15"/>
  <c r="AK121" i="15"/>
  <c r="AP121" i="15"/>
  <c r="AK115" i="15"/>
  <c r="AO115" i="15"/>
  <c r="AK117" i="15"/>
  <c r="AO117" i="15"/>
  <c r="AP123" i="15"/>
  <c r="AO113" i="15"/>
  <c r="AM119" i="15"/>
  <c r="AF121" i="15"/>
  <c r="AJ121" i="15"/>
  <c r="AP117" i="15"/>
  <c r="AO123" i="15"/>
  <c r="AL90" i="15"/>
  <c r="AL84" i="15"/>
  <c r="AQ88" i="15"/>
  <c r="AF90" i="15"/>
  <c r="AF92" i="15"/>
  <c r="AJ84" i="15"/>
  <c r="AJ56" i="15" s="1"/>
  <c r="AF86" i="15"/>
  <c r="AG94" i="15"/>
  <c r="AK94" i="15"/>
  <c r="AK90" i="15"/>
  <c r="AL98" i="37"/>
  <c r="AO129" i="37"/>
  <c r="AS99" i="37"/>
  <c r="AO130" i="37"/>
  <c r="AP130" i="37"/>
  <c r="H116" i="53"/>
  <c r="H120" i="53" s="1"/>
  <c r="G116" i="53"/>
  <c r="G120" i="53" s="1"/>
  <c r="AS136" i="37"/>
  <c r="AI136" i="37"/>
  <c r="J294" i="3"/>
  <c r="J308" i="3" s="1"/>
  <c r="G294" i="3"/>
  <c r="G308" i="3" s="1"/>
  <c r="AO81" i="15"/>
  <c r="AK110" i="15"/>
  <c r="J294" i="56"/>
  <c r="J308" i="56" s="1"/>
  <c r="G294" i="56"/>
  <c r="G308" i="56" s="1"/>
  <c r="S330" i="56"/>
  <c r="J332" i="56"/>
  <c r="J346" i="56" s="1"/>
  <c r="J370" i="3"/>
  <c r="J384" i="3" s="1"/>
  <c r="G370" i="3"/>
  <c r="G384" i="3" s="1"/>
  <c r="AM82" i="15"/>
  <c r="AH82" i="15"/>
  <c r="AQ82" i="15"/>
  <c r="AL82" i="15"/>
  <c r="AH111" i="15"/>
  <c r="J142" i="56"/>
  <c r="J156" i="56" s="1"/>
  <c r="S140" i="56"/>
  <c r="AO87" i="15"/>
  <c r="AM87" i="15"/>
  <c r="AQ87" i="15"/>
  <c r="AM116" i="15"/>
  <c r="AQ116" i="15"/>
  <c r="AG89" i="15"/>
  <c r="AH118" i="15"/>
  <c r="AG118" i="15"/>
  <c r="AP91" i="15"/>
  <c r="AH120" i="15"/>
  <c r="AK120" i="15"/>
  <c r="AG120" i="15"/>
  <c r="AI93" i="15"/>
  <c r="AM93" i="15"/>
  <c r="AP93" i="15"/>
  <c r="AJ122" i="15"/>
  <c r="AO122" i="15"/>
  <c r="J116" i="53"/>
  <c r="J120" i="53" s="1"/>
  <c r="F116" i="53"/>
  <c r="F120" i="53" s="1"/>
  <c r="J87" i="53"/>
  <c r="J91" i="53" s="1"/>
  <c r="I370" i="3"/>
  <c r="I384" i="3" s="1"/>
  <c r="E370" i="3"/>
  <c r="E384" i="3" s="1"/>
  <c r="I294" i="3"/>
  <c r="I308" i="3" s="1"/>
  <c r="E294" i="3"/>
  <c r="E308" i="3" s="1"/>
  <c r="H142" i="3"/>
  <c r="H156" i="3" s="1"/>
  <c r="AM111" i="15"/>
  <c r="AK111" i="15"/>
  <c r="AF111" i="15"/>
  <c r="H332" i="56"/>
  <c r="H346" i="56" s="1"/>
  <c r="I256" i="56"/>
  <c r="I270" i="56" s="1"/>
  <c r="E256" i="56"/>
  <c r="E270" i="56" s="1"/>
  <c r="F294" i="56"/>
  <c r="F308" i="56" s="1"/>
  <c r="H294" i="56"/>
  <c r="H308" i="56" s="1"/>
  <c r="I142" i="56"/>
  <c r="I156" i="56" s="1"/>
  <c r="E142" i="56"/>
  <c r="E156" i="56" s="1"/>
  <c r="AJ118" i="15"/>
  <c r="AN118" i="15"/>
  <c r="AQ118" i="15"/>
  <c r="AJ120" i="15"/>
  <c r="AN120" i="15"/>
  <c r="AQ120" i="15"/>
  <c r="AN111" i="15"/>
  <c r="AQ111" i="15"/>
  <c r="AG116" i="15"/>
  <c r="AL116" i="15"/>
  <c r="AO116" i="15"/>
  <c r="AH110" i="15"/>
  <c r="AL110" i="15"/>
  <c r="AO110" i="15"/>
  <c r="AH114" i="15"/>
  <c r="AL114" i="15"/>
  <c r="AO114" i="15"/>
  <c r="AR125" i="37"/>
  <c r="AK125" i="37"/>
  <c r="AI125" i="37"/>
  <c r="AS125" i="37"/>
  <c r="AJ125" i="37"/>
  <c r="AO125" i="37"/>
  <c r="AK133" i="37"/>
  <c r="AR133" i="37"/>
  <c r="AJ133" i="37"/>
  <c r="AQ133" i="37"/>
  <c r="AT133" i="37"/>
  <c r="AI122" i="15"/>
  <c r="AH122" i="15"/>
  <c r="AK122" i="15"/>
  <c r="AP122" i="15"/>
  <c r="AP120" i="15"/>
  <c r="AP111" i="15"/>
  <c r="AM110" i="15"/>
  <c r="G142" i="56"/>
  <c r="G156" i="56" s="1"/>
  <c r="AI116" i="15"/>
  <c r="AR130" i="37"/>
  <c r="AJ110" i="15"/>
  <c r="AR129" i="37"/>
  <c r="S368" i="3"/>
  <c r="AL118" i="15"/>
  <c r="AN136" i="37"/>
  <c r="AO123" i="37"/>
  <c r="AI128" i="37"/>
  <c r="AO118" i="15"/>
  <c r="S292" i="3"/>
  <c r="G332" i="56"/>
  <c r="G346" i="56" s="1"/>
  <c r="AL87" i="15"/>
  <c r="AJ87" i="15"/>
  <c r="AJ82" i="15"/>
  <c r="AN92" i="37"/>
  <c r="AI105" i="37"/>
  <c r="AP85" i="15"/>
  <c r="AI89" i="15"/>
  <c r="AN99" i="37"/>
  <c r="AM99" i="37"/>
  <c r="AO92" i="37"/>
  <c r="AT123" i="37"/>
  <c r="AJ123" i="37"/>
  <c r="AL123" i="37"/>
  <c r="AO97" i="37"/>
  <c r="AM155" i="37"/>
  <c r="AN128" i="37"/>
  <c r="AQ128" i="37"/>
  <c r="AS105" i="37"/>
  <c r="AK105" i="37"/>
  <c r="AP105" i="37"/>
  <c r="G142" i="3"/>
  <c r="G156" i="3" s="1"/>
  <c r="S140" i="3"/>
  <c r="H87" i="53"/>
  <c r="H91" i="53" s="1"/>
  <c r="G87" i="53"/>
  <c r="G91" i="53" s="1"/>
  <c r="AN82" i="15"/>
  <c r="AF82" i="15"/>
  <c r="AI82" i="15"/>
  <c r="AI111" i="15"/>
  <c r="AP82" i="15"/>
  <c r="AH87" i="15"/>
  <c r="AG87" i="15"/>
  <c r="AF87" i="15"/>
  <c r="AK87" i="15"/>
  <c r="AP87" i="15"/>
  <c r="AF116" i="15"/>
  <c r="AJ89" i="15"/>
  <c r="AN89" i="15"/>
  <c r="AO89" i="15"/>
  <c r="AK118" i="15"/>
  <c r="AJ91" i="15"/>
  <c r="AG91" i="15"/>
  <c r="AL91" i="15"/>
  <c r="AN91" i="15"/>
  <c r="AO91" i="15"/>
  <c r="AL120" i="15"/>
  <c r="AN93" i="15"/>
  <c r="AO93" i="15"/>
  <c r="AF93" i="15"/>
  <c r="AK93" i="15"/>
  <c r="AL93" i="15"/>
  <c r="AQ93" i="15"/>
  <c r="AN96" i="37"/>
  <c r="AK96" i="37"/>
  <c r="AT96" i="37"/>
  <c r="AQ96" i="37"/>
  <c r="AP96" i="37"/>
  <c r="AJ100" i="37"/>
  <c r="AI100" i="37"/>
  <c r="AP100" i="37"/>
  <c r="AO100" i="37"/>
  <c r="AO62" i="37" s="1"/>
  <c r="AM100" i="37"/>
  <c r="AK131" i="37"/>
  <c r="AI131" i="37"/>
  <c r="AQ131" i="37"/>
  <c r="AM158" i="37"/>
  <c r="AS131" i="37"/>
  <c r="AN131" i="37"/>
  <c r="AM131" i="37"/>
  <c r="AL104" i="37"/>
  <c r="AT104" i="37"/>
  <c r="AK104" i="37"/>
  <c r="AM95" i="37"/>
  <c r="AI95" i="37"/>
  <c r="AJ126" i="37"/>
  <c r="AS95" i="37"/>
  <c r="AJ95" i="37"/>
  <c r="AP95" i="37"/>
  <c r="AL95" i="37"/>
  <c r="AR95" i="37"/>
  <c r="AN95" i="37"/>
  <c r="AR126" i="37"/>
  <c r="AO126" i="37"/>
  <c r="AM126" i="37"/>
  <c r="AT126" i="37"/>
  <c r="AN126" i="37"/>
  <c r="AP103" i="37"/>
  <c r="AI103" i="37"/>
  <c r="AM103" i="37"/>
  <c r="AS103" i="37"/>
  <c r="AL103" i="37"/>
  <c r="AK103" i="37"/>
  <c r="AK65" i="37" s="1"/>
  <c r="AR103" i="37"/>
  <c r="AN103" i="37"/>
  <c r="AO103" i="37"/>
  <c r="AJ103" i="37"/>
  <c r="AQ103" i="37"/>
  <c r="AP134" i="37"/>
  <c r="AR134" i="37"/>
  <c r="AO134" i="37"/>
  <c r="AJ134" i="37"/>
  <c r="AT134" i="37"/>
  <c r="AL134" i="37"/>
  <c r="AJ93" i="37"/>
  <c r="AP93" i="37"/>
  <c r="AO93" i="37"/>
  <c r="AR93" i="37"/>
  <c r="AM93" i="37"/>
  <c r="AK93" i="37"/>
  <c r="AI93" i="37"/>
  <c r="AN93" i="37"/>
  <c r="AQ93" i="37"/>
  <c r="AQ124" i="37"/>
  <c r="AR101" i="37"/>
  <c r="AK101" i="37"/>
  <c r="AO101" i="37"/>
  <c r="AT101" i="37"/>
  <c r="AM101" i="37"/>
  <c r="AJ101" i="37"/>
  <c r="AS101" i="37"/>
  <c r="AN101" i="37"/>
  <c r="AP101" i="37"/>
  <c r="AI95" i="15"/>
  <c r="AL95" i="15"/>
  <c r="AJ95" i="15"/>
  <c r="AO95" i="15"/>
  <c r="AN95" i="15"/>
  <c r="AK95" i="15"/>
  <c r="AM95" i="15"/>
  <c r="AJ124" i="15"/>
  <c r="AK83" i="15"/>
  <c r="AN83" i="15"/>
  <c r="AI83" i="15"/>
  <c r="AF83" i="15"/>
  <c r="AO83" i="15"/>
  <c r="AL83" i="15"/>
  <c r="AH83" i="15"/>
  <c r="AQ83" i="15"/>
  <c r="AP83" i="15"/>
  <c r="AG82" i="15"/>
  <c r="AK82" i="15"/>
  <c r="AN87" i="15"/>
  <c r="AI87" i="15"/>
  <c r="AL89" i="15"/>
  <c r="AH89" i="15"/>
  <c r="AF89" i="15"/>
  <c r="AK89" i="15"/>
  <c r="AI91" i="15"/>
  <c r="AQ91" i="15"/>
  <c r="AH91" i="15"/>
  <c r="AF91" i="15"/>
  <c r="AK91" i="15"/>
  <c r="AG93" i="15"/>
  <c r="AH93" i="15"/>
  <c r="AM94" i="37"/>
  <c r="AM56" i="37" s="1"/>
  <c r="AI94" i="37"/>
  <c r="AR94" i="37"/>
  <c r="AN98" i="37"/>
  <c r="AQ98" i="37"/>
  <c r="AJ102" i="37"/>
  <c r="AM102" i="37"/>
  <c r="AP99" i="37"/>
  <c r="AO99" i="37"/>
  <c r="AT99" i="37"/>
  <c r="AL99" i="37"/>
  <c r="AK99" i="37"/>
  <c r="AQ99" i="37"/>
  <c r="AL92" i="37"/>
  <c r="AS123" i="37"/>
  <c r="AS92" i="37"/>
  <c r="AJ92" i="37"/>
  <c r="AP92" i="37"/>
  <c r="AM97" i="37"/>
  <c r="AP97" i="37"/>
  <c r="AN97" i="37"/>
  <c r="AP128" i="37"/>
  <c r="AS97" i="37"/>
  <c r="AS59" i="37" s="1"/>
  <c r="AL97" i="37"/>
  <c r="AK97" i="37"/>
  <c r="AR97" i="37"/>
  <c r="AQ105" i="37"/>
  <c r="AM105" i="37"/>
  <c r="AM67" i="37" s="1"/>
  <c r="AR105" i="37"/>
  <c r="AN105" i="37"/>
  <c r="AO105" i="37"/>
  <c r="AT105" i="37"/>
  <c r="AJ105" i="37"/>
  <c r="AM85" i="15"/>
  <c r="AI85" i="15"/>
  <c r="AF85" i="15"/>
  <c r="AO85" i="15"/>
  <c r="AG81" i="15"/>
  <c r="AI81" i="15"/>
  <c r="AF81" i="15"/>
  <c r="AP81" i="15"/>
  <c r="AG84" i="15"/>
  <c r="AH84" i="15"/>
  <c r="AN84" i="15"/>
  <c r="AF84" i="15"/>
  <c r="AI84" i="15"/>
  <c r="AG86" i="15"/>
  <c r="AP86" i="15"/>
  <c r="AO86" i="15"/>
  <c r="AJ86" i="15"/>
  <c r="AH86" i="15"/>
  <c r="AI88" i="15"/>
  <c r="AM88" i="15"/>
  <c r="AJ88" i="15"/>
  <c r="AK88" i="15"/>
  <c r="AP88" i="15"/>
  <c r="AI90" i="15"/>
  <c r="AO90" i="15"/>
  <c r="AH92" i="15"/>
  <c r="AI92" i="15"/>
  <c r="AK92" i="15"/>
  <c r="AM94" i="15"/>
  <c r="AH94" i="15"/>
  <c r="AP94" i="15"/>
  <c r="AJ94" i="15"/>
  <c r="AI94" i="15"/>
  <c r="AL94" i="15"/>
  <c r="AG110" i="15"/>
  <c r="AJ114" i="15"/>
  <c r="AM114" i="15"/>
  <c r="AQ130" i="37"/>
  <c r="AK130" i="37"/>
  <c r="AM130" i="37"/>
  <c r="AI130" i="37"/>
  <c r="AN130" i="37"/>
  <c r="AS130" i="37"/>
  <c r="AM157" i="37"/>
  <c r="F294" i="3"/>
  <c r="F308" i="3" s="1"/>
  <c r="AP114" i="15"/>
  <c r="AQ114" i="15"/>
  <c r="AQ110" i="15"/>
  <c r="AP110" i="15"/>
  <c r="AI119" i="15"/>
  <c r="AI121" i="15"/>
  <c r="AI129" i="37"/>
  <c r="AL129" i="37"/>
  <c r="AS129" i="37"/>
  <c r="AM156" i="37"/>
  <c r="AG117" i="15"/>
  <c r="AK123" i="15"/>
  <c r="AF119" i="15"/>
  <c r="AP136" i="37"/>
  <c r="AJ136" i="37"/>
  <c r="AO136" i="37"/>
  <c r="AR136" i="37"/>
  <c r="AL128" i="37"/>
  <c r="AK123" i="37"/>
  <c r="AI123" i="37"/>
  <c r="AQ123" i="37"/>
  <c r="AM123" i="37"/>
  <c r="AN123" i="37"/>
  <c r="AP123" i="37"/>
  <c r="AM150" i="37"/>
  <c r="AM128" i="37"/>
  <c r="AT128" i="37"/>
  <c r="AJ128" i="37"/>
  <c r="AO128" i="37"/>
  <c r="AR128" i="37"/>
  <c r="AL130" i="37"/>
  <c r="AK136" i="37"/>
  <c r="AQ136" i="37"/>
  <c r="AP115" i="15"/>
  <c r="AL123" i="15"/>
  <c r="AK128" i="37"/>
  <c r="J180" i="3"/>
  <c r="J194" i="3" s="1"/>
  <c r="J218" i="56"/>
  <c r="J232" i="56" s="1"/>
  <c r="AJ129" i="37"/>
  <c r="AT129" i="37"/>
  <c r="AM129" i="37"/>
  <c r="AN129" i="37"/>
  <c r="AQ129" i="37"/>
  <c r="J142" i="3"/>
  <c r="J156" i="3" s="1"/>
  <c r="AP90" i="15"/>
  <c r="AN119" i="15"/>
  <c r="AP92" i="15"/>
  <c r="AP84" i="15"/>
  <c r="AN113" i="15"/>
  <c r="AQ86" i="15"/>
  <c r="AN86" i="15"/>
  <c r="AO88" i="15"/>
  <c r="AJ90" i="15"/>
  <c r="AQ90" i="15"/>
  <c r="AJ92" i="15"/>
  <c r="AQ92" i="15"/>
  <c r="AQ94" i="15"/>
  <c r="AN94" i="15"/>
  <c r="AM84" i="15"/>
  <c r="AH88" i="15"/>
  <c r="AK86" i="15"/>
  <c r="AR99" i="37"/>
  <c r="AQ97" i="37"/>
  <c r="AJ99" i="37"/>
  <c r="AK92" i="37"/>
  <c r="AJ97" i="37"/>
  <c r="AL105" i="37"/>
  <c r="AR92" i="37"/>
  <c r="AR54" i="37" s="1"/>
  <c r="AT97" i="37"/>
  <c r="AI99" i="37"/>
  <c r="AI86" i="15"/>
  <c r="AL86" i="15"/>
  <c r="AG88" i="15"/>
  <c r="AL88" i="15"/>
  <c r="AL60" i="15" s="1"/>
  <c r="AF94" i="15"/>
  <c r="AQ84" i="15"/>
  <c r="AI92" i="37"/>
  <c r="AJ85" i="15"/>
  <c r="AJ81" i="15"/>
  <c r="AQ92" i="37"/>
  <c r="AI97" i="37"/>
  <c r="AM81" i="15"/>
  <c r="AG85" i="15"/>
  <c r="AT98" i="37"/>
  <c r="AO94" i="37"/>
  <c r="AL94" i="37"/>
  <c r="AR98" i="37"/>
  <c r="AS94" i="37"/>
  <c r="AO102" i="37"/>
  <c r="AP102" i="37"/>
  <c r="AP64" i="37" s="1"/>
  <c r="AK98" i="37"/>
  <c r="AK60" i="37" s="1"/>
  <c r="AI102" i="37"/>
  <c r="AS127" i="37"/>
  <c r="AO96" i="37"/>
  <c r="AR96" i="37"/>
  <c r="AI96" i="37"/>
  <c r="AL96" i="37"/>
  <c r="AS96" i="37"/>
  <c r="AM96" i="37"/>
  <c r="AT131" i="37"/>
  <c r="AR100" i="37"/>
  <c r="AL100" i="37"/>
  <c r="AQ100" i="37"/>
  <c r="AK100" i="37"/>
  <c r="AN100" i="37"/>
  <c r="AT100" i="37"/>
  <c r="AQ104" i="37"/>
  <c r="AS104" i="37"/>
  <c r="AM104" i="37"/>
  <c r="AP104" i="37"/>
  <c r="AJ104" i="37"/>
  <c r="AO104" i="37"/>
  <c r="AI104" i="37"/>
  <c r="C284" i="34"/>
  <c r="C206" i="7"/>
  <c r="C114" i="7"/>
  <c r="C148" i="34"/>
  <c r="L148" i="34" s="1"/>
  <c r="C292" i="34"/>
  <c r="C122" i="7"/>
  <c r="C244" i="34"/>
  <c r="L244" i="34" s="1"/>
  <c r="C270" i="7"/>
  <c r="C108" i="7"/>
  <c r="C76" i="34"/>
  <c r="C278" i="34"/>
  <c r="C158" i="7"/>
  <c r="AT92" i="37"/>
  <c r="AM92" i="37"/>
  <c r="C282" i="34"/>
  <c r="C190" i="7"/>
  <c r="C112" i="7"/>
  <c r="C124" i="34"/>
  <c r="C290" i="34"/>
  <c r="C120" i="7"/>
  <c r="C220" i="34"/>
  <c r="L220" i="34" s="1"/>
  <c r="C254" i="7"/>
  <c r="J256" i="56"/>
  <c r="J270" i="56" s="1"/>
  <c r="F256" i="56"/>
  <c r="F270" i="56" s="1"/>
  <c r="AL85" i="15"/>
  <c r="AQ85" i="15"/>
  <c r="AH85" i="15"/>
  <c r="AN85" i="15"/>
  <c r="AK85" i="15"/>
  <c r="AL81" i="15"/>
  <c r="AN81" i="15"/>
  <c r="AK81" i="15"/>
  <c r="AH81" i="15"/>
  <c r="AQ81" i="15"/>
  <c r="A1" i="51"/>
  <c r="E242" i="38"/>
  <c r="E240" i="38" s="1"/>
  <c r="F236" i="38"/>
  <c r="AQ125" i="37"/>
  <c r="AP94" i="37"/>
  <c r="AJ94" i="37"/>
  <c r="AT94" i="37"/>
  <c r="AN94" i="37"/>
  <c r="AK94" i="37"/>
  <c r="AQ94" i="37"/>
  <c r="AP129" i="37"/>
  <c r="AS98" i="37"/>
  <c r="AM98" i="37"/>
  <c r="AO98" i="37"/>
  <c r="AI98" i="37"/>
  <c r="AJ98" i="37"/>
  <c r="AP98" i="37"/>
  <c r="AL133" i="37"/>
  <c r="AQ102" i="37"/>
  <c r="AT102" i="37"/>
  <c r="AK102" i="37"/>
  <c r="AN102" i="37"/>
  <c r="AR102" i="37"/>
  <c r="AL102" i="37"/>
  <c r="C280" i="34"/>
  <c r="C174" i="7"/>
  <c r="C100" i="34"/>
  <c r="L100" i="34" s="1"/>
  <c r="C110" i="7"/>
  <c r="AT95" i="37"/>
  <c r="AQ95" i="37"/>
  <c r="C288" i="34"/>
  <c r="C118" i="7"/>
  <c r="C238" i="7"/>
  <c r="C196" i="34"/>
  <c r="L196" i="34" s="1"/>
  <c r="C286" i="34"/>
  <c r="P286" i="34" s="1"/>
  <c r="L286" i="34" s="1"/>
  <c r="C116" i="7"/>
  <c r="C172" i="34"/>
  <c r="L172" i="34" s="1"/>
  <c r="C222" i="7"/>
  <c r="AQ101" i="37"/>
  <c r="AL101" i="37"/>
  <c r="G180" i="56"/>
  <c r="G194" i="56" s="1"/>
  <c r="F180" i="56"/>
  <c r="F194" i="56" s="1"/>
  <c r="J180" i="56"/>
  <c r="J194" i="56" s="1"/>
  <c r="AQ124" i="15"/>
  <c r="AP95" i="15"/>
  <c r="AG95" i="15"/>
  <c r="AP112" i="15"/>
  <c r="AG83" i="15"/>
  <c r="AM83" i="15"/>
  <c r="H145" i="53"/>
  <c r="H149" i="53" s="1"/>
  <c r="G145" i="53"/>
  <c r="G149" i="53" s="1"/>
  <c r="AM22" i="14"/>
  <c r="A1" i="49"/>
  <c r="S50" i="38"/>
  <c r="T50" i="38"/>
  <c r="T76" i="38"/>
  <c r="J85" i="38" s="1"/>
  <c r="S76" i="38"/>
  <c r="I85" i="38" s="1"/>
  <c r="U76" i="38"/>
  <c r="K85" i="38" s="1"/>
  <c r="U74" i="38"/>
  <c r="K83" i="38" s="1"/>
  <c r="H64" i="47"/>
  <c r="I64" i="47" s="1"/>
  <c r="I179" i="51"/>
  <c r="I182" i="51" s="1"/>
  <c r="G100" i="47"/>
  <c r="G103" i="47" s="1"/>
  <c r="F67" i="47"/>
  <c r="F70" i="47" s="1"/>
  <c r="G182" i="51"/>
  <c r="E124" i="47"/>
  <c r="F49" i="47"/>
  <c r="F50" i="47" s="1"/>
  <c r="H121" i="47"/>
  <c r="H122" i="47" s="1"/>
  <c r="F124" i="47"/>
  <c r="F122" i="47"/>
  <c r="G114" i="51"/>
  <c r="G148" i="51"/>
  <c r="F139" i="47"/>
  <c r="F142" i="47" s="1"/>
  <c r="G179" i="49"/>
  <c r="F182" i="49"/>
  <c r="F194" i="47"/>
  <c r="I97" i="51"/>
  <c r="H82" i="47"/>
  <c r="G165" i="51"/>
  <c r="H162" i="51"/>
  <c r="H128" i="51"/>
  <c r="G131" i="51"/>
  <c r="G122" i="47"/>
  <c r="G124" i="47"/>
  <c r="G145" i="49"/>
  <c r="F148" i="49"/>
  <c r="H94" i="49"/>
  <c r="G97" i="49"/>
  <c r="I77" i="51"/>
  <c r="H43" i="49"/>
  <c r="G175" i="47"/>
  <c r="H172" i="47"/>
  <c r="G68" i="47"/>
  <c r="G69" i="47"/>
  <c r="G65" i="47" s="1"/>
  <c r="G10" i="47" s="1"/>
  <c r="AN9" i="14" s="1"/>
  <c r="G70" i="47"/>
  <c r="H49" i="47"/>
  <c r="I46" i="47"/>
  <c r="J145" i="51"/>
  <c r="J148" i="51" s="1"/>
  <c r="I148" i="51"/>
  <c r="F31" i="47"/>
  <c r="G28" i="47"/>
  <c r="E32" i="47"/>
  <c r="E34" i="47"/>
  <c r="E33" i="47"/>
  <c r="G26" i="51"/>
  <c r="F29" i="51"/>
  <c r="F159" i="47"/>
  <c r="F160" i="47"/>
  <c r="F158" i="47"/>
  <c r="H157" i="47"/>
  <c r="I154" i="47"/>
  <c r="G51" i="47"/>
  <c r="G50" i="47"/>
  <c r="G52" i="47"/>
  <c r="H114" i="49"/>
  <c r="I111" i="49"/>
  <c r="H131" i="49"/>
  <c r="I128" i="49"/>
  <c r="I121" i="47"/>
  <c r="J118" i="47"/>
  <c r="J121" i="47" s="1"/>
  <c r="F392" i="15" l="1"/>
  <c r="E398" i="15"/>
  <c r="S166" i="15"/>
  <c r="S161" i="15"/>
  <c r="T165" i="15"/>
  <c r="E356" i="15"/>
  <c r="F356" i="15" s="1"/>
  <c r="F362" i="15" s="1"/>
  <c r="G101" i="37"/>
  <c r="J105" i="37"/>
  <c r="N101" i="37"/>
  <c r="AF101" i="37"/>
  <c r="E212" i="38"/>
  <c r="D110" i="38"/>
  <c r="E104" i="38"/>
  <c r="N18" i="38"/>
  <c r="O79" i="15" s="1"/>
  <c r="K18" i="38"/>
  <c r="O18" i="38"/>
  <c r="P79" i="15" s="1"/>
  <c r="P18" i="38"/>
  <c r="Q79" i="15" s="1"/>
  <c r="M18" i="38"/>
  <c r="N79" i="15" s="1"/>
  <c r="L18" i="38"/>
  <c r="M79" i="15" s="1"/>
  <c r="O105" i="37"/>
  <c r="M105" i="37"/>
  <c r="F105" i="37"/>
  <c r="D90" i="15"/>
  <c r="B29" i="15" s="1"/>
  <c r="D302" i="38"/>
  <c r="D300" i="38" s="1"/>
  <c r="K105" i="37"/>
  <c r="F196" i="47"/>
  <c r="H100" i="47"/>
  <c r="J111" i="51"/>
  <c r="J114" i="51" s="1"/>
  <c r="J26" i="49"/>
  <c r="G159" i="47"/>
  <c r="I136" i="47"/>
  <c r="I139" i="47" s="1"/>
  <c r="H63" i="51"/>
  <c r="I46" i="51"/>
  <c r="J738" i="50"/>
  <c r="E62" i="41"/>
  <c r="N23" i="38"/>
  <c r="O84" i="15" s="1"/>
  <c r="P27" i="38"/>
  <c r="Q88" i="15" s="1"/>
  <c r="K27" i="38"/>
  <c r="L88" i="15" s="1"/>
  <c r="O29" i="38"/>
  <c r="P90" i="15" s="1"/>
  <c r="I285" i="50"/>
  <c r="I284" i="50" s="1"/>
  <c r="E63" i="41"/>
  <c r="J696" i="50"/>
  <c r="L27" i="15"/>
  <c r="D168" i="45" s="1"/>
  <c r="D27" i="15"/>
  <c r="C233" i="38" s="1"/>
  <c r="I233" i="38" s="1"/>
  <c r="B147" i="14"/>
  <c r="AL64" i="37"/>
  <c r="K302" i="50"/>
  <c r="K301" i="50" s="1"/>
  <c r="AX100" i="50"/>
  <c r="AW502" i="50"/>
  <c r="BB100" i="50"/>
  <c r="G284" i="50"/>
  <c r="Z285" i="50"/>
  <c r="K284" i="50"/>
  <c r="K287" i="50"/>
  <c r="K288" i="50"/>
  <c r="Z289" i="50"/>
  <c r="K286" i="50"/>
  <c r="AZ504" i="50"/>
  <c r="G288" i="50"/>
  <c r="Z700" i="50"/>
  <c r="G286" i="50"/>
  <c r="G287" i="50"/>
  <c r="BB502" i="50"/>
  <c r="AX497" i="50"/>
  <c r="H284" i="50"/>
  <c r="H286" i="50"/>
  <c r="H287" i="50"/>
  <c r="Z286" i="50"/>
  <c r="H288" i="50"/>
  <c r="N27" i="15"/>
  <c r="F168" i="45" s="1"/>
  <c r="AY101" i="50"/>
  <c r="AT62" i="37"/>
  <c r="D27" i="38"/>
  <c r="E88" i="15" s="1"/>
  <c r="AR66" i="37"/>
  <c r="O27" i="15"/>
  <c r="G168" i="44" s="1"/>
  <c r="B27" i="15"/>
  <c r="Q27" i="15"/>
  <c r="I168" i="44" s="1"/>
  <c r="M27" i="38"/>
  <c r="N88" i="15" s="1"/>
  <c r="O27" i="38"/>
  <c r="P88" i="15" s="1"/>
  <c r="AY100" i="50"/>
  <c r="BA501" i="50"/>
  <c r="D194" i="38"/>
  <c r="D192" i="38" s="1"/>
  <c r="E27" i="15"/>
  <c r="D451" i="7" s="1"/>
  <c r="AB349" i="7" s="1"/>
  <c r="I27" i="15"/>
  <c r="H163" i="45" s="1"/>
  <c r="BA504" i="50"/>
  <c r="AL65" i="37"/>
  <c r="H27" i="15"/>
  <c r="G451" i="7" s="1"/>
  <c r="AE349" i="7" s="1"/>
  <c r="G27" i="15"/>
  <c r="F163" i="45" s="1"/>
  <c r="N27" i="38"/>
  <c r="O88" i="15" s="1"/>
  <c r="AW498" i="50"/>
  <c r="P27" i="15"/>
  <c r="H168" i="44" s="1"/>
  <c r="J27" i="15"/>
  <c r="I451" i="7" s="1"/>
  <c r="AG349" i="7" s="1"/>
  <c r="M27" i="15"/>
  <c r="E168" i="44" s="1"/>
  <c r="J707" i="50"/>
  <c r="F27" i="15"/>
  <c r="E163" i="45" s="1"/>
  <c r="L27" i="38"/>
  <c r="M88" i="15" s="1"/>
  <c r="J766" i="50"/>
  <c r="E24" i="15"/>
  <c r="D127" i="45" s="1"/>
  <c r="S160" i="15"/>
  <c r="E272" i="38"/>
  <c r="E278" i="38" s="1"/>
  <c r="E276" i="38" s="1"/>
  <c r="D30" i="38" s="1"/>
  <c r="E91" i="15" s="1"/>
  <c r="D83" i="15"/>
  <c r="L22" i="15" s="1"/>
  <c r="D412" i="7" s="1"/>
  <c r="AH344" i="7" s="1"/>
  <c r="E23" i="15"/>
  <c r="D115" i="45" s="1"/>
  <c r="AA832" i="50"/>
  <c r="BB505" i="50"/>
  <c r="AZ506" i="50"/>
  <c r="P23" i="15"/>
  <c r="H120" i="45" s="1"/>
  <c r="AZ498" i="50"/>
  <c r="G290" i="15"/>
  <c r="G289" i="15" s="1"/>
  <c r="G288" i="15" s="1"/>
  <c r="O23" i="15"/>
  <c r="G420" i="7" s="1"/>
  <c r="AK345" i="7" s="1"/>
  <c r="N21" i="38"/>
  <c r="O82" i="15" s="1"/>
  <c r="J741" i="50"/>
  <c r="AA802" i="50"/>
  <c r="AX500" i="50"/>
  <c r="E272" i="15"/>
  <c r="F272" i="15" s="1"/>
  <c r="D82" i="15"/>
  <c r="P21" i="15" s="1"/>
  <c r="H404" i="7" s="1"/>
  <c r="AL343" i="7" s="1"/>
  <c r="H290" i="15"/>
  <c r="H289" i="15" s="1"/>
  <c r="H288" i="15" s="1"/>
  <c r="AW497" i="50"/>
  <c r="E265" i="15"/>
  <c r="E264" i="15" s="1"/>
  <c r="F774" i="50"/>
  <c r="F742" i="50"/>
  <c r="J767" i="50"/>
  <c r="AX503" i="50"/>
  <c r="BA506" i="50"/>
  <c r="AA696" i="50"/>
  <c r="J700" i="50"/>
  <c r="BB498" i="50"/>
  <c r="BA497" i="50"/>
  <c r="BA505" i="50"/>
  <c r="BB499" i="50"/>
  <c r="AX505" i="50"/>
  <c r="BA502" i="50"/>
  <c r="F772" i="50"/>
  <c r="F776" i="50"/>
  <c r="F741" i="50"/>
  <c r="J768" i="50"/>
  <c r="Z768" i="50"/>
  <c r="F843" i="50"/>
  <c r="F707" i="50"/>
  <c r="J699" i="50"/>
  <c r="BB500" i="50"/>
  <c r="BB504" i="50"/>
  <c r="BA499" i="50"/>
  <c r="BA503" i="50"/>
  <c r="BB503" i="50"/>
  <c r="BB497" i="50"/>
  <c r="BB501" i="50"/>
  <c r="BA500" i="50"/>
  <c r="AZ500" i="50"/>
  <c r="AX501" i="50"/>
  <c r="BA498" i="50"/>
  <c r="AX499" i="50"/>
  <c r="AZ502" i="50"/>
  <c r="AW501" i="50"/>
  <c r="BB506" i="50"/>
  <c r="AW505" i="50"/>
  <c r="AX504" i="50"/>
  <c r="AW504" i="50"/>
  <c r="J179" i="51"/>
  <c r="J182" i="51" s="1"/>
  <c r="I162" i="49"/>
  <c r="J162" i="49" s="1"/>
  <c r="J165" i="49" s="1"/>
  <c r="AA734" i="50"/>
  <c r="AW499" i="50"/>
  <c r="AW503" i="50"/>
  <c r="J708" i="50"/>
  <c r="J809" i="50"/>
  <c r="AX498" i="50"/>
  <c r="AX502" i="50"/>
  <c r="AX506" i="50"/>
  <c r="AW506" i="50"/>
  <c r="AW500" i="50"/>
  <c r="K26" i="58"/>
  <c r="L26" i="58" s="1"/>
  <c r="L42" i="58" s="1"/>
  <c r="AY499" i="50"/>
  <c r="H714" i="50"/>
  <c r="AZ497" i="50"/>
  <c r="I680" i="50"/>
  <c r="I679" i="50" s="1"/>
  <c r="AZ501" i="50"/>
  <c r="I748" i="50"/>
  <c r="AY504" i="50"/>
  <c r="H799" i="50"/>
  <c r="AZ505" i="50"/>
  <c r="I816" i="50"/>
  <c r="I815" i="50" s="1"/>
  <c r="AY502" i="50"/>
  <c r="H765" i="50"/>
  <c r="AY506" i="50"/>
  <c r="H833" i="50"/>
  <c r="H832" i="50" s="1"/>
  <c r="AY498" i="50"/>
  <c r="H697" i="50"/>
  <c r="H696" i="50" s="1"/>
  <c r="F704" i="50"/>
  <c r="AA764" i="50"/>
  <c r="J742" i="50"/>
  <c r="F740" i="50"/>
  <c r="AA730" i="50"/>
  <c r="F844" i="50"/>
  <c r="F842" i="50"/>
  <c r="F708" i="50"/>
  <c r="J706" i="50"/>
  <c r="AA700" i="50"/>
  <c r="J808" i="50"/>
  <c r="J810" i="50"/>
  <c r="AY503" i="50"/>
  <c r="H782" i="50"/>
  <c r="H781" i="50" s="1"/>
  <c r="AZ499" i="50"/>
  <c r="I714" i="50"/>
  <c r="I713" i="50" s="1"/>
  <c r="AY500" i="50"/>
  <c r="H731" i="50"/>
  <c r="AZ503" i="50"/>
  <c r="I782" i="50"/>
  <c r="I781" i="50" s="1"/>
  <c r="AY501" i="50"/>
  <c r="H748" i="50"/>
  <c r="AY505" i="50"/>
  <c r="H816" i="50"/>
  <c r="H815" i="50" s="1"/>
  <c r="K21" i="38"/>
  <c r="L82" i="15" s="1"/>
  <c r="E296" i="15"/>
  <c r="F296" i="15" s="1"/>
  <c r="T163" i="15"/>
  <c r="S168" i="15"/>
  <c r="S176" i="15"/>
  <c r="O28" i="15"/>
  <c r="G180" i="44" s="1"/>
  <c r="T167" i="15"/>
  <c r="E397" i="15" s="1"/>
  <c r="E396" i="15" s="1"/>
  <c r="T173" i="15"/>
  <c r="AH17" i="14"/>
  <c r="C100" i="3"/>
  <c r="C101" i="3" s="1"/>
  <c r="S102" i="3" s="1"/>
  <c r="O32" i="58"/>
  <c r="P32" i="58" s="1"/>
  <c r="Q286" i="34"/>
  <c r="M286" i="34" s="1"/>
  <c r="S286" i="34"/>
  <c r="R286" i="34"/>
  <c r="N286" i="34" s="1"/>
  <c r="T286" i="34"/>
  <c r="Q287" i="34"/>
  <c r="M287" i="34" s="1"/>
  <c r="S287" i="34"/>
  <c r="R287" i="34"/>
  <c r="N287" i="34" s="1"/>
  <c r="T287" i="34"/>
  <c r="Q291" i="34"/>
  <c r="M291" i="34" s="1"/>
  <c r="S291" i="34"/>
  <c r="R291" i="34"/>
  <c r="N291" i="34" s="1"/>
  <c r="T291" i="34"/>
  <c r="Q285" i="43"/>
  <c r="L285" i="43" s="1"/>
  <c r="S285" i="43"/>
  <c r="T285" i="43"/>
  <c r="R285" i="43"/>
  <c r="M285" i="43" s="1"/>
  <c r="Q283" i="43"/>
  <c r="L283" i="43" s="1"/>
  <c r="S283" i="43"/>
  <c r="T283" i="43"/>
  <c r="R283" i="43"/>
  <c r="M283" i="43" s="1"/>
  <c r="Q290" i="43"/>
  <c r="L290" i="43" s="1"/>
  <c r="S290" i="43"/>
  <c r="T290" i="43"/>
  <c r="R290" i="43"/>
  <c r="M290" i="43" s="1"/>
  <c r="Q280" i="43"/>
  <c r="L280" i="43" s="1"/>
  <c r="S280" i="43"/>
  <c r="R280" i="43"/>
  <c r="M280" i="43" s="1"/>
  <c r="T280" i="43"/>
  <c r="Q282" i="43"/>
  <c r="L282" i="43" s="1"/>
  <c r="S282" i="43"/>
  <c r="T282" i="43"/>
  <c r="R282" i="43"/>
  <c r="M282" i="43" s="1"/>
  <c r="Q283" i="34"/>
  <c r="M283" i="34" s="1"/>
  <c r="S283" i="34"/>
  <c r="R283" i="34"/>
  <c r="N283" i="34" s="1"/>
  <c r="T283" i="34"/>
  <c r="Q281" i="34"/>
  <c r="M281" i="34" s="1"/>
  <c r="S281" i="34"/>
  <c r="R281" i="34"/>
  <c r="N281" i="34" s="1"/>
  <c r="T281" i="34"/>
  <c r="Q289" i="34"/>
  <c r="M289" i="34" s="1"/>
  <c r="S289" i="34"/>
  <c r="R289" i="34"/>
  <c r="N289" i="34" s="1"/>
  <c r="T289" i="34"/>
  <c r="Q285" i="34"/>
  <c r="M285" i="34" s="1"/>
  <c r="S285" i="34"/>
  <c r="R285" i="34"/>
  <c r="N285" i="34" s="1"/>
  <c r="T285" i="34"/>
  <c r="Q291" i="43"/>
  <c r="L291" i="43" s="1"/>
  <c r="S291" i="43"/>
  <c r="T291" i="43"/>
  <c r="R291" i="43"/>
  <c r="M291" i="43" s="1"/>
  <c r="Q293" i="43"/>
  <c r="L293" i="43" s="1"/>
  <c r="S293" i="43"/>
  <c r="T293" i="43"/>
  <c r="R293" i="43"/>
  <c r="M293" i="43" s="1"/>
  <c r="Q289" i="43"/>
  <c r="L289" i="43" s="1"/>
  <c r="S289" i="43"/>
  <c r="T289" i="43"/>
  <c r="R289" i="43"/>
  <c r="M289" i="43" s="1"/>
  <c r="Q286" i="43"/>
  <c r="L286" i="43" s="1"/>
  <c r="S286" i="43"/>
  <c r="T286" i="43"/>
  <c r="R286" i="43"/>
  <c r="M286" i="43" s="1"/>
  <c r="G261" i="50"/>
  <c r="G258" i="50"/>
  <c r="I261" i="50"/>
  <c r="I258" i="50"/>
  <c r="K261" i="50"/>
  <c r="K258" i="50"/>
  <c r="G244" i="50"/>
  <c r="G241" i="50"/>
  <c r="I244" i="50"/>
  <c r="I241" i="50"/>
  <c r="K244" i="50"/>
  <c r="K241" i="50"/>
  <c r="G227" i="50"/>
  <c r="G224" i="50"/>
  <c r="I227" i="50"/>
  <c r="I224" i="50"/>
  <c r="K227" i="50"/>
  <c r="K224" i="50"/>
  <c r="K210" i="50"/>
  <c r="K207" i="50"/>
  <c r="I194" i="50"/>
  <c r="I190" i="50"/>
  <c r="K194" i="50"/>
  <c r="K190" i="50"/>
  <c r="G194" i="50"/>
  <c r="G190" i="50"/>
  <c r="AA182" i="50"/>
  <c r="F190" i="50"/>
  <c r="H194" i="50"/>
  <c r="H190" i="50"/>
  <c r="J194" i="50"/>
  <c r="J190" i="50"/>
  <c r="I177" i="50"/>
  <c r="I173" i="50"/>
  <c r="K177" i="50"/>
  <c r="K173" i="50"/>
  <c r="G177" i="50"/>
  <c r="G173" i="50"/>
  <c r="AA165" i="50"/>
  <c r="F173" i="50"/>
  <c r="H177" i="50"/>
  <c r="H173" i="50"/>
  <c r="J177" i="50"/>
  <c r="J173" i="50"/>
  <c r="I160" i="50"/>
  <c r="I156" i="50"/>
  <c r="K160" i="50"/>
  <c r="K156" i="50"/>
  <c r="G160" i="50"/>
  <c r="G156" i="50"/>
  <c r="AA148" i="50"/>
  <c r="F156" i="50"/>
  <c r="H160" i="50"/>
  <c r="H156" i="50"/>
  <c r="J160" i="50"/>
  <c r="J156" i="50"/>
  <c r="J288" i="50"/>
  <c r="J284" i="50"/>
  <c r="J606" i="50"/>
  <c r="J602" i="50"/>
  <c r="I605" i="50"/>
  <c r="I602" i="50"/>
  <c r="G606" i="50"/>
  <c r="G602" i="50"/>
  <c r="AA594" i="50"/>
  <c r="F602" i="50"/>
  <c r="F817" i="50"/>
  <c r="F815" i="50"/>
  <c r="Z747" i="50"/>
  <c r="F747" i="50"/>
  <c r="F716" i="50"/>
  <c r="F713" i="50"/>
  <c r="E224" i="15"/>
  <c r="E230" i="15" s="1"/>
  <c r="E229" i="15" s="1"/>
  <c r="E228" i="15" s="1"/>
  <c r="F290" i="15"/>
  <c r="F289" i="15" s="1"/>
  <c r="F288" i="15" s="1"/>
  <c r="I290" i="15"/>
  <c r="I289" i="15" s="1"/>
  <c r="I288" i="15" s="1"/>
  <c r="F260" i="15"/>
  <c r="E362" i="15"/>
  <c r="E361" i="15" s="1"/>
  <c r="E360" i="15" s="1"/>
  <c r="AM144" i="37"/>
  <c r="P274" i="34" s="1"/>
  <c r="L274" i="34" s="1"/>
  <c r="P279" i="34"/>
  <c r="L279" i="34" s="1"/>
  <c r="P277" i="34"/>
  <c r="L277" i="34" s="1"/>
  <c r="T73" i="38"/>
  <c r="D109" i="38" s="1"/>
  <c r="D108" i="38" s="1"/>
  <c r="S73" i="38"/>
  <c r="I82" i="38" s="1"/>
  <c r="D121" i="38"/>
  <c r="D120" i="38" s="1"/>
  <c r="I90" i="38"/>
  <c r="J90" i="38"/>
  <c r="V73" i="38"/>
  <c r="L82" i="38" s="1"/>
  <c r="G23" i="15"/>
  <c r="F419" i="7" s="1"/>
  <c r="AD345" i="7" s="1"/>
  <c r="Q23" i="15"/>
  <c r="I120" i="44" s="1"/>
  <c r="L23" i="15"/>
  <c r="D420" i="7" s="1"/>
  <c r="AH345" i="7" s="1"/>
  <c r="N29" i="38"/>
  <c r="O90" i="15" s="1"/>
  <c r="K29" i="38"/>
  <c r="L90" i="15" s="1"/>
  <c r="B23" i="15"/>
  <c r="I23" i="15"/>
  <c r="H419" i="7" s="1"/>
  <c r="AF345" i="7" s="1"/>
  <c r="D23" i="15"/>
  <c r="C185" i="38" s="1"/>
  <c r="I185" i="38" s="1"/>
  <c r="N23" i="15"/>
  <c r="F420" i="7" s="1"/>
  <c r="AJ345" i="7" s="1"/>
  <c r="F23" i="15"/>
  <c r="E115" i="45" s="1"/>
  <c r="J23" i="15"/>
  <c r="I419" i="7" s="1"/>
  <c r="AG345" i="7" s="1"/>
  <c r="M29" i="38"/>
  <c r="N90" i="15" s="1"/>
  <c r="P22" i="38"/>
  <c r="Q83" i="15" s="1"/>
  <c r="M23" i="38"/>
  <c r="N84" i="15" s="1"/>
  <c r="P23" i="38"/>
  <c r="Q84" i="15" s="1"/>
  <c r="M23" i="15"/>
  <c r="E120" i="44" s="1"/>
  <c r="K23" i="38"/>
  <c r="L84" i="15" s="1"/>
  <c r="L29" i="38"/>
  <c r="M90" i="15" s="1"/>
  <c r="H23" i="15"/>
  <c r="G115" i="45" s="1"/>
  <c r="O23" i="38"/>
  <c r="P84" i="15" s="1"/>
  <c r="L23" i="38"/>
  <c r="M84" i="15" s="1"/>
  <c r="I42" i="58"/>
  <c r="M47" i="58"/>
  <c r="K28" i="58"/>
  <c r="L28" i="58" s="1"/>
  <c r="P50" i="58"/>
  <c r="H193" i="47"/>
  <c r="G160" i="47"/>
  <c r="AG61" i="15"/>
  <c r="K101" i="37"/>
  <c r="M101" i="37"/>
  <c r="P101" i="37"/>
  <c r="O101" i="37"/>
  <c r="R101" i="37"/>
  <c r="H101" i="37"/>
  <c r="I101" i="37"/>
  <c r="J97" i="37"/>
  <c r="Q97" i="37"/>
  <c r="G97" i="37"/>
  <c r="H105" i="37"/>
  <c r="G105" i="37"/>
  <c r="AF97" i="37"/>
  <c r="Z713" i="50"/>
  <c r="F715" i="50"/>
  <c r="F717" i="50"/>
  <c r="AW102" i="50"/>
  <c r="F751" i="50"/>
  <c r="E308" i="38"/>
  <c r="E176" i="38"/>
  <c r="D93" i="15"/>
  <c r="E32" i="15" s="1"/>
  <c r="D223" i="44" s="1"/>
  <c r="N105" i="37"/>
  <c r="M97" i="37"/>
  <c r="R97" i="37"/>
  <c r="I105" i="37"/>
  <c r="Q105" i="37"/>
  <c r="R105" i="37"/>
  <c r="I97" i="37"/>
  <c r="O97" i="37"/>
  <c r="K97" i="37"/>
  <c r="N97" i="37"/>
  <c r="AF105" i="37"/>
  <c r="P97" i="37"/>
  <c r="F97" i="37"/>
  <c r="E289" i="15"/>
  <c r="E288" i="15" s="1"/>
  <c r="E368" i="15"/>
  <c r="F368" i="15" s="1"/>
  <c r="I60" i="49"/>
  <c r="I63" i="49" s="1"/>
  <c r="D94" i="15"/>
  <c r="D33" i="15" s="1"/>
  <c r="C305" i="38" s="1"/>
  <c r="I305" i="38" s="1"/>
  <c r="O21" i="38"/>
  <c r="P82" i="15" s="1"/>
  <c r="Z288" i="50"/>
  <c r="F749" i="50"/>
  <c r="F750" i="50"/>
  <c r="Z815" i="50"/>
  <c r="F819" i="50"/>
  <c r="AW100" i="50"/>
  <c r="F818" i="50"/>
  <c r="AW104" i="50"/>
  <c r="AW108" i="50"/>
  <c r="BA106" i="50"/>
  <c r="BA100" i="50"/>
  <c r="T172" i="15"/>
  <c r="E308" i="15"/>
  <c r="E314" i="15" s="1"/>
  <c r="E248" i="15"/>
  <c r="F248" i="15" s="1"/>
  <c r="E200" i="15"/>
  <c r="E206" i="15" s="1"/>
  <c r="J286" i="50"/>
  <c r="J287" i="50"/>
  <c r="F679" i="50"/>
  <c r="F285" i="50"/>
  <c r="F284" i="50" s="1"/>
  <c r="K284" i="15"/>
  <c r="K290" i="15" s="1"/>
  <c r="K289" i="15" s="1"/>
  <c r="K288" i="15" s="1"/>
  <c r="J290" i="15"/>
  <c r="J289" i="15" s="1"/>
  <c r="J288" i="15" s="1"/>
  <c r="C274" i="44"/>
  <c r="J844" i="50"/>
  <c r="AA836" i="50"/>
  <c r="J843" i="50"/>
  <c r="J842" i="50"/>
  <c r="K810" i="50"/>
  <c r="K809" i="50"/>
  <c r="K808" i="50"/>
  <c r="AA803" i="50"/>
  <c r="I776" i="50"/>
  <c r="I775" i="50"/>
  <c r="I774" i="50"/>
  <c r="AA767" i="50"/>
  <c r="K742" i="50"/>
  <c r="AA735" i="50"/>
  <c r="K741" i="50"/>
  <c r="K740" i="50"/>
  <c r="I708" i="50"/>
  <c r="I707" i="50"/>
  <c r="AA699" i="50"/>
  <c r="I706" i="50"/>
  <c r="H844" i="50"/>
  <c r="AA834" i="50"/>
  <c r="H843" i="50"/>
  <c r="H842" i="50"/>
  <c r="J793" i="50"/>
  <c r="J792" i="50"/>
  <c r="AA785" i="50"/>
  <c r="J791" i="50"/>
  <c r="H706" i="50"/>
  <c r="H708" i="50"/>
  <c r="H707" i="50"/>
  <c r="AA698" i="50"/>
  <c r="G758" i="50"/>
  <c r="G759" i="50"/>
  <c r="G757" i="50"/>
  <c r="AA748" i="50"/>
  <c r="I725" i="50"/>
  <c r="I723" i="50"/>
  <c r="AA716" i="50"/>
  <c r="I724" i="50"/>
  <c r="G844" i="50"/>
  <c r="G843" i="50"/>
  <c r="AA833" i="50"/>
  <c r="G842" i="50"/>
  <c r="K775" i="50"/>
  <c r="AA769" i="50"/>
  <c r="K774" i="50"/>
  <c r="K776" i="50"/>
  <c r="K708" i="50"/>
  <c r="K707" i="50"/>
  <c r="AA701" i="50"/>
  <c r="K706" i="50"/>
  <c r="AA781" i="50"/>
  <c r="F791" i="50"/>
  <c r="F792" i="50"/>
  <c r="F793" i="50"/>
  <c r="H759" i="50"/>
  <c r="H757" i="50"/>
  <c r="AA749" i="50"/>
  <c r="H758" i="50"/>
  <c r="K844" i="50"/>
  <c r="K842" i="50"/>
  <c r="K843" i="50"/>
  <c r="AA837" i="50"/>
  <c r="AA679" i="50"/>
  <c r="F690" i="50"/>
  <c r="F691" i="50"/>
  <c r="F689" i="50"/>
  <c r="Z785" i="50"/>
  <c r="J784" i="50"/>
  <c r="J783" i="50"/>
  <c r="J785" i="50"/>
  <c r="Z718" i="50"/>
  <c r="K717" i="50"/>
  <c r="K715" i="50"/>
  <c r="K716" i="50"/>
  <c r="I733" i="50"/>
  <c r="Z733" i="50"/>
  <c r="I734" i="50"/>
  <c r="I732" i="50"/>
  <c r="Z731" i="50"/>
  <c r="G734" i="50"/>
  <c r="G732" i="50"/>
  <c r="G733" i="50"/>
  <c r="Z752" i="50"/>
  <c r="K751" i="50"/>
  <c r="K749" i="50"/>
  <c r="K750" i="50"/>
  <c r="H683" i="50"/>
  <c r="Z681" i="50"/>
  <c r="H682" i="50"/>
  <c r="H681" i="50"/>
  <c r="Z701" i="50"/>
  <c r="K699" i="50"/>
  <c r="K698" i="50"/>
  <c r="K700" i="50"/>
  <c r="Z833" i="50"/>
  <c r="G834" i="50"/>
  <c r="G835" i="50"/>
  <c r="G836" i="50"/>
  <c r="F802" i="50"/>
  <c r="F800" i="50"/>
  <c r="F801" i="50"/>
  <c r="Z798" i="50"/>
  <c r="K801" i="50"/>
  <c r="Z803" i="50"/>
  <c r="K802" i="50"/>
  <c r="K800" i="50"/>
  <c r="H725" i="50"/>
  <c r="H723" i="50"/>
  <c r="H724" i="50"/>
  <c r="AA715" i="50"/>
  <c r="I843" i="50"/>
  <c r="AA835" i="50"/>
  <c r="I844" i="50"/>
  <c r="I842" i="50"/>
  <c r="G810" i="50"/>
  <c r="G808" i="50"/>
  <c r="G809" i="50"/>
  <c r="AA799" i="50"/>
  <c r="G741" i="50"/>
  <c r="G740" i="50"/>
  <c r="AA731" i="50"/>
  <c r="G742" i="50"/>
  <c r="H810" i="50"/>
  <c r="H809" i="50"/>
  <c r="H808" i="50"/>
  <c r="AA800" i="50"/>
  <c r="J759" i="50"/>
  <c r="J757" i="50"/>
  <c r="J758" i="50"/>
  <c r="AA751" i="50"/>
  <c r="AA732" i="50"/>
  <c r="H740" i="50"/>
  <c r="H741" i="50"/>
  <c r="H742" i="50"/>
  <c r="J691" i="50"/>
  <c r="J689" i="50"/>
  <c r="J690" i="50"/>
  <c r="AA683" i="50"/>
  <c r="K826" i="50"/>
  <c r="K827" i="50"/>
  <c r="AA820" i="50"/>
  <c r="K825" i="50"/>
  <c r="K759" i="50"/>
  <c r="K757" i="50"/>
  <c r="AA752" i="50"/>
  <c r="K758" i="50"/>
  <c r="K690" i="50"/>
  <c r="K691" i="50"/>
  <c r="AA684" i="50"/>
  <c r="K689" i="50"/>
  <c r="F759" i="50"/>
  <c r="F757" i="50"/>
  <c r="AA747" i="50"/>
  <c r="F758" i="50"/>
  <c r="J751" i="50"/>
  <c r="J749" i="50"/>
  <c r="J750" i="50"/>
  <c r="Z751" i="50"/>
  <c r="Z767" i="50"/>
  <c r="I768" i="50"/>
  <c r="I767" i="50"/>
  <c r="I766" i="50"/>
  <c r="J734" i="50"/>
  <c r="Z734" i="50"/>
  <c r="J733" i="50"/>
  <c r="J732" i="50"/>
  <c r="J836" i="50"/>
  <c r="J835" i="50"/>
  <c r="Z836" i="50"/>
  <c r="J834" i="50"/>
  <c r="G766" i="50"/>
  <c r="Z765" i="50"/>
  <c r="G767" i="50"/>
  <c r="G768" i="50"/>
  <c r="Z837" i="50"/>
  <c r="K835" i="50"/>
  <c r="K834" i="50"/>
  <c r="K836" i="50"/>
  <c r="F733" i="50"/>
  <c r="Z730" i="50"/>
  <c r="F732" i="50"/>
  <c r="F734" i="50"/>
  <c r="Z769" i="50"/>
  <c r="K767" i="50"/>
  <c r="K768" i="50"/>
  <c r="K766" i="50"/>
  <c r="Z819" i="50"/>
  <c r="J818" i="50"/>
  <c r="J817" i="50"/>
  <c r="J819" i="50"/>
  <c r="G793" i="50"/>
  <c r="G791" i="50"/>
  <c r="AA782" i="50"/>
  <c r="G792" i="50"/>
  <c r="G724" i="50"/>
  <c r="G725" i="50"/>
  <c r="AA714" i="50"/>
  <c r="G723" i="50"/>
  <c r="H792" i="50"/>
  <c r="AA783" i="50"/>
  <c r="H793" i="50"/>
  <c r="H791" i="50"/>
  <c r="AA766" i="50"/>
  <c r="H774" i="50"/>
  <c r="H775" i="50"/>
  <c r="H776" i="50"/>
  <c r="J725" i="50"/>
  <c r="AA717" i="50"/>
  <c r="J724" i="50"/>
  <c r="J723" i="50"/>
  <c r="G827" i="50"/>
  <c r="G825" i="50"/>
  <c r="AA816" i="50"/>
  <c r="G826" i="50"/>
  <c r="I793" i="50"/>
  <c r="I791" i="50"/>
  <c r="AA784" i="50"/>
  <c r="I792" i="50"/>
  <c r="G691" i="50"/>
  <c r="G689" i="50"/>
  <c r="AA680" i="50"/>
  <c r="G690" i="50"/>
  <c r="H826" i="50"/>
  <c r="AA817" i="50"/>
  <c r="H825" i="50"/>
  <c r="H827" i="50"/>
  <c r="AA815" i="50"/>
  <c r="F826" i="50"/>
  <c r="F827" i="50"/>
  <c r="F825" i="50"/>
  <c r="Z699" i="50"/>
  <c r="I700" i="50"/>
  <c r="I698" i="50"/>
  <c r="I699" i="50"/>
  <c r="J802" i="50"/>
  <c r="J800" i="50"/>
  <c r="J801" i="50"/>
  <c r="Z802" i="50"/>
  <c r="G698" i="50"/>
  <c r="G699" i="50"/>
  <c r="Z697" i="50"/>
  <c r="G700" i="50"/>
  <c r="F835" i="50"/>
  <c r="F834" i="50"/>
  <c r="F836" i="50"/>
  <c r="Z832" i="50"/>
  <c r="F785" i="50"/>
  <c r="F783" i="50"/>
  <c r="F784" i="50"/>
  <c r="Z781" i="50"/>
  <c r="Z835" i="50"/>
  <c r="I834" i="50"/>
  <c r="I835" i="50"/>
  <c r="I836" i="50"/>
  <c r="Z782" i="50"/>
  <c r="G785" i="50"/>
  <c r="G783" i="50"/>
  <c r="G784" i="50"/>
  <c r="Z680" i="50"/>
  <c r="G683" i="50"/>
  <c r="G681" i="50"/>
  <c r="G682" i="50"/>
  <c r="F700" i="50"/>
  <c r="Z696" i="50"/>
  <c r="F699" i="50"/>
  <c r="F698" i="50"/>
  <c r="AA798" i="50"/>
  <c r="F810" i="50"/>
  <c r="F808" i="50"/>
  <c r="F809" i="50"/>
  <c r="I826" i="50"/>
  <c r="I827" i="50"/>
  <c r="AA818" i="50"/>
  <c r="I825" i="50"/>
  <c r="K792" i="50"/>
  <c r="K791" i="50"/>
  <c r="K793" i="50"/>
  <c r="AA786" i="50"/>
  <c r="I759" i="50"/>
  <c r="I757" i="50"/>
  <c r="AA750" i="50"/>
  <c r="I758" i="50"/>
  <c r="K725" i="50"/>
  <c r="K723" i="50"/>
  <c r="AA718" i="50"/>
  <c r="K724" i="50"/>
  <c r="I691" i="50"/>
  <c r="I689" i="50"/>
  <c r="AA682" i="50"/>
  <c r="I690" i="50"/>
  <c r="J826" i="50"/>
  <c r="AA819" i="50"/>
  <c r="J825" i="50"/>
  <c r="J827" i="50"/>
  <c r="H690" i="50"/>
  <c r="AA681" i="50"/>
  <c r="H689" i="50"/>
  <c r="H691" i="50"/>
  <c r="AA713" i="50"/>
  <c r="F723" i="50"/>
  <c r="F725" i="50"/>
  <c r="F724" i="50"/>
  <c r="J774" i="50"/>
  <c r="AA768" i="50"/>
  <c r="J776" i="50"/>
  <c r="J775" i="50"/>
  <c r="I809" i="50"/>
  <c r="I810" i="50"/>
  <c r="AA801" i="50"/>
  <c r="I808" i="50"/>
  <c r="G776" i="50"/>
  <c r="G775" i="50"/>
  <c r="G774" i="50"/>
  <c r="AA765" i="50"/>
  <c r="I742" i="50"/>
  <c r="AA733" i="50"/>
  <c r="I741" i="50"/>
  <c r="I740" i="50"/>
  <c r="G708" i="50"/>
  <c r="G707" i="50"/>
  <c r="AA697" i="50"/>
  <c r="G706" i="50"/>
  <c r="K784" i="50"/>
  <c r="K785" i="50"/>
  <c r="Z786" i="50"/>
  <c r="K783" i="50"/>
  <c r="Z801" i="50"/>
  <c r="I802" i="50"/>
  <c r="I800" i="50"/>
  <c r="I801" i="50"/>
  <c r="K682" i="50"/>
  <c r="Z684" i="50"/>
  <c r="K683" i="50"/>
  <c r="K681" i="50"/>
  <c r="G801" i="50"/>
  <c r="G802" i="50"/>
  <c r="Z799" i="50"/>
  <c r="G800" i="50"/>
  <c r="K818" i="50"/>
  <c r="K819" i="50"/>
  <c r="Z820" i="50"/>
  <c r="K817" i="50"/>
  <c r="G716" i="50"/>
  <c r="G717" i="50"/>
  <c r="Z714" i="50"/>
  <c r="G715" i="50"/>
  <c r="K733" i="50"/>
  <c r="Z735" i="50"/>
  <c r="K732" i="50"/>
  <c r="K734" i="50"/>
  <c r="G818" i="50"/>
  <c r="Z816" i="50"/>
  <c r="G819" i="50"/>
  <c r="G817" i="50"/>
  <c r="F768" i="50"/>
  <c r="F767" i="50"/>
  <c r="F766" i="50"/>
  <c r="Z764" i="50"/>
  <c r="Z748" i="50"/>
  <c r="G751" i="50"/>
  <c r="G749" i="50"/>
  <c r="G750" i="50"/>
  <c r="M46" i="58"/>
  <c r="K260" i="50"/>
  <c r="AA238" i="50"/>
  <c r="H604" i="50"/>
  <c r="F261" i="50"/>
  <c r="F606" i="50"/>
  <c r="AA598" i="50"/>
  <c r="G245" i="50"/>
  <c r="I243" i="50"/>
  <c r="J262" i="50"/>
  <c r="I262" i="50"/>
  <c r="F604" i="50"/>
  <c r="H606" i="50"/>
  <c r="J605" i="50"/>
  <c r="H228" i="50"/>
  <c r="J243" i="50"/>
  <c r="G226" i="50"/>
  <c r="AA219" i="50"/>
  <c r="K226" i="50"/>
  <c r="AA234" i="50"/>
  <c r="AA233" i="50"/>
  <c r="H243" i="50"/>
  <c r="K245" i="50"/>
  <c r="G260" i="50"/>
  <c r="AA253" i="50"/>
  <c r="H262" i="50"/>
  <c r="J228" i="50"/>
  <c r="F227" i="50"/>
  <c r="I228" i="50"/>
  <c r="AA221" i="50"/>
  <c r="K228" i="50"/>
  <c r="J245" i="50"/>
  <c r="G243" i="50"/>
  <c r="F244" i="50"/>
  <c r="AA236" i="50"/>
  <c r="I245" i="50"/>
  <c r="H245" i="50"/>
  <c r="K243" i="50"/>
  <c r="J260" i="50"/>
  <c r="AA251" i="50"/>
  <c r="G262" i="50"/>
  <c r="AA250" i="50"/>
  <c r="I260" i="50"/>
  <c r="H260" i="50"/>
  <c r="AA255" i="50"/>
  <c r="K262" i="50"/>
  <c r="F605" i="50"/>
  <c r="AA596" i="50"/>
  <c r="H605" i="50"/>
  <c r="J604" i="50"/>
  <c r="J226" i="50"/>
  <c r="AA217" i="50"/>
  <c r="G228" i="50"/>
  <c r="AA216" i="50"/>
  <c r="I226" i="50"/>
  <c r="H226" i="50"/>
  <c r="AA204" i="50"/>
  <c r="K211" i="50"/>
  <c r="K209" i="50"/>
  <c r="I604" i="50"/>
  <c r="AA597" i="50"/>
  <c r="I606" i="50"/>
  <c r="G605" i="50"/>
  <c r="I159" i="50"/>
  <c r="AA167" i="50"/>
  <c r="J193" i="50"/>
  <c r="AA220" i="50"/>
  <c r="J227" i="50"/>
  <c r="F226" i="50"/>
  <c r="F228" i="50"/>
  <c r="AA218" i="50"/>
  <c r="H227" i="50"/>
  <c r="AA237" i="50"/>
  <c r="J244" i="50"/>
  <c r="F243" i="50"/>
  <c r="F245" i="50"/>
  <c r="AA235" i="50"/>
  <c r="H244" i="50"/>
  <c r="AA254" i="50"/>
  <c r="J261" i="50"/>
  <c r="F260" i="50"/>
  <c r="F262" i="50"/>
  <c r="AA252" i="50"/>
  <c r="H261" i="50"/>
  <c r="F158" i="50"/>
  <c r="F177" i="50"/>
  <c r="K176" i="50"/>
  <c r="F194" i="50"/>
  <c r="AA184" i="50"/>
  <c r="K193" i="50"/>
  <c r="AA595" i="50"/>
  <c r="G604" i="50"/>
  <c r="F303" i="50"/>
  <c r="F304" i="50"/>
  <c r="Z301" i="50"/>
  <c r="F305" i="50"/>
  <c r="G312" i="50"/>
  <c r="AA302" i="50"/>
  <c r="G313" i="50"/>
  <c r="G311" i="50"/>
  <c r="I305" i="50"/>
  <c r="I303" i="50"/>
  <c r="Z304" i="50"/>
  <c r="I304" i="50"/>
  <c r="H313" i="50"/>
  <c r="H311" i="50"/>
  <c r="H312" i="50"/>
  <c r="AA303" i="50"/>
  <c r="Z302" i="50"/>
  <c r="G304" i="50"/>
  <c r="G303" i="50"/>
  <c r="G305" i="50"/>
  <c r="Z305" i="50"/>
  <c r="J303" i="50"/>
  <c r="J305" i="50"/>
  <c r="J304" i="50"/>
  <c r="AC76" i="50"/>
  <c r="I327" i="50"/>
  <c r="I326" i="50" s="1"/>
  <c r="F319" i="50"/>
  <c r="F318" i="50" s="1"/>
  <c r="H319" i="50"/>
  <c r="H318" i="50" s="1"/>
  <c r="G319" i="50"/>
  <c r="G318" i="50" s="1"/>
  <c r="K319" i="50"/>
  <c r="K318" i="50" s="1"/>
  <c r="J319" i="50"/>
  <c r="J318" i="50" s="1"/>
  <c r="I319" i="50"/>
  <c r="I318" i="50" s="1"/>
  <c r="H327" i="50"/>
  <c r="H326" i="50" s="1"/>
  <c r="K327" i="50"/>
  <c r="K326" i="50" s="1"/>
  <c r="G327" i="50"/>
  <c r="G326" i="50" s="1"/>
  <c r="J327" i="50"/>
  <c r="J326" i="50" s="1"/>
  <c r="F327" i="50"/>
  <c r="F326" i="50" s="1"/>
  <c r="H304" i="50"/>
  <c r="Z303" i="50"/>
  <c r="H305" i="50"/>
  <c r="H303" i="50"/>
  <c r="K313" i="50"/>
  <c r="K312" i="50"/>
  <c r="K311" i="50"/>
  <c r="AA306" i="50"/>
  <c r="I312" i="50"/>
  <c r="I313" i="50"/>
  <c r="AA304" i="50"/>
  <c r="I311" i="50"/>
  <c r="J313" i="50"/>
  <c r="AA305" i="50"/>
  <c r="J312" i="50"/>
  <c r="J311" i="50"/>
  <c r="F313" i="50"/>
  <c r="F311" i="50"/>
  <c r="AA301" i="50"/>
  <c r="F312" i="50"/>
  <c r="H159" i="50"/>
  <c r="AA152" i="50"/>
  <c r="G159" i="50"/>
  <c r="J176" i="50"/>
  <c r="F192" i="50"/>
  <c r="I193" i="50"/>
  <c r="H193" i="50"/>
  <c r="AA186" i="50"/>
  <c r="G193" i="50"/>
  <c r="J657" i="50"/>
  <c r="J656" i="50"/>
  <c r="J655" i="50"/>
  <c r="AA649" i="50"/>
  <c r="G657" i="50"/>
  <c r="G656" i="50"/>
  <c r="G655" i="50"/>
  <c r="AA646" i="50"/>
  <c r="AA645" i="50"/>
  <c r="F657" i="50"/>
  <c r="F656" i="50"/>
  <c r="F655" i="50"/>
  <c r="I657" i="50"/>
  <c r="I656" i="50"/>
  <c r="I655" i="50"/>
  <c r="AA648" i="50"/>
  <c r="H657" i="50"/>
  <c r="H656" i="50"/>
  <c r="H655" i="50"/>
  <c r="AA647" i="50"/>
  <c r="K657" i="50"/>
  <c r="K656" i="50"/>
  <c r="K655" i="50"/>
  <c r="AA650" i="50"/>
  <c r="F160" i="50"/>
  <c r="AA150" i="50"/>
  <c r="K159" i="50"/>
  <c r="J159" i="50"/>
  <c r="F175" i="50"/>
  <c r="I176" i="50"/>
  <c r="H176" i="50"/>
  <c r="AA169" i="50"/>
  <c r="G176" i="50"/>
  <c r="F193" i="50"/>
  <c r="AA185" i="50"/>
  <c r="I192" i="50"/>
  <c r="H192" i="50"/>
  <c r="AA187" i="50"/>
  <c r="K192" i="50"/>
  <c r="J192" i="50"/>
  <c r="AA183" i="50"/>
  <c r="G192" i="50"/>
  <c r="J640" i="50"/>
  <c r="J639" i="50"/>
  <c r="J638" i="50"/>
  <c r="AA632" i="50"/>
  <c r="G640" i="50"/>
  <c r="G639" i="50"/>
  <c r="G638" i="50"/>
  <c r="AA629" i="50"/>
  <c r="AA628" i="50"/>
  <c r="F640" i="50"/>
  <c r="F639" i="50"/>
  <c r="F638" i="50"/>
  <c r="I640" i="50"/>
  <c r="I639" i="50"/>
  <c r="I638" i="50"/>
  <c r="AA631" i="50"/>
  <c r="H640" i="50"/>
  <c r="H639" i="50"/>
  <c r="H638" i="50"/>
  <c r="AA630" i="50"/>
  <c r="K640" i="50"/>
  <c r="K639" i="50"/>
  <c r="K638" i="50"/>
  <c r="AA633" i="50"/>
  <c r="J623" i="50"/>
  <c r="J622" i="50"/>
  <c r="J621" i="50"/>
  <c r="AA615" i="50"/>
  <c r="G623" i="50"/>
  <c r="G622" i="50"/>
  <c r="G621" i="50"/>
  <c r="AA612" i="50"/>
  <c r="AA611" i="50"/>
  <c r="F623" i="50"/>
  <c r="F622" i="50"/>
  <c r="F621" i="50"/>
  <c r="I623" i="50"/>
  <c r="I622" i="50"/>
  <c r="I621" i="50"/>
  <c r="AA614" i="50"/>
  <c r="H623" i="50"/>
  <c r="H622" i="50"/>
  <c r="H621" i="50"/>
  <c r="AA613" i="50"/>
  <c r="K623" i="50"/>
  <c r="K622" i="50"/>
  <c r="K621" i="50"/>
  <c r="AA616" i="50"/>
  <c r="K606" i="50"/>
  <c r="K605" i="50"/>
  <c r="K604" i="50"/>
  <c r="AA599" i="50"/>
  <c r="F200" i="50"/>
  <c r="F203" i="50" s="1"/>
  <c r="F159" i="50"/>
  <c r="AA151" i="50"/>
  <c r="I158" i="50"/>
  <c r="H158" i="50"/>
  <c r="AA153" i="50"/>
  <c r="K158" i="50"/>
  <c r="J158" i="50"/>
  <c r="AA149" i="50"/>
  <c r="G158" i="50"/>
  <c r="F176" i="50"/>
  <c r="AA168" i="50"/>
  <c r="I175" i="50"/>
  <c r="H175" i="50"/>
  <c r="AA170" i="50"/>
  <c r="K175" i="50"/>
  <c r="J175" i="50"/>
  <c r="AA166" i="50"/>
  <c r="G175" i="50"/>
  <c r="J149" i="50"/>
  <c r="K149" i="50"/>
  <c r="J279" i="50"/>
  <c r="J278" i="50"/>
  <c r="J277" i="50"/>
  <c r="AA271" i="50"/>
  <c r="G279" i="50"/>
  <c r="G278" i="50"/>
  <c r="G277" i="50"/>
  <c r="AA268" i="50"/>
  <c r="AA267" i="50"/>
  <c r="F279" i="50"/>
  <c r="F278" i="50"/>
  <c r="F277" i="50"/>
  <c r="I279" i="50"/>
  <c r="I278" i="50"/>
  <c r="I277" i="50"/>
  <c r="AA270" i="50"/>
  <c r="H279" i="50"/>
  <c r="H278" i="50"/>
  <c r="H277" i="50"/>
  <c r="AA269" i="50"/>
  <c r="K279" i="50"/>
  <c r="K278" i="50"/>
  <c r="K277" i="50"/>
  <c r="AA272" i="50"/>
  <c r="J211" i="50"/>
  <c r="J210" i="50"/>
  <c r="J209" i="50"/>
  <c r="AA203" i="50"/>
  <c r="G211" i="50"/>
  <c r="G210" i="50"/>
  <c r="G209" i="50"/>
  <c r="AA200" i="50"/>
  <c r="AA199" i="50"/>
  <c r="F211" i="50"/>
  <c r="F210" i="50"/>
  <c r="F209" i="50"/>
  <c r="I211" i="50"/>
  <c r="I210" i="50"/>
  <c r="I209" i="50"/>
  <c r="AA202" i="50"/>
  <c r="H211" i="50"/>
  <c r="H210" i="50"/>
  <c r="H209" i="50"/>
  <c r="AA201" i="50"/>
  <c r="R178" i="15"/>
  <c r="E242" i="15"/>
  <c r="E241" i="15" s="1"/>
  <c r="E240" i="15" s="1"/>
  <c r="E385" i="15"/>
  <c r="E384" i="15" s="1"/>
  <c r="T159" i="15"/>
  <c r="M68" i="58"/>
  <c r="L84" i="58"/>
  <c r="M220" i="58"/>
  <c r="L236" i="58"/>
  <c r="Q72" i="58"/>
  <c r="Q88" i="58" s="1"/>
  <c r="P88" i="58"/>
  <c r="L122" i="58"/>
  <c r="M106" i="58"/>
  <c r="N145" i="58"/>
  <c r="M161" i="58"/>
  <c r="J65" i="58"/>
  <c r="I81" i="58"/>
  <c r="Q148" i="58"/>
  <c r="Q164" i="58" s="1"/>
  <c r="P164" i="58"/>
  <c r="Q186" i="58"/>
  <c r="Q202" i="58" s="1"/>
  <c r="P202" i="58"/>
  <c r="I216" i="58"/>
  <c r="H232" i="58"/>
  <c r="N297" i="58"/>
  <c r="M313" i="58"/>
  <c r="N373" i="58"/>
  <c r="M389" i="58"/>
  <c r="I119" i="58"/>
  <c r="J103" i="58"/>
  <c r="N221" i="58"/>
  <c r="M237" i="58"/>
  <c r="Q300" i="58"/>
  <c r="Q316" i="58" s="1"/>
  <c r="P316" i="58"/>
  <c r="Q338" i="58"/>
  <c r="Q354" i="58" s="1"/>
  <c r="P354" i="58"/>
  <c r="I368" i="58"/>
  <c r="H384" i="58"/>
  <c r="Q376" i="58"/>
  <c r="Q392" i="58" s="1"/>
  <c r="P392" i="58"/>
  <c r="M144" i="58"/>
  <c r="L160" i="58"/>
  <c r="I254" i="58"/>
  <c r="H270" i="58"/>
  <c r="Q262" i="58"/>
  <c r="Q278" i="58" s="1"/>
  <c r="P278" i="58"/>
  <c r="M296" i="58"/>
  <c r="L312" i="58"/>
  <c r="M334" i="58"/>
  <c r="L350" i="58"/>
  <c r="I178" i="58"/>
  <c r="H194" i="58"/>
  <c r="J217" i="58"/>
  <c r="I233" i="58"/>
  <c r="N259" i="58"/>
  <c r="M275" i="58"/>
  <c r="J331" i="58"/>
  <c r="I347" i="58"/>
  <c r="N124" i="58"/>
  <c r="O108" i="58"/>
  <c r="O125" i="58"/>
  <c r="P109" i="58"/>
  <c r="H80" i="58"/>
  <c r="J141" i="58"/>
  <c r="I157" i="58"/>
  <c r="Q224" i="58"/>
  <c r="Q240" i="58" s="1"/>
  <c r="P240" i="58"/>
  <c r="H118" i="58"/>
  <c r="I102" i="58"/>
  <c r="P126" i="58"/>
  <c r="Q110" i="58"/>
  <c r="Q126" i="58" s="1"/>
  <c r="M372" i="58"/>
  <c r="L388" i="58"/>
  <c r="I140" i="58"/>
  <c r="H156" i="58"/>
  <c r="J255" i="58"/>
  <c r="I271" i="58"/>
  <c r="N335" i="58"/>
  <c r="M351" i="58"/>
  <c r="N69" i="58"/>
  <c r="M85" i="58"/>
  <c r="M123" i="58"/>
  <c r="N107" i="58"/>
  <c r="N183" i="58"/>
  <c r="M199" i="58"/>
  <c r="J179" i="58"/>
  <c r="I195" i="58"/>
  <c r="M258" i="58"/>
  <c r="L274" i="58"/>
  <c r="I292" i="58"/>
  <c r="H308" i="58"/>
  <c r="I330" i="58"/>
  <c r="H346" i="58"/>
  <c r="J369" i="58"/>
  <c r="I385" i="58"/>
  <c r="M182" i="58"/>
  <c r="L198" i="58"/>
  <c r="J293" i="58"/>
  <c r="I309" i="58"/>
  <c r="K121" i="58"/>
  <c r="L105" i="58"/>
  <c r="J120" i="58"/>
  <c r="K104" i="58"/>
  <c r="O201" i="58"/>
  <c r="P185" i="58"/>
  <c r="K197" i="58"/>
  <c r="L181" i="58"/>
  <c r="O163" i="58"/>
  <c r="P147" i="58"/>
  <c r="K159" i="58"/>
  <c r="L143" i="58"/>
  <c r="O353" i="58"/>
  <c r="P337" i="58"/>
  <c r="K349" i="58"/>
  <c r="L333" i="58"/>
  <c r="O315" i="58"/>
  <c r="P299" i="58"/>
  <c r="K311" i="58"/>
  <c r="L295" i="58"/>
  <c r="N276" i="58"/>
  <c r="O260" i="58"/>
  <c r="K83" i="58"/>
  <c r="L67" i="58"/>
  <c r="K273" i="58"/>
  <c r="L257" i="58"/>
  <c r="N238" i="58"/>
  <c r="O222" i="58"/>
  <c r="J82" i="58"/>
  <c r="K66" i="58"/>
  <c r="O87" i="58"/>
  <c r="P71" i="58"/>
  <c r="K235" i="58"/>
  <c r="L219" i="58"/>
  <c r="N200" i="58"/>
  <c r="O184" i="58"/>
  <c r="J196" i="58"/>
  <c r="K180" i="58"/>
  <c r="N162" i="58"/>
  <c r="O146" i="58"/>
  <c r="K387" i="58"/>
  <c r="L371" i="58"/>
  <c r="N352" i="58"/>
  <c r="O336" i="58"/>
  <c r="J348" i="58"/>
  <c r="K332" i="58"/>
  <c r="N314" i="58"/>
  <c r="O298" i="58"/>
  <c r="J310" i="58"/>
  <c r="K294" i="58"/>
  <c r="O277" i="58"/>
  <c r="P261" i="58"/>
  <c r="J272" i="58"/>
  <c r="K256" i="58"/>
  <c r="N86" i="58"/>
  <c r="O70" i="58"/>
  <c r="J234" i="58"/>
  <c r="K218" i="58"/>
  <c r="O391" i="58"/>
  <c r="P375" i="58"/>
  <c r="J158" i="58"/>
  <c r="K142" i="58"/>
  <c r="O239" i="58"/>
  <c r="P223" i="58"/>
  <c r="J386" i="58"/>
  <c r="K370" i="58"/>
  <c r="N390" i="58"/>
  <c r="O374" i="58"/>
  <c r="L29" i="58"/>
  <c r="L45" i="58" s="1"/>
  <c r="I43" i="58"/>
  <c r="G356" i="15"/>
  <c r="G362" i="15" s="1"/>
  <c r="C360" i="7"/>
  <c r="O22" i="38"/>
  <c r="P83" i="15" s="1"/>
  <c r="M21" i="38"/>
  <c r="N82" i="15" s="1"/>
  <c r="P21" i="38"/>
  <c r="Q82" i="15" s="1"/>
  <c r="D242" i="38"/>
  <c r="D240" i="38" s="1"/>
  <c r="H90" i="37"/>
  <c r="AF90" i="37"/>
  <c r="R90" i="37"/>
  <c r="J90" i="37"/>
  <c r="N90" i="37"/>
  <c r="Q90" i="37"/>
  <c r="O90" i="37"/>
  <c r="I90" i="37"/>
  <c r="M90" i="37"/>
  <c r="K90" i="37"/>
  <c r="P90" i="37"/>
  <c r="F90" i="37"/>
  <c r="G90" i="37"/>
  <c r="D230" i="38"/>
  <c r="D228" i="38" s="1"/>
  <c r="F242" i="15"/>
  <c r="F241" i="15" s="1"/>
  <c r="F240" i="15" s="1"/>
  <c r="E410" i="15"/>
  <c r="E409" i="15" s="1"/>
  <c r="E408" i="15" s="1"/>
  <c r="B153" i="15"/>
  <c r="I128" i="15" s="1"/>
  <c r="AW27" i="14"/>
  <c r="E338" i="15"/>
  <c r="F332" i="15"/>
  <c r="AB16" i="15"/>
  <c r="O33" i="38"/>
  <c r="P94" i="15" s="1"/>
  <c r="L33" i="38"/>
  <c r="M94" i="15" s="1"/>
  <c r="L22" i="38"/>
  <c r="M83" i="15" s="1"/>
  <c r="P33" i="58"/>
  <c r="O49" i="58"/>
  <c r="C113" i="38"/>
  <c r="I113" i="38" s="1"/>
  <c r="D326" i="38"/>
  <c r="D324" i="38" s="1"/>
  <c r="C101" i="38"/>
  <c r="I101" i="38" s="1"/>
  <c r="G88" i="37"/>
  <c r="P88" i="37"/>
  <c r="K88" i="37"/>
  <c r="AF88" i="37"/>
  <c r="R88" i="37"/>
  <c r="Q88" i="37"/>
  <c r="H88" i="37"/>
  <c r="O88" i="37"/>
  <c r="F88" i="37"/>
  <c r="M88" i="37"/>
  <c r="N88" i="37"/>
  <c r="I88" i="37"/>
  <c r="J88" i="37"/>
  <c r="AF86" i="37"/>
  <c r="M86" i="37"/>
  <c r="N86" i="37"/>
  <c r="J86" i="37"/>
  <c r="F86" i="37"/>
  <c r="I86" i="37"/>
  <c r="G86" i="37"/>
  <c r="O86" i="37"/>
  <c r="P86" i="37"/>
  <c r="R86" i="37"/>
  <c r="Q86" i="37"/>
  <c r="H86" i="37"/>
  <c r="K86" i="37"/>
  <c r="E26" i="15"/>
  <c r="D443" i="7" s="1"/>
  <c r="AB348" i="7" s="1"/>
  <c r="D158" i="38"/>
  <c r="D156" i="38" s="1"/>
  <c r="G211" i="45"/>
  <c r="D170" i="38"/>
  <c r="D168" i="38" s="1"/>
  <c r="C338" i="7"/>
  <c r="D338" i="7" s="1"/>
  <c r="M33" i="38"/>
  <c r="N94" i="15" s="1"/>
  <c r="P33" i="38"/>
  <c r="Q94" i="15" s="1"/>
  <c r="C274" i="45"/>
  <c r="N25" i="15"/>
  <c r="F436" i="7" s="1"/>
  <c r="AJ347" i="7" s="1"/>
  <c r="N33" i="38"/>
  <c r="O94" i="15" s="1"/>
  <c r="E326" i="38"/>
  <c r="E324" i="38" s="1"/>
  <c r="D34" i="38" s="1"/>
  <c r="E95" i="15" s="1"/>
  <c r="F320" i="38"/>
  <c r="G320" i="38" s="1"/>
  <c r="M22" i="38"/>
  <c r="N22" i="38"/>
  <c r="O83" i="15" s="1"/>
  <c r="C28" i="45"/>
  <c r="E170" i="38"/>
  <c r="E168" i="38" s="1"/>
  <c r="D21" i="38" s="1"/>
  <c r="E82" i="15" s="1"/>
  <c r="F164" i="38"/>
  <c r="F170" i="38" s="1"/>
  <c r="F168" i="38" s="1"/>
  <c r="E21" i="38" s="1"/>
  <c r="F82" i="15" s="1"/>
  <c r="F272" i="38"/>
  <c r="F278" i="38" s="1"/>
  <c r="F276" i="38" s="1"/>
  <c r="E30" i="38" s="1"/>
  <c r="F91" i="15" s="1"/>
  <c r="G211" i="44"/>
  <c r="N224" i="60"/>
  <c r="AR495" i="50"/>
  <c r="BB92" i="50"/>
  <c r="C220" i="60"/>
  <c r="BB98" i="14"/>
  <c r="BC59" i="14"/>
  <c r="BC98" i="14" s="1"/>
  <c r="BC50" i="14"/>
  <c r="BB89" i="14"/>
  <c r="G47" i="47"/>
  <c r="G9" i="47" s="1"/>
  <c r="AN8" i="14" s="1"/>
  <c r="E116" i="38"/>
  <c r="P28" i="15"/>
  <c r="G35" i="15"/>
  <c r="D19" i="15"/>
  <c r="C64" i="44" s="1"/>
  <c r="M32" i="38"/>
  <c r="N93" i="15" s="1"/>
  <c r="M25" i="38"/>
  <c r="N86" i="15" s="1"/>
  <c r="D25" i="15"/>
  <c r="AL491" i="50"/>
  <c r="I578" i="50" s="1"/>
  <c r="B28" i="15"/>
  <c r="D28" i="15"/>
  <c r="AB28" i="15" s="1"/>
  <c r="G28" i="15"/>
  <c r="F175" i="44" s="1"/>
  <c r="G34" i="15"/>
  <c r="I26" i="15"/>
  <c r="P26" i="15"/>
  <c r="H156" i="44" s="1"/>
  <c r="E216" i="44"/>
  <c r="D35" i="15"/>
  <c r="P35" i="15"/>
  <c r="H264" i="44" s="1"/>
  <c r="I34" i="15"/>
  <c r="H247" i="44" s="1"/>
  <c r="Q28" i="15"/>
  <c r="I180" i="45" s="1"/>
  <c r="B26" i="15"/>
  <c r="H28" i="15"/>
  <c r="G175" i="45" s="1"/>
  <c r="F35" i="15"/>
  <c r="E259" i="44" s="1"/>
  <c r="O35" i="15"/>
  <c r="G264" i="45" s="1"/>
  <c r="H34" i="15"/>
  <c r="N28" i="15"/>
  <c r="E139" i="45"/>
  <c r="E483" i="7"/>
  <c r="AC353" i="7" s="1"/>
  <c r="P24" i="15"/>
  <c r="H428" i="7" s="1"/>
  <c r="AL346" i="7" s="1"/>
  <c r="O25" i="38"/>
  <c r="P25" i="38"/>
  <c r="E435" i="7"/>
  <c r="AC347" i="7" s="1"/>
  <c r="D484" i="7"/>
  <c r="AH353" i="7" s="1"/>
  <c r="D26" i="15"/>
  <c r="C284" i="44" s="1"/>
  <c r="G24" i="15"/>
  <c r="F127" i="44" s="1"/>
  <c r="M24" i="15"/>
  <c r="E428" i="7" s="1"/>
  <c r="AI346" i="7" s="1"/>
  <c r="B19" i="15"/>
  <c r="N26" i="15"/>
  <c r="F156" i="45" s="1"/>
  <c r="Q25" i="15"/>
  <c r="I436" i="7" s="1"/>
  <c r="AM347" i="7" s="1"/>
  <c r="M26" i="15"/>
  <c r="E444" i="7" s="1"/>
  <c r="AI348" i="7" s="1"/>
  <c r="O25" i="15"/>
  <c r="I264" i="45"/>
  <c r="I516" i="7"/>
  <c r="AM357" i="7" s="1"/>
  <c r="G508" i="7"/>
  <c r="AK356" i="7" s="1"/>
  <c r="G252" i="44"/>
  <c r="E175" i="45"/>
  <c r="E175" i="44"/>
  <c r="E459" i="7"/>
  <c r="AC350" i="7" s="1"/>
  <c r="M34" i="15"/>
  <c r="E252" i="45" s="1"/>
  <c r="L34" i="15"/>
  <c r="I28" i="15"/>
  <c r="H459" i="7" s="1"/>
  <c r="AF350" i="7" s="1"/>
  <c r="M28" i="15"/>
  <c r="E28" i="15"/>
  <c r="D175" i="44" s="1"/>
  <c r="D20" i="15"/>
  <c r="C149" i="38" s="1"/>
  <c r="I149" i="38" s="1"/>
  <c r="H35" i="15"/>
  <c r="I35" i="15"/>
  <c r="N35" i="15"/>
  <c r="F264" i="45" s="1"/>
  <c r="E35" i="15"/>
  <c r="I30" i="15"/>
  <c r="H199" i="45" s="1"/>
  <c r="P34" i="15"/>
  <c r="H252" i="44" s="1"/>
  <c r="Q34" i="15"/>
  <c r="I252" i="45" s="1"/>
  <c r="J35" i="15"/>
  <c r="L25" i="38"/>
  <c r="N25" i="38"/>
  <c r="O86" i="15" s="1"/>
  <c r="K25" i="38"/>
  <c r="L86" i="15" s="1"/>
  <c r="D216" i="45"/>
  <c r="I264" i="44"/>
  <c r="E211" i="45"/>
  <c r="D211" i="45"/>
  <c r="D24" i="15"/>
  <c r="O24" i="15"/>
  <c r="G132" i="44" s="1"/>
  <c r="H24" i="15"/>
  <c r="G127" i="45" s="1"/>
  <c r="G252" i="45"/>
  <c r="J25" i="15"/>
  <c r="I435" i="7" s="1"/>
  <c r="AG347" i="7" s="1"/>
  <c r="H25" i="15"/>
  <c r="L25" i="15"/>
  <c r="C208" i="44"/>
  <c r="C208" i="45"/>
  <c r="C160" i="45"/>
  <c r="L160" i="45" s="1"/>
  <c r="C112" i="45"/>
  <c r="L112" i="45" s="1"/>
  <c r="D338" i="38"/>
  <c r="D336" i="38" s="1"/>
  <c r="E332" i="38"/>
  <c r="B85" i="15"/>
  <c r="I24" i="15"/>
  <c r="L24" i="15"/>
  <c r="N24" i="15"/>
  <c r="B24" i="15"/>
  <c r="E140" i="38"/>
  <c r="D146" i="38"/>
  <c r="D144" i="38" s="1"/>
  <c r="Q24" i="15"/>
  <c r="F24" i="15"/>
  <c r="E127" i="44" s="1"/>
  <c r="I25" i="15"/>
  <c r="H139" i="44" s="1"/>
  <c r="E25" i="15"/>
  <c r="C232" i="45"/>
  <c r="L232" i="45" s="1"/>
  <c r="G25" i="15"/>
  <c r="C40" i="44"/>
  <c r="C40" i="45"/>
  <c r="P25" i="15"/>
  <c r="H144" i="44" s="1"/>
  <c r="B25" i="15"/>
  <c r="M25" i="15"/>
  <c r="E144" i="44" s="1"/>
  <c r="B86" i="15"/>
  <c r="L32" i="38"/>
  <c r="M93" i="15" s="1"/>
  <c r="K32" i="38"/>
  <c r="N32" i="38"/>
  <c r="O93" i="15" s="1"/>
  <c r="O32" i="38"/>
  <c r="P93" i="15" s="1"/>
  <c r="B96" i="15"/>
  <c r="B35" i="15"/>
  <c r="M35" i="15"/>
  <c r="L35" i="15"/>
  <c r="B95" i="15"/>
  <c r="D34" i="15"/>
  <c r="C317" i="38" s="1"/>
  <c r="I317" i="38" s="1"/>
  <c r="E34" i="15"/>
  <c r="N34" i="15"/>
  <c r="B34" i="15"/>
  <c r="J34" i="15"/>
  <c r="F34" i="15"/>
  <c r="J28" i="15"/>
  <c r="L28" i="15"/>
  <c r="B89" i="15"/>
  <c r="B81" i="15"/>
  <c r="BB80" i="14"/>
  <c r="BB119" i="14" s="1"/>
  <c r="D211" i="44"/>
  <c r="E484" i="7"/>
  <c r="AI353" i="7" s="1"/>
  <c r="B79" i="15"/>
  <c r="D18" i="15"/>
  <c r="C125" i="38" s="1"/>
  <c r="I125" i="38" s="1"/>
  <c r="B18" i="15"/>
  <c r="E128" i="38"/>
  <c r="D134" i="38"/>
  <c r="D132" i="38" s="1"/>
  <c r="E260" i="38"/>
  <c r="D266" i="38"/>
  <c r="D264" i="38" s="1"/>
  <c r="E200" i="38"/>
  <c r="D206" i="38"/>
  <c r="D204" i="38" s="1"/>
  <c r="B30" i="15"/>
  <c r="J30" i="15"/>
  <c r="N30" i="15"/>
  <c r="B91" i="15"/>
  <c r="Q30" i="15"/>
  <c r="O30" i="15"/>
  <c r="M30" i="15"/>
  <c r="F30" i="15"/>
  <c r="G30" i="15"/>
  <c r="L30" i="15"/>
  <c r="D204" i="45" s="1"/>
  <c r="D30" i="15"/>
  <c r="P30" i="15"/>
  <c r="H204" i="44" s="1"/>
  <c r="E30" i="15"/>
  <c r="D199" i="44" s="1"/>
  <c r="E284" i="38"/>
  <c r="D290" i="38"/>
  <c r="D288" i="38" s="1"/>
  <c r="D254" i="38"/>
  <c r="D252" i="38" s="1"/>
  <c r="E248" i="38"/>
  <c r="B80" i="15"/>
  <c r="B87" i="15"/>
  <c r="O26" i="15"/>
  <c r="G26" i="15"/>
  <c r="F26" i="15"/>
  <c r="H26" i="15"/>
  <c r="L26" i="15"/>
  <c r="Q26" i="15"/>
  <c r="H216" i="44"/>
  <c r="E278" i="15"/>
  <c r="E277" i="15" s="1"/>
  <c r="E276" i="15" s="1"/>
  <c r="L79" i="15"/>
  <c r="C291" i="45"/>
  <c r="K291" i="45" s="1"/>
  <c r="AB17" i="15"/>
  <c r="C275" i="45"/>
  <c r="C480" i="7"/>
  <c r="C289" i="45"/>
  <c r="C285" i="45"/>
  <c r="K285" i="45" s="1"/>
  <c r="AP60" i="37"/>
  <c r="AJ57" i="37"/>
  <c r="AN489" i="50"/>
  <c r="K544" i="50" s="1"/>
  <c r="AL55" i="37"/>
  <c r="I77" i="49"/>
  <c r="J77" i="49" s="1"/>
  <c r="J80" i="49" s="1"/>
  <c r="F68" i="47"/>
  <c r="C289" i="44"/>
  <c r="F211" i="44"/>
  <c r="I443" i="7"/>
  <c r="AG348" i="7" s="1"/>
  <c r="C368" i="7"/>
  <c r="I211" i="44"/>
  <c r="I483" i="7"/>
  <c r="AG353" i="7" s="1"/>
  <c r="F216" i="45"/>
  <c r="C339" i="7"/>
  <c r="D339" i="7" s="1"/>
  <c r="F484" i="7"/>
  <c r="AJ353" i="7" s="1"/>
  <c r="H211" i="45"/>
  <c r="I216" i="45"/>
  <c r="AB31" i="15"/>
  <c r="H216" i="45"/>
  <c r="I427" i="7"/>
  <c r="AG346" i="7" s="1"/>
  <c r="C353" i="7"/>
  <c r="D353" i="7" s="1"/>
  <c r="F211" i="45"/>
  <c r="I151" i="44"/>
  <c r="F380" i="15"/>
  <c r="F386" i="15" s="1"/>
  <c r="G216" i="44"/>
  <c r="I127" i="44"/>
  <c r="G216" i="45"/>
  <c r="B68" i="15"/>
  <c r="I42" i="15" s="1"/>
  <c r="Y27" i="15" s="1"/>
  <c r="E326" i="15"/>
  <c r="F320" i="15"/>
  <c r="F416" i="15"/>
  <c r="E422" i="15"/>
  <c r="E421" i="15" s="1"/>
  <c r="E420" i="15" s="1"/>
  <c r="F398" i="15"/>
  <c r="G392" i="15"/>
  <c r="H211" i="44"/>
  <c r="I484" i="7"/>
  <c r="AM353" i="7" s="1"/>
  <c r="E254" i="15"/>
  <c r="G404" i="15"/>
  <c r="F410" i="15"/>
  <c r="AR65" i="37"/>
  <c r="AN490" i="50"/>
  <c r="K561" i="50" s="1"/>
  <c r="O48" i="58"/>
  <c r="K44" i="58"/>
  <c r="O31" i="58"/>
  <c r="N47" i="58"/>
  <c r="K27" i="58"/>
  <c r="J43" i="58"/>
  <c r="O30" i="58"/>
  <c r="N46" i="58"/>
  <c r="AP61" i="15"/>
  <c r="BB110" i="14"/>
  <c r="BC71" i="14"/>
  <c r="BC110" i="14" s="1"/>
  <c r="BB104" i="14"/>
  <c r="BC65" i="14"/>
  <c r="BC104" i="14" s="1"/>
  <c r="BB106" i="14"/>
  <c r="BC67" i="14"/>
  <c r="BC106" i="14" s="1"/>
  <c r="BB105" i="14"/>
  <c r="BC66" i="14"/>
  <c r="BC105" i="14" s="1"/>
  <c r="BB93" i="14"/>
  <c r="BC54" i="14"/>
  <c r="BC93" i="14" s="1"/>
  <c r="BB100" i="14"/>
  <c r="BC61" i="14"/>
  <c r="BC100" i="14" s="1"/>
  <c r="BB109" i="14"/>
  <c r="BC70" i="14"/>
  <c r="BC109" i="14" s="1"/>
  <c r="BB102" i="14"/>
  <c r="BC63" i="14"/>
  <c r="BC102" i="14" s="1"/>
  <c r="BB96" i="14"/>
  <c r="BC57" i="14"/>
  <c r="BC96" i="14" s="1"/>
  <c r="BB103" i="14"/>
  <c r="BC64" i="14"/>
  <c r="BC103" i="14" s="1"/>
  <c r="BB99" i="14"/>
  <c r="BC60" i="14"/>
  <c r="BC99" i="14" s="1"/>
  <c r="BB92" i="14"/>
  <c r="BC53" i="14"/>
  <c r="BC92" i="14" s="1"/>
  <c r="BB97" i="14"/>
  <c r="BC58" i="14"/>
  <c r="BC97" i="14" s="1"/>
  <c r="BB94" i="14"/>
  <c r="BC55" i="14"/>
  <c r="BC94" i="14" s="1"/>
  <c r="BB90" i="14"/>
  <c r="BC51" i="14"/>
  <c r="BC90" i="14" s="1"/>
  <c r="BB101" i="14"/>
  <c r="BC62" i="14"/>
  <c r="BC101" i="14" s="1"/>
  <c r="BB111" i="14"/>
  <c r="BC72" i="14"/>
  <c r="BC111" i="14" s="1"/>
  <c r="BB113" i="14"/>
  <c r="BC74" i="14"/>
  <c r="BC113" i="14" s="1"/>
  <c r="BB95" i="14"/>
  <c r="BC56" i="14"/>
  <c r="BC95" i="14" s="1"/>
  <c r="BB112" i="14"/>
  <c r="BC73" i="14"/>
  <c r="BC112" i="14" s="1"/>
  <c r="BB107" i="14"/>
  <c r="BC68" i="14"/>
  <c r="BC107" i="14" s="1"/>
  <c r="BB91" i="14"/>
  <c r="BC52" i="14"/>
  <c r="BC91" i="14" s="1"/>
  <c r="AJ495" i="50"/>
  <c r="G646" i="50" s="1"/>
  <c r="AX519" i="50"/>
  <c r="AJ493" i="50"/>
  <c r="G612" i="50" s="1"/>
  <c r="AT490" i="50"/>
  <c r="AL64" i="15"/>
  <c r="AQ492" i="50"/>
  <c r="AR493" i="50"/>
  <c r="F141" i="47"/>
  <c r="H67" i="47"/>
  <c r="H69" i="47" s="1"/>
  <c r="H65" i="47" s="1"/>
  <c r="H10" i="47" s="1"/>
  <c r="AO9" i="14" s="1"/>
  <c r="H123" i="47"/>
  <c r="F69" i="47"/>
  <c r="F65" i="47" s="1"/>
  <c r="F10" i="47" s="1"/>
  <c r="AM9" i="14" s="1"/>
  <c r="J29" i="49"/>
  <c r="D19" i="49"/>
  <c r="AF7" i="14" s="1"/>
  <c r="AF17" i="14" s="1"/>
  <c r="AN66" i="37"/>
  <c r="F296" i="38"/>
  <c r="E302" i="38"/>
  <c r="E300" i="38" s="1"/>
  <c r="D32" i="38" s="1"/>
  <c r="E93" i="15" s="1"/>
  <c r="G475" i="7"/>
  <c r="AE352" i="7" s="1"/>
  <c r="G199" i="45"/>
  <c r="G199" i="44"/>
  <c r="G344" i="15"/>
  <c r="F350" i="15"/>
  <c r="F212" i="15"/>
  <c r="E218" i="15"/>
  <c r="E194" i="15"/>
  <c r="F188" i="15"/>
  <c r="G242" i="15"/>
  <c r="G241" i="15" s="1"/>
  <c r="G240" i="15" s="1"/>
  <c r="H236" i="15"/>
  <c r="P276" i="34"/>
  <c r="L276" i="34" s="1"/>
  <c r="AP59" i="37"/>
  <c r="AY520" i="50"/>
  <c r="AP493" i="50"/>
  <c r="AQ489" i="50"/>
  <c r="AP490" i="50"/>
  <c r="AW490" i="50" s="1"/>
  <c r="AT492" i="50"/>
  <c r="AN491" i="50"/>
  <c r="K578" i="50" s="1"/>
  <c r="AQ56" i="37"/>
  <c r="AM59" i="15"/>
  <c r="AR57" i="37"/>
  <c r="AX515" i="50"/>
  <c r="AY121" i="50"/>
  <c r="AQ59" i="15"/>
  <c r="AQ490" i="50"/>
  <c r="AS489" i="50"/>
  <c r="AR492" i="50"/>
  <c r="AR490" i="50"/>
  <c r="AS490" i="50"/>
  <c r="AZ513" i="50"/>
  <c r="AH60" i="15"/>
  <c r="AK56" i="15"/>
  <c r="AT67" i="37"/>
  <c r="AP57" i="15"/>
  <c r="AF60" i="15"/>
  <c r="AX116" i="50"/>
  <c r="AO61" i="37"/>
  <c r="AG63" i="15"/>
  <c r="AT496" i="50"/>
  <c r="AO64" i="15"/>
  <c r="AI63" i="37"/>
  <c r="AI63" i="15"/>
  <c r="AF61" i="15"/>
  <c r="AR489" i="50"/>
  <c r="AS492" i="50"/>
  <c r="AZ492" i="50" s="1"/>
  <c r="BB123" i="50"/>
  <c r="BB117" i="50"/>
  <c r="AQ59" i="37"/>
  <c r="AJ491" i="50"/>
  <c r="G578" i="50" s="1"/>
  <c r="AK57" i="15"/>
  <c r="AL66" i="15"/>
  <c r="AL59" i="37"/>
  <c r="AM57" i="15"/>
  <c r="AG53" i="15"/>
  <c r="AY123" i="50"/>
  <c r="AY512" i="50"/>
  <c r="AQ66" i="37"/>
  <c r="AK59" i="37"/>
  <c r="AP58" i="15"/>
  <c r="AM59" i="37"/>
  <c r="AO67" i="37"/>
  <c r="AZ121" i="50"/>
  <c r="AQ63" i="15"/>
  <c r="AK54" i="15"/>
  <c r="AJ63" i="37"/>
  <c r="AN58" i="37"/>
  <c r="AO63" i="15"/>
  <c r="AL54" i="15"/>
  <c r="AU496" i="50"/>
  <c r="AP492" i="50"/>
  <c r="AO62" i="15"/>
  <c r="AP491" i="50"/>
  <c r="AI495" i="50"/>
  <c r="F646" i="50" s="1"/>
  <c r="BA519" i="50"/>
  <c r="AP488" i="50"/>
  <c r="AI57" i="15"/>
  <c r="AY514" i="50"/>
  <c r="AZ118" i="50"/>
  <c r="AP56" i="37"/>
  <c r="AM64" i="37"/>
  <c r="AK59" i="15"/>
  <c r="BA515" i="50"/>
  <c r="AN488" i="50"/>
  <c r="K527" i="50" s="1"/>
  <c r="AX513" i="50"/>
  <c r="AI489" i="50"/>
  <c r="F544" i="50" s="1"/>
  <c r="AT493" i="50"/>
  <c r="AL490" i="50"/>
  <c r="I561" i="50" s="1"/>
  <c r="AY519" i="50"/>
  <c r="AK495" i="50"/>
  <c r="H646" i="50" s="1"/>
  <c r="AN493" i="50"/>
  <c r="K612" i="50" s="1"/>
  <c r="AJ63" i="15"/>
  <c r="AY117" i="50"/>
  <c r="AN61" i="15"/>
  <c r="AM54" i="15"/>
  <c r="AT489" i="50"/>
  <c r="BA489" i="50" s="1"/>
  <c r="BA513" i="50"/>
  <c r="AZ519" i="50"/>
  <c r="AO60" i="37"/>
  <c r="AL56" i="37"/>
  <c r="AI61" i="15"/>
  <c r="AJ54" i="15"/>
  <c r="AN496" i="50"/>
  <c r="K663" i="50" s="1"/>
  <c r="K662" i="50" s="1"/>
  <c r="AL494" i="50"/>
  <c r="I629" i="50" s="1"/>
  <c r="AX117" i="50"/>
  <c r="AW118" i="50"/>
  <c r="AM493" i="50"/>
  <c r="J612" i="50" s="1"/>
  <c r="AL493" i="50"/>
  <c r="I612" i="50" s="1"/>
  <c r="BA516" i="50"/>
  <c r="BA116" i="50"/>
  <c r="AI492" i="50"/>
  <c r="F595" i="50" s="1"/>
  <c r="F594" i="50" s="1"/>
  <c r="AN492" i="50"/>
  <c r="K595" i="50" s="1"/>
  <c r="BB116" i="50"/>
  <c r="AX118" i="50"/>
  <c r="BA123" i="50"/>
  <c r="BB517" i="50"/>
  <c r="AN64" i="37"/>
  <c r="AS66" i="37"/>
  <c r="AS56" i="37"/>
  <c r="AW95" i="50"/>
  <c r="AG57" i="15"/>
  <c r="AH58" i="15"/>
  <c r="AF57" i="15"/>
  <c r="AI494" i="50"/>
  <c r="F629" i="50" s="1"/>
  <c r="AR488" i="50"/>
  <c r="AW123" i="50"/>
  <c r="AL489" i="50"/>
  <c r="I544" i="50" s="1"/>
  <c r="AU490" i="50"/>
  <c r="AR491" i="50"/>
  <c r="AX121" i="50"/>
  <c r="AK494" i="50"/>
  <c r="H629" i="50" s="1"/>
  <c r="AX120" i="50"/>
  <c r="AQ495" i="50"/>
  <c r="AM490" i="50"/>
  <c r="J561" i="50" s="1"/>
  <c r="AQ496" i="50"/>
  <c r="AM53" i="15"/>
  <c r="AQ54" i="37"/>
  <c r="AJ53" i="15"/>
  <c r="AJ62" i="15"/>
  <c r="AN58" i="15"/>
  <c r="AP62" i="15"/>
  <c r="AI66" i="15"/>
  <c r="AG65" i="15"/>
  <c r="AF63" i="15"/>
  <c r="AT63" i="37"/>
  <c r="AK55" i="37"/>
  <c r="AP55" i="37"/>
  <c r="AH59" i="15"/>
  <c r="AO66" i="15"/>
  <c r="AI67" i="37"/>
  <c r="AP54" i="15"/>
  <c r="AF64" i="15"/>
  <c r="AQ65" i="37"/>
  <c r="AR64" i="37"/>
  <c r="AQ64" i="37"/>
  <c r="AQ53" i="15"/>
  <c r="AK53" i="15"/>
  <c r="AM54" i="37"/>
  <c r="AR62" i="37"/>
  <c r="AR58" i="37"/>
  <c r="AO56" i="37"/>
  <c r="AJ57" i="15"/>
  <c r="AK66" i="15"/>
  <c r="AH64" i="15"/>
  <c r="AM60" i="15"/>
  <c r="AT61" i="37"/>
  <c r="AH65" i="15"/>
  <c r="AH63" i="15"/>
  <c r="AQ61" i="15"/>
  <c r="AK62" i="15"/>
  <c r="AG64" i="15"/>
  <c r="AK488" i="50"/>
  <c r="H527" i="50" s="1"/>
  <c r="AS491" i="50"/>
  <c r="AZ515" i="50"/>
  <c r="AS495" i="50"/>
  <c r="AY515" i="50"/>
  <c r="AP495" i="50"/>
  <c r="AJ65" i="15"/>
  <c r="AM488" i="50"/>
  <c r="J527" i="50" s="1"/>
  <c r="AS493" i="50"/>
  <c r="AZ517" i="50"/>
  <c r="AK492" i="50"/>
  <c r="H595" i="50" s="1"/>
  <c r="AL67" i="37"/>
  <c r="AH62" i="15"/>
  <c r="AQ494" i="50"/>
  <c r="AW515" i="50"/>
  <c r="AI491" i="50"/>
  <c r="F578" i="50" s="1"/>
  <c r="AM495" i="50"/>
  <c r="J646" i="50" s="1"/>
  <c r="AM55" i="15"/>
  <c r="AI59" i="37"/>
  <c r="AK58" i="15"/>
  <c r="AM56" i="15"/>
  <c r="AQ66" i="15"/>
  <c r="AJ64" i="15"/>
  <c r="AP56" i="15"/>
  <c r="AN54" i="37"/>
  <c r="AF62" i="15"/>
  <c r="AI64" i="15"/>
  <c r="AJ66" i="15"/>
  <c r="AK60" i="15"/>
  <c r="AI56" i="37"/>
  <c r="AN59" i="15"/>
  <c r="AQ55" i="15"/>
  <c r="AL55" i="15"/>
  <c r="AN55" i="15"/>
  <c r="AO67" i="15"/>
  <c r="AL67" i="15"/>
  <c r="AM63" i="37"/>
  <c r="AO63" i="37"/>
  <c r="AR63" i="37"/>
  <c r="AI55" i="37"/>
  <c r="AJ55" i="37"/>
  <c r="AT65" i="37"/>
  <c r="AS65" i="37"/>
  <c r="AI57" i="37"/>
  <c r="AK66" i="37"/>
  <c r="AP62" i="37"/>
  <c r="AP64" i="15"/>
  <c r="AL58" i="15"/>
  <c r="AQ64" i="15"/>
  <c r="AR55" i="37"/>
  <c r="AT55" i="37"/>
  <c r="AM65" i="37"/>
  <c r="AJ62" i="37"/>
  <c r="AJ59" i="15"/>
  <c r="AM65" i="15"/>
  <c r="AQ488" i="50"/>
  <c r="AX488" i="50" s="1"/>
  <c r="AK491" i="50"/>
  <c r="H578" i="50" s="1"/>
  <c r="AT495" i="50"/>
  <c r="AW519" i="50"/>
  <c r="AM492" i="50"/>
  <c r="J595" i="50" s="1"/>
  <c r="AK490" i="50"/>
  <c r="H561" i="50" s="1"/>
  <c r="AL495" i="50"/>
  <c r="I646" i="50" s="1"/>
  <c r="AJ496" i="50"/>
  <c r="G663" i="50" s="1"/>
  <c r="AK63" i="37"/>
  <c r="AX123" i="50"/>
  <c r="AZ116" i="50"/>
  <c r="AM491" i="50"/>
  <c r="J578" i="50" s="1"/>
  <c r="BB515" i="50"/>
  <c r="BB121" i="50"/>
  <c r="BA514" i="50"/>
  <c r="AG67" i="15"/>
  <c r="AQ67" i="15"/>
  <c r="AK56" i="37"/>
  <c r="AT56" i="37"/>
  <c r="AL53" i="15"/>
  <c r="AI66" i="37"/>
  <c r="AJ66" i="37"/>
  <c r="AM66" i="37"/>
  <c r="AQ62" i="37"/>
  <c r="AM58" i="37"/>
  <c r="AL58" i="37"/>
  <c r="AM66" i="15"/>
  <c r="AI53" i="15"/>
  <c r="AO57" i="15"/>
  <c r="BA121" i="50"/>
  <c r="AL61" i="15"/>
  <c r="AG54" i="15"/>
  <c r="AF55" i="15"/>
  <c r="AQ58" i="37"/>
  <c r="AK58" i="37"/>
  <c r="AX122" i="50"/>
  <c r="AF65" i="15"/>
  <c r="AK489" i="50"/>
  <c r="H544" i="50" s="1"/>
  <c r="AS488" i="50"/>
  <c r="AI488" i="50"/>
  <c r="F527" i="50" s="1"/>
  <c r="AY516" i="50"/>
  <c r="AS64" i="37"/>
  <c r="AQ491" i="50"/>
  <c r="AW121" i="50"/>
  <c r="BA92" i="50"/>
  <c r="AW116" i="50"/>
  <c r="AY116" i="50"/>
  <c r="AW512" i="50"/>
  <c r="AG66" i="15"/>
  <c r="AN64" i="15"/>
  <c r="AK55" i="15"/>
  <c r="AX512" i="50"/>
  <c r="AM494" i="50"/>
  <c r="J629" i="50" s="1"/>
  <c r="AN495" i="50"/>
  <c r="K646" i="50" s="1"/>
  <c r="AX518" i="50"/>
  <c r="AP55" i="15"/>
  <c r="AN53" i="15"/>
  <c r="AH57" i="15"/>
  <c r="BB519" i="50"/>
  <c r="AF66" i="15"/>
  <c r="AG60" i="15"/>
  <c r="AI58" i="15"/>
  <c r="AJ61" i="37"/>
  <c r="AR494" i="50"/>
  <c r="AN62" i="15"/>
  <c r="AQ60" i="37"/>
  <c r="AL61" i="37"/>
  <c r="AU494" i="50"/>
  <c r="AR67" i="37"/>
  <c r="AJ67" i="37"/>
  <c r="AK63" i="15"/>
  <c r="AR496" i="50"/>
  <c r="AF58" i="15"/>
  <c r="AQ60" i="15"/>
  <c r="AL56" i="15"/>
  <c r="AO60" i="15"/>
  <c r="AZ123" i="50"/>
  <c r="AY517" i="50"/>
  <c r="AP53" i="15"/>
  <c r="AS61" i="37"/>
  <c r="AQ61" i="37"/>
  <c r="AH66" i="15"/>
  <c r="AK64" i="15"/>
  <c r="AG58" i="15"/>
  <c r="AI56" i="15"/>
  <c r="AG56" i="15"/>
  <c r="BA518" i="50"/>
  <c r="AF53" i="15"/>
  <c r="AL54" i="37"/>
  <c r="AP61" i="37"/>
  <c r="AP63" i="37"/>
  <c r="AS63" i="37"/>
  <c r="AM55" i="37"/>
  <c r="AO55" i="37"/>
  <c r="AN65" i="37"/>
  <c r="AI65" i="37"/>
  <c r="AP57" i="37"/>
  <c r="AL66" i="37"/>
  <c r="AG59" i="15"/>
  <c r="AO54" i="37"/>
  <c r="AP63" i="15"/>
  <c r="AI65" i="15"/>
  <c r="AO53" i="15"/>
  <c r="AI496" i="50"/>
  <c r="F663" i="50" s="1"/>
  <c r="AL62" i="15"/>
  <c r="AM64" i="15"/>
  <c r="AM58" i="15"/>
  <c r="AL65" i="15"/>
  <c r="AM61" i="15"/>
  <c r="BB513" i="50"/>
  <c r="AW117" i="50"/>
  <c r="AZ117" i="50"/>
  <c r="AQ493" i="50"/>
  <c r="BA517" i="50"/>
  <c r="BB516" i="50"/>
  <c r="AW513" i="50"/>
  <c r="BB118" i="50"/>
  <c r="AW517" i="50"/>
  <c r="AI493" i="50"/>
  <c r="F612" i="50" s="1"/>
  <c r="AJ492" i="50"/>
  <c r="G595" i="50" s="1"/>
  <c r="AZ514" i="50"/>
  <c r="AU492" i="50"/>
  <c r="AU489" i="50"/>
  <c r="AX517" i="50"/>
  <c r="BA117" i="50"/>
  <c r="AJ489" i="50"/>
  <c r="G544" i="50" s="1"/>
  <c r="BB514" i="50"/>
  <c r="AX516" i="50"/>
  <c r="AY118" i="50"/>
  <c r="AN57" i="15"/>
  <c r="AO64" i="37"/>
  <c r="AO58" i="15"/>
  <c r="AX514" i="50"/>
  <c r="AW516" i="50"/>
  <c r="AJ490" i="50"/>
  <c r="G561" i="50" s="1"/>
  <c r="AP67" i="15"/>
  <c r="AL63" i="37"/>
  <c r="AQ57" i="37"/>
  <c r="AN56" i="37"/>
  <c r="AO66" i="37"/>
  <c r="AP66" i="37"/>
  <c r="AL62" i="37"/>
  <c r="AI64" i="37"/>
  <c r="AN66" i="15"/>
  <c r="AS494" i="50"/>
  <c r="AP60" i="15"/>
  <c r="AJ60" i="15"/>
  <c r="AI60" i="15"/>
  <c r="AH56" i="15"/>
  <c r="AH55" i="15"/>
  <c r="AO55" i="15"/>
  <c r="AM67" i="15"/>
  <c r="AN67" i="15"/>
  <c r="AO57" i="37"/>
  <c r="AL57" i="37"/>
  <c r="AS62" i="37"/>
  <c r="AT58" i="37"/>
  <c r="AN65" i="15"/>
  <c r="AP59" i="15"/>
  <c r="AM62" i="15"/>
  <c r="AG62" i="15"/>
  <c r="AY120" i="50"/>
  <c r="AY513" i="50"/>
  <c r="AK493" i="50"/>
  <c r="H612" i="50" s="1"/>
  <c r="AP54" i="37"/>
  <c r="AK61" i="37"/>
  <c r="AP65" i="15"/>
  <c r="AO59" i="15"/>
  <c r="AH54" i="15"/>
  <c r="P275" i="34"/>
  <c r="L275" i="34" s="1"/>
  <c r="AR61" i="37"/>
  <c r="AW120" i="50"/>
  <c r="AP496" i="50"/>
  <c r="AN61" i="37"/>
  <c r="AN60" i="15"/>
  <c r="AK57" i="37"/>
  <c r="AJ55" i="15"/>
  <c r="AH67" i="15"/>
  <c r="AJ64" i="37"/>
  <c r="AT64" i="37"/>
  <c r="AJ60" i="37"/>
  <c r="AS60" i="37"/>
  <c r="AJ56" i="37"/>
  <c r="AQ57" i="15"/>
  <c r="AN62" i="37"/>
  <c r="AR60" i="37"/>
  <c r="AW122" i="50"/>
  <c r="AZ120" i="50"/>
  <c r="BB520" i="50"/>
  <c r="AW518" i="50"/>
  <c r="AP494" i="50"/>
  <c r="AL488" i="50"/>
  <c r="I527" i="50" s="1"/>
  <c r="AZ512" i="50"/>
  <c r="AT488" i="50"/>
  <c r="BA512" i="50"/>
  <c r="BB512" i="50"/>
  <c r="AU488" i="50"/>
  <c r="AT54" i="37"/>
  <c r="BB122" i="50"/>
  <c r="AK67" i="37"/>
  <c r="AQ65" i="15"/>
  <c r="AK65" i="15"/>
  <c r="AO65" i="15"/>
  <c r="AN63" i="15"/>
  <c r="AF54" i="15"/>
  <c r="AW520" i="50"/>
  <c r="AS67" i="37"/>
  <c r="AL63" i="15"/>
  <c r="AK61" i="15"/>
  <c r="AF59" i="15"/>
  <c r="AI54" i="15"/>
  <c r="AP67" i="37"/>
  <c r="AJ54" i="37"/>
  <c r="AM61" i="37"/>
  <c r="F152" i="38"/>
  <c r="E158" i="38"/>
  <c r="E156" i="38" s="1"/>
  <c r="D20" i="38" s="1"/>
  <c r="E81" i="15" s="1"/>
  <c r="F224" i="38"/>
  <c r="E230" i="38"/>
  <c r="E228" i="38" s="1"/>
  <c r="D26" i="38" s="1"/>
  <c r="E87" i="15" s="1"/>
  <c r="AN60" i="37"/>
  <c r="AO61" i="15"/>
  <c r="AN54" i="15"/>
  <c r="AJ61" i="15"/>
  <c r="AK496" i="50"/>
  <c r="H663" i="50" s="1"/>
  <c r="AP66" i="15"/>
  <c r="AQ56" i="15"/>
  <c r="AF56" i="15"/>
  <c r="AQ62" i="15"/>
  <c r="AO56" i="15"/>
  <c r="AK67" i="15"/>
  <c r="AS57" i="37"/>
  <c r="E110" i="38"/>
  <c r="F104" i="38"/>
  <c r="E194" i="38"/>
  <c r="E192" i="38" s="1"/>
  <c r="D23" i="38" s="1"/>
  <c r="E84" i="15" s="1"/>
  <c r="F188" i="38"/>
  <c r="F212" i="38"/>
  <c r="E218" i="38"/>
  <c r="E216" i="38" s="1"/>
  <c r="D25" i="38" s="1"/>
  <c r="E86" i="15" s="1"/>
  <c r="AN67" i="37"/>
  <c r="AS496" i="50"/>
  <c r="AG55" i="15"/>
  <c r="AQ63" i="37"/>
  <c r="AI58" i="37"/>
  <c r="AO58" i="37"/>
  <c r="AQ58" i="15"/>
  <c r="AJ58" i="15"/>
  <c r="AI55" i="15"/>
  <c r="AI67" i="15"/>
  <c r="AN63" i="37"/>
  <c r="AN55" i="37"/>
  <c r="AT66" i="37"/>
  <c r="AP58" i="37"/>
  <c r="AS55" i="37"/>
  <c r="AJ58" i="37"/>
  <c r="AL59" i="15"/>
  <c r="AK64" i="37"/>
  <c r="AH53" i="15"/>
  <c r="AL57" i="15"/>
  <c r="AR59" i="37"/>
  <c r="AL60" i="37"/>
  <c r="AR56" i="37"/>
  <c r="AH61" i="15"/>
  <c r="AI59" i="15"/>
  <c r="AQ55" i="37"/>
  <c r="AJ65" i="37"/>
  <c r="AO65" i="37"/>
  <c r="AN57" i="37"/>
  <c r="AM62" i="37"/>
  <c r="AQ54" i="15"/>
  <c r="BA122" i="50"/>
  <c r="AZ122" i="50"/>
  <c r="AM496" i="50"/>
  <c r="J663" i="50" s="1"/>
  <c r="BA520" i="50"/>
  <c r="AZ518" i="50"/>
  <c r="AN494" i="50"/>
  <c r="K629" i="50" s="1"/>
  <c r="AN56" i="15"/>
  <c r="AO59" i="37"/>
  <c r="AT494" i="50"/>
  <c r="AI62" i="15"/>
  <c r="AN59" i="37"/>
  <c r="AS54" i="37"/>
  <c r="AY122" i="50"/>
  <c r="AY518" i="50"/>
  <c r="BA120" i="50"/>
  <c r="AT57" i="37"/>
  <c r="AI60" i="37"/>
  <c r="AM60" i="37"/>
  <c r="AK62" i="37"/>
  <c r="AS58" i="37"/>
  <c r="AQ67" i="37"/>
  <c r="AJ67" i="15"/>
  <c r="AP65" i="37"/>
  <c r="AM57" i="37"/>
  <c r="AI62" i="37"/>
  <c r="BB120" i="50"/>
  <c r="AT60" i="37"/>
  <c r="AT59" i="37"/>
  <c r="AK54" i="37"/>
  <c r="AJ494" i="50"/>
  <c r="G629" i="50" s="1"/>
  <c r="AX520" i="50"/>
  <c r="BB518" i="50"/>
  <c r="AJ59" i="37"/>
  <c r="AI54" i="37"/>
  <c r="AI61" i="37"/>
  <c r="AZ520" i="50"/>
  <c r="AL496" i="50"/>
  <c r="I663" i="50" s="1"/>
  <c r="P288" i="34"/>
  <c r="L288" i="34" s="1"/>
  <c r="P280" i="34"/>
  <c r="L280" i="34" s="1"/>
  <c r="F242" i="38"/>
  <c r="F240" i="38" s="1"/>
  <c r="E27" i="38" s="1"/>
  <c r="F88" i="15" s="1"/>
  <c r="G236" i="38"/>
  <c r="X1" i="51"/>
  <c r="C32" i="1"/>
  <c r="H32" i="1" s="1"/>
  <c r="P290" i="34"/>
  <c r="L290" i="34" s="1"/>
  <c r="P282" i="34"/>
  <c r="L282" i="34" s="1"/>
  <c r="P292" i="34"/>
  <c r="L292" i="34" s="1"/>
  <c r="P284" i="34"/>
  <c r="L284" i="34" s="1"/>
  <c r="C31" i="1"/>
  <c r="H31" i="1" s="1"/>
  <c r="X1" i="49"/>
  <c r="G164" i="38"/>
  <c r="P278" i="34"/>
  <c r="L278" i="34" s="1"/>
  <c r="H124" i="47"/>
  <c r="F140" i="47"/>
  <c r="F51" i="47"/>
  <c r="F52" i="47"/>
  <c r="F47" i="47" s="1"/>
  <c r="F9" i="47" s="1"/>
  <c r="AM8" i="14" s="1"/>
  <c r="H179" i="49"/>
  <c r="G182" i="49"/>
  <c r="G86" i="47"/>
  <c r="G88" i="47"/>
  <c r="G87" i="47"/>
  <c r="H85" i="47"/>
  <c r="I82" i="47"/>
  <c r="H131" i="51"/>
  <c r="I128" i="51"/>
  <c r="H165" i="51"/>
  <c r="I162" i="51"/>
  <c r="H103" i="47"/>
  <c r="I100" i="47"/>
  <c r="I94" i="49"/>
  <c r="H97" i="49"/>
  <c r="H145" i="49"/>
  <c r="G148" i="49"/>
  <c r="G104" i="47"/>
  <c r="G106" i="47"/>
  <c r="G105" i="47"/>
  <c r="I124" i="47"/>
  <c r="I122" i="47"/>
  <c r="I123" i="47"/>
  <c r="J154" i="47"/>
  <c r="J157" i="47" s="1"/>
  <c r="I157" i="47"/>
  <c r="J60" i="51"/>
  <c r="J63" i="51" s="1"/>
  <c r="I63" i="51"/>
  <c r="J190" i="47"/>
  <c r="J193" i="47" s="1"/>
  <c r="I193" i="47"/>
  <c r="H141" i="47"/>
  <c r="H142" i="47"/>
  <c r="H140" i="47"/>
  <c r="G29" i="51"/>
  <c r="H26" i="51"/>
  <c r="F32" i="47"/>
  <c r="F33" i="47"/>
  <c r="F34" i="47"/>
  <c r="I49" i="47"/>
  <c r="J46" i="47"/>
  <c r="G178" i="47"/>
  <c r="G176" i="47"/>
  <c r="G177" i="47"/>
  <c r="J123" i="47"/>
  <c r="J124" i="47"/>
  <c r="J122" i="47"/>
  <c r="J128" i="49"/>
  <c r="J131" i="49" s="1"/>
  <c r="I131" i="49"/>
  <c r="I114" i="49"/>
  <c r="J111" i="49"/>
  <c r="J114" i="49" s="1"/>
  <c r="H158" i="47"/>
  <c r="H159" i="47"/>
  <c r="H160" i="47"/>
  <c r="I67" i="47"/>
  <c r="J64" i="47"/>
  <c r="H195" i="47"/>
  <c r="H196" i="47"/>
  <c r="H194" i="47"/>
  <c r="J136" i="47"/>
  <c r="J139" i="47" s="1"/>
  <c r="H28" i="47"/>
  <c r="G31" i="47"/>
  <c r="H50" i="47"/>
  <c r="H52" i="47"/>
  <c r="H51" i="47"/>
  <c r="H175" i="47"/>
  <c r="I172" i="47"/>
  <c r="H46" i="49"/>
  <c r="I43" i="49"/>
  <c r="J77" i="51"/>
  <c r="J80" i="51" s="1"/>
  <c r="I80" i="51"/>
  <c r="E313" i="15" l="1"/>
  <c r="E312" i="15" s="1"/>
  <c r="E302" i="15"/>
  <c r="M29" i="15"/>
  <c r="P29" i="15"/>
  <c r="D29" i="15"/>
  <c r="C257" i="38" s="1"/>
  <c r="I257" i="38" s="1"/>
  <c r="J29" i="15"/>
  <c r="C147" i="14"/>
  <c r="C139" i="14" s="1"/>
  <c r="O29" i="15"/>
  <c r="L29" i="15"/>
  <c r="D468" i="7" s="1"/>
  <c r="AH351" i="7" s="1"/>
  <c r="B90" i="15"/>
  <c r="G29" i="15"/>
  <c r="F187" i="44" s="1"/>
  <c r="H29" i="15"/>
  <c r="G467" i="7" s="1"/>
  <c r="AE351" i="7" s="1"/>
  <c r="N29" i="15"/>
  <c r="F468" i="7" s="1"/>
  <c r="AJ351" i="7" s="1"/>
  <c r="F326" i="38"/>
  <c r="F324" i="38" s="1"/>
  <c r="E34" i="38" s="1"/>
  <c r="F95" i="15" s="1"/>
  <c r="Q29" i="15"/>
  <c r="I468" i="7" s="1"/>
  <c r="AM351" i="7" s="1"/>
  <c r="I29" i="15"/>
  <c r="H187" i="44" s="1"/>
  <c r="F29" i="15"/>
  <c r="E467" i="7" s="1"/>
  <c r="AC351" i="7" s="1"/>
  <c r="E29" i="15"/>
  <c r="D467" i="7" s="1"/>
  <c r="AB351" i="7" s="1"/>
  <c r="I165" i="49"/>
  <c r="I682" i="50"/>
  <c r="J60" i="49"/>
  <c r="J63" i="49" s="1"/>
  <c r="H68" i="47"/>
  <c r="I287" i="50"/>
  <c r="Z287" i="50"/>
  <c r="I286" i="50"/>
  <c r="I288" i="50"/>
  <c r="AB27" i="15"/>
  <c r="D452" i="7"/>
  <c r="AH349" i="7" s="1"/>
  <c r="D168" i="44"/>
  <c r="C285" i="44"/>
  <c r="P285" i="44" s="1"/>
  <c r="L285" i="44" s="1"/>
  <c r="S285" i="44" s="1"/>
  <c r="C160" i="44"/>
  <c r="L160" i="44" s="1"/>
  <c r="C448" i="7"/>
  <c r="C349" i="7"/>
  <c r="D349" i="7" s="1"/>
  <c r="D163" i="45"/>
  <c r="E21" i="15"/>
  <c r="AE80" i="37"/>
  <c r="AE81" i="37"/>
  <c r="G163" i="45"/>
  <c r="G163" i="44"/>
  <c r="B139" i="14"/>
  <c r="E356" i="56" s="1"/>
  <c r="AL58" i="14" s="1"/>
  <c r="E451" i="7"/>
  <c r="AC349" i="7" s="1"/>
  <c r="E163" i="44"/>
  <c r="F452" i="7"/>
  <c r="AJ349" i="7" s="1"/>
  <c r="F168" i="44"/>
  <c r="Z306" i="50"/>
  <c r="K305" i="50"/>
  <c r="K304" i="50"/>
  <c r="K303" i="50"/>
  <c r="D127" i="44"/>
  <c r="D427" i="7"/>
  <c r="AB346" i="7" s="1"/>
  <c r="G120" i="45"/>
  <c r="H452" i="7"/>
  <c r="AL349" i="7" s="1"/>
  <c r="L21" i="15"/>
  <c r="D96" i="45" s="1"/>
  <c r="I163" i="44"/>
  <c r="G452" i="7"/>
  <c r="AK349" i="7" s="1"/>
  <c r="Q21" i="15"/>
  <c r="I404" i="7" s="1"/>
  <c r="AM343" i="7" s="1"/>
  <c r="G168" i="45"/>
  <c r="D163" i="44"/>
  <c r="H168" i="45"/>
  <c r="H451" i="7"/>
  <c r="AF349" i="7" s="1"/>
  <c r="H163" i="44"/>
  <c r="D108" i="44"/>
  <c r="H115" i="44"/>
  <c r="D108" i="45"/>
  <c r="H115" i="45"/>
  <c r="B22" i="15"/>
  <c r="I163" i="45"/>
  <c r="E168" i="45"/>
  <c r="O22" i="15"/>
  <c r="G108" i="45" s="1"/>
  <c r="I22" i="15"/>
  <c r="H411" i="7" s="1"/>
  <c r="AF344" i="7" s="1"/>
  <c r="H22" i="15"/>
  <c r="G411" i="7" s="1"/>
  <c r="AE344" i="7" s="1"/>
  <c r="E22" i="15"/>
  <c r="D103" i="45" s="1"/>
  <c r="I168" i="45"/>
  <c r="G272" i="38"/>
  <c r="H272" i="38" s="1"/>
  <c r="C281" i="44"/>
  <c r="P281" i="44" s="1"/>
  <c r="L281" i="44" s="1"/>
  <c r="T281" i="44" s="1"/>
  <c r="F451" i="7"/>
  <c r="AD349" i="7" s="1"/>
  <c r="D22" i="15"/>
  <c r="AB22" i="15" s="1"/>
  <c r="Q22" i="15"/>
  <c r="I412" i="7" s="1"/>
  <c r="AM344" i="7" s="1"/>
  <c r="F22" i="15"/>
  <c r="E103" i="44" s="1"/>
  <c r="I452" i="7"/>
  <c r="AM349" i="7" s="1"/>
  <c r="C345" i="7"/>
  <c r="D345" i="7" s="1"/>
  <c r="F163" i="44"/>
  <c r="G22" i="15"/>
  <c r="F411" i="7" s="1"/>
  <c r="AD344" i="7" s="1"/>
  <c r="J22" i="15"/>
  <c r="I411" i="7" s="1"/>
  <c r="AG344" i="7" s="1"/>
  <c r="G120" i="44"/>
  <c r="P22" i="15"/>
  <c r="H412" i="7" s="1"/>
  <c r="AL344" i="7" s="1"/>
  <c r="N22" i="15"/>
  <c r="F108" i="45" s="1"/>
  <c r="M22" i="15"/>
  <c r="E412" i="7" s="1"/>
  <c r="AI344" i="7" s="1"/>
  <c r="B83" i="15"/>
  <c r="E452" i="7"/>
  <c r="AI349" i="7" s="1"/>
  <c r="I115" i="44"/>
  <c r="I115" i="45"/>
  <c r="D120" i="45"/>
  <c r="F21" i="15"/>
  <c r="E91" i="44" s="1"/>
  <c r="G21" i="15"/>
  <c r="F91" i="44" s="1"/>
  <c r="H21" i="15"/>
  <c r="G91" i="45" s="1"/>
  <c r="D120" i="44"/>
  <c r="H96" i="44"/>
  <c r="I21" i="15"/>
  <c r="H91" i="44" s="1"/>
  <c r="H120" i="44"/>
  <c r="H96" i="45"/>
  <c r="J21" i="15"/>
  <c r="I91" i="44" s="1"/>
  <c r="M21" i="15"/>
  <c r="E96" i="44" s="1"/>
  <c r="D21" i="15"/>
  <c r="AB21" i="15" s="1"/>
  <c r="O21" i="15"/>
  <c r="G404" i="7" s="1"/>
  <c r="AK343" i="7" s="1"/>
  <c r="B21" i="15"/>
  <c r="N21" i="15"/>
  <c r="F404" i="7" s="1"/>
  <c r="AJ343" i="7" s="1"/>
  <c r="B82" i="15"/>
  <c r="Z834" i="50"/>
  <c r="J32" i="15"/>
  <c r="I491" i="7" s="1"/>
  <c r="AG354" i="7" s="1"/>
  <c r="D419" i="7"/>
  <c r="AB345" i="7" s="1"/>
  <c r="F115" i="44"/>
  <c r="D32" i="15"/>
  <c r="C293" i="38" s="1"/>
  <c r="I293" i="38" s="1"/>
  <c r="D115" i="44"/>
  <c r="F29" i="47"/>
  <c r="B94" i="15"/>
  <c r="F120" i="44"/>
  <c r="AB33" i="15"/>
  <c r="N32" i="15"/>
  <c r="F228" i="45" s="1"/>
  <c r="H817" i="50"/>
  <c r="G33" i="15"/>
  <c r="F235" i="45" s="1"/>
  <c r="L33" i="15"/>
  <c r="D500" i="7" s="1"/>
  <c r="AH355" i="7" s="1"/>
  <c r="B33" i="15"/>
  <c r="I717" i="50"/>
  <c r="H420" i="7"/>
  <c r="AL345" i="7" s="1"/>
  <c r="O33" i="15"/>
  <c r="G240" i="45" s="1"/>
  <c r="F224" i="15"/>
  <c r="C496" i="7"/>
  <c r="E374" i="15"/>
  <c r="E373" i="15" s="1"/>
  <c r="E372" i="15" s="1"/>
  <c r="J33" i="15"/>
  <c r="I235" i="45" s="1"/>
  <c r="F32" i="15"/>
  <c r="E223" i="45" s="1"/>
  <c r="E33" i="15"/>
  <c r="D235" i="44" s="1"/>
  <c r="I819" i="50"/>
  <c r="Z784" i="50"/>
  <c r="Z698" i="50"/>
  <c r="H783" i="50"/>
  <c r="Z682" i="50"/>
  <c r="G180" i="45"/>
  <c r="E420" i="7"/>
  <c r="AI345" i="7" s="1"/>
  <c r="E120" i="45"/>
  <c r="G460" i="7"/>
  <c r="AK350" i="7" s="1"/>
  <c r="I818" i="50"/>
  <c r="H819" i="50"/>
  <c r="I785" i="50"/>
  <c r="H834" i="50"/>
  <c r="H698" i="50"/>
  <c r="I716" i="50"/>
  <c r="Z783" i="50"/>
  <c r="I817" i="50"/>
  <c r="Z818" i="50"/>
  <c r="Z817" i="50"/>
  <c r="H818" i="50"/>
  <c r="I783" i="50"/>
  <c r="I784" i="50"/>
  <c r="H836" i="50"/>
  <c r="H835" i="50"/>
  <c r="H699" i="50"/>
  <c r="H700" i="50"/>
  <c r="I715" i="50"/>
  <c r="Z716" i="50"/>
  <c r="H785" i="50"/>
  <c r="H784" i="50"/>
  <c r="I681" i="50"/>
  <c r="I80" i="49"/>
  <c r="M26" i="58"/>
  <c r="K42" i="58"/>
  <c r="H662" i="50"/>
  <c r="H751" i="50"/>
  <c r="H749" i="50"/>
  <c r="H747" i="50"/>
  <c r="Z749" i="50"/>
  <c r="H750" i="50"/>
  <c r="H730" i="50"/>
  <c r="H733" i="50"/>
  <c r="Z732" i="50"/>
  <c r="H734" i="50"/>
  <c r="H732" i="50"/>
  <c r="H764" i="50"/>
  <c r="H766" i="50"/>
  <c r="Z766" i="50"/>
  <c r="H767" i="50"/>
  <c r="H768" i="50"/>
  <c r="H800" i="50"/>
  <c r="Z800" i="50"/>
  <c r="H798" i="50"/>
  <c r="H802" i="50"/>
  <c r="H801" i="50"/>
  <c r="I750" i="50"/>
  <c r="I751" i="50"/>
  <c r="I747" i="50"/>
  <c r="Z750" i="50"/>
  <c r="I749" i="50"/>
  <c r="H717" i="50"/>
  <c r="H716" i="50"/>
  <c r="H713" i="50"/>
  <c r="Z715" i="50"/>
  <c r="H715" i="50"/>
  <c r="G662" i="50"/>
  <c r="J662" i="50"/>
  <c r="I662" i="50"/>
  <c r="G628" i="50"/>
  <c r="F662" i="50"/>
  <c r="I683" i="50"/>
  <c r="G34" i="37"/>
  <c r="E247" i="34" s="1"/>
  <c r="E349" i="15"/>
  <c r="E348" i="15" s="1"/>
  <c r="F397" i="15"/>
  <c r="F396" i="15" s="1"/>
  <c r="E325" i="15"/>
  <c r="E324" i="15" s="1"/>
  <c r="C355" i="7"/>
  <c r="D355" i="7" s="1"/>
  <c r="C416" i="7"/>
  <c r="C291" i="44"/>
  <c r="P291" i="44" s="1"/>
  <c r="L291" i="44" s="1"/>
  <c r="S291" i="44" s="1"/>
  <c r="F308" i="15"/>
  <c r="F314" i="15" s="1"/>
  <c r="F313" i="15" s="1"/>
  <c r="F312" i="15" s="1"/>
  <c r="Q33" i="15"/>
  <c r="I500" i="7" s="1"/>
  <c r="AM355" i="7" s="1"/>
  <c r="H33" i="15"/>
  <c r="G235" i="44" s="1"/>
  <c r="I33" i="15"/>
  <c r="H235" i="45" s="1"/>
  <c r="M33" i="15"/>
  <c r="E500" i="7" s="1"/>
  <c r="AI355" i="7" s="1"/>
  <c r="F33" i="15"/>
  <c r="E235" i="45" s="1"/>
  <c r="P33" i="15"/>
  <c r="H500" i="7" s="1"/>
  <c r="AL355" i="7" s="1"/>
  <c r="C232" i="44"/>
  <c r="L232" i="44" s="1"/>
  <c r="N33" i="15"/>
  <c r="F240" i="44" s="1"/>
  <c r="E337" i="15"/>
  <c r="E336" i="15" s="1"/>
  <c r="G361" i="15"/>
  <c r="G360" i="15" s="1"/>
  <c r="F361" i="15"/>
  <c r="F360" i="15" s="1"/>
  <c r="S285" i="45"/>
  <c r="R285" i="45"/>
  <c r="M285" i="45" s="1"/>
  <c r="Q285" i="45"/>
  <c r="L285" i="45" s="1"/>
  <c r="T285" i="45"/>
  <c r="S291" i="45"/>
  <c r="R291" i="45"/>
  <c r="M291" i="45" s="1"/>
  <c r="Q291" i="45"/>
  <c r="L291" i="45" s="1"/>
  <c r="T291" i="45"/>
  <c r="Q292" i="34"/>
  <c r="M292" i="34" s="1"/>
  <c r="S292" i="34"/>
  <c r="R292" i="34"/>
  <c r="N292" i="34" s="1"/>
  <c r="T292" i="34"/>
  <c r="Q290" i="34"/>
  <c r="M290" i="34" s="1"/>
  <c r="S290" i="34"/>
  <c r="R290" i="34"/>
  <c r="N290" i="34" s="1"/>
  <c r="T290" i="34"/>
  <c r="Q288" i="34"/>
  <c r="M288" i="34" s="1"/>
  <c r="S288" i="34"/>
  <c r="R288" i="34"/>
  <c r="N288" i="34" s="1"/>
  <c r="T288" i="34"/>
  <c r="Q284" i="34"/>
  <c r="M284" i="34" s="1"/>
  <c r="S284" i="34"/>
  <c r="R284" i="34"/>
  <c r="N284" i="34" s="1"/>
  <c r="T284" i="34"/>
  <c r="Q282" i="34"/>
  <c r="M282" i="34" s="1"/>
  <c r="S282" i="34"/>
  <c r="R282" i="34"/>
  <c r="N282" i="34" s="1"/>
  <c r="T282" i="34"/>
  <c r="Q280" i="34"/>
  <c r="M280" i="34" s="1"/>
  <c r="S280" i="34"/>
  <c r="R280" i="34"/>
  <c r="N280" i="34" s="1"/>
  <c r="T280" i="34"/>
  <c r="L52" i="34"/>
  <c r="Q276" i="34"/>
  <c r="M276" i="34" s="1"/>
  <c r="S276" i="34"/>
  <c r="R276" i="34"/>
  <c r="N276" i="34" s="1"/>
  <c r="T276" i="34"/>
  <c r="K275" i="43"/>
  <c r="Q275" i="43" s="1"/>
  <c r="L275" i="43" s="1"/>
  <c r="Q275" i="34"/>
  <c r="M275" i="34" s="1"/>
  <c r="S275" i="34"/>
  <c r="R275" i="34"/>
  <c r="N275" i="34" s="1"/>
  <c r="T275" i="34"/>
  <c r="Q279" i="34"/>
  <c r="M279" i="34" s="1"/>
  <c r="S279" i="34"/>
  <c r="R279" i="34"/>
  <c r="N279" i="34" s="1"/>
  <c r="T279" i="34"/>
  <c r="Q278" i="34"/>
  <c r="M278" i="34" s="1"/>
  <c r="S278" i="34"/>
  <c r="R278" i="34"/>
  <c r="N278" i="34" s="1"/>
  <c r="T278" i="34"/>
  <c r="L64" i="34"/>
  <c r="Q277" i="34"/>
  <c r="M277" i="34" s="1"/>
  <c r="S277" i="34"/>
  <c r="R277" i="34"/>
  <c r="N277" i="34" s="1"/>
  <c r="T277" i="34"/>
  <c r="S274" i="34"/>
  <c r="T274" i="34"/>
  <c r="Q274" i="34"/>
  <c r="M274" i="34" s="1"/>
  <c r="R274" i="34"/>
  <c r="N274" i="34" s="1"/>
  <c r="F202" i="50"/>
  <c r="F199" i="50"/>
  <c r="Z153" i="50"/>
  <c r="K148" i="50"/>
  <c r="J152" i="50"/>
  <c r="J148" i="50"/>
  <c r="J715" i="50"/>
  <c r="J713" i="50"/>
  <c r="J683" i="50"/>
  <c r="J679" i="50"/>
  <c r="F115" i="45"/>
  <c r="F120" i="45"/>
  <c r="G419" i="7"/>
  <c r="AE345" i="7" s="1"/>
  <c r="G115" i="44"/>
  <c r="H356" i="15"/>
  <c r="I356" i="15" s="1"/>
  <c r="I362" i="15" s="1"/>
  <c r="I420" i="7"/>
  <c r="AM345" i="7" s="1"/>
  <c r="E419" i="7"/>
  <c r="AC345" i="7" s="1"/>
  <c r="I120" i="45"/>
  <c r="F266" i="15"/>
  <c r="F265" i="15" s="1"/>
  <c r="F264" i="15" s="1"/>
  <c r="G260" i="15"/>
  <c r="Z717" i="50"/>
  <c r="J716" i="50"/>
  <c r="J717" i="50"/>
  <c r="L88" i="34"/>
  <c r="K279" i="43"/>
  <c r="K278" i="43"/>
  <c r="L76" i="34"/>
  <c r="K277" i="43"/>
  <c r="K276" i="43"/>
  <c r="J82" i="38"/>
  <c r="AR109" i="14"/>
  <c r="AR83" i="14" s="1"/>
  <c r="AR122" i="14" s="1"/>
  <c r="AR99" i="14"/>
  <c r="AR89" i="14"/>
  <c r="AR100" i="14"/>
  <c r="AR101" i="14"/>
  <c r="E115" i="44"/>
  <c r="AB23" i="15"/>
  <c r="C281" i="45"/>
  <c r="K281" i="45" s="1"/>
  <c r="H32" i="15"/>
  <c r="G223" i="45" s="1"/>
  <c r="B93" i="15"/>
  <c r="D491" i="7"/>
  <c r="AB354" i="7" s="1"/>
  <c r="C112" i="44"/>
  <c r="L112" i="44" s="1"/>
  <c r="B32" i="15"/>
  <c r="L40" i="34"/>
  <c r="K274" i="43"/>
  <c r="H30" i="37"/>
  <c r="F241" i="7" s="1"/>
  <c r="AD118" i="7" s="1"/>
  <c r="R25" i="37"/>
  <c r="I144" i="34" s="1"/>
  <c r="J682" i="50"/>
  <c r="F308" i="38"/>
  <c r="E314" i="38"/>
  <c r="E312" i="38" s="1"/>
  <c r="D33" i="38" s="1"/>
  <c r="E94" i="15" s="1"/>
  <c r="O32" i="15"/>
  <c r="G492" i="7" s="1"/>
  <c r="AK354" i="7" s="1"/>
  <c r="Q32" i="15"/>
  <c r="I228" i="45" s="1"/>
  <c r="D223" i="45"/>
  <c r="M32" i="15"/>
  <c r="E228" i="44" s="1"/>
  <c r="P32" i="15"/>
  <c r="H228" i="45" s="1"/>
  <c r="L32" i="15"/>
  <c r="D228" i="44" s="1"/>
  <c r="G32" i="15"/>
  <c r="F223" i="44" s="1"/>
  <c r="I32" i="15"/>
  <c r="H491" i="7" s="1"/>
  <c r="AF354" i="7" s="1"/>
  <c r="E182" i="38"/>
  <c r="E180" i="38" s="1"/>
  <c r="D22" i="38" s="1"/>
  <c r="E83" i="15" s="1"/>
  <c r="F176" i="38"/>
  <c r="I35" i="37"/>
  <c r="G259" i="34" s="1"/>
  <c r="J681" i="50"/>
  <c r="M29" i="58"/>
  <c r="M45" i="58" s="1"/>
  <c r="Z683" i="50"/>
  <c r="F682" i="50"/>
  <c r="F681" i="50"/>
  <c r="Z679" i="50"/>
  <c r="F683" i="50"/>
  <c r="F287" i="50"/>
  <c r="Z284" i="50"/>
  <c r="F288" i="50"/>
  <c r="F286" i="50"/>
  <c r="P106" i="37"/>
  <c r="J106" i="37"/>
  <c r="P31" i="37"/>
  <c r="G216" i="34" s="1"/>
  <c r="N26" i="37"/>
  <c r="E156" i="43" s="1"/>
  <c r="K26" i="37"/>
  <c r="I209" i="7" s="1"/>
  <c r="AG114" i="7" s="1"/>
  <c r="K25" i="37"/>
  <c r="I140" i="43" s="1"/>
  <c r="K151" i="50"/>
  <c r="Z152" i="50"/>
  <c r="F201" i="50"/>
  <c r="J151" i="50"/>
  <c r="Z199" i="50"/>
  <c r="J329" i="50"/>
  <c r="AA322" i="50"/>
  <c r="J330" i="50"/>
  <c r="J328" i="50"/>
  <c r="K330" i="50"/>
  <c r="AA323" i="50"/>
  <c r="K328" i="50"/>
  <c r="K329" i="50"/>
  <c r="I320" i="50"/>
  <c r="Z321" i="50"/>
  <c r="I321" i="50"/>
  <c r="I322" i="50"/>
  <c r="Z323" i="50"/>
  <c r="K320" i="50"/>
  <c r="K322" i="50"/>
  <c r="K321" i="50"/>
  <c r="H321" i="50"/>
  <c r="Z320" i="50"/>
  <c r="H322" i="50"/>
  <c r="H320" i="50"/>
  <c r="I329" i="50"/>
  <c r="I330" i="50"/>
  <c r="AA321" i="50"/>
  <c r="I328" i="50"/>
  <c r="AA318" i="50"/>
  <c r="F329" i="50"/>
  <c r="F330" i="50"/>
  <c r="F328" i="50"/>
  <c r="G330" i="50"/>
  <c r="G329" i="50"/>
  <c r="AA319" i="50"/>
  <c r="G328" i="50"/>
  <c r="AA320" i="50"/>
  <c r="H330" i="50"/>
  <c r="H329" i="50"/>
  <c r="H328" i="50"/>
  <c r="J322" i="50"/>
  <c r="Z322" i="50"/>
  <c r="J320" i="50"/>
  <c r="J321" i="50"/>
  <c r="Z319" i="50"/>
  <c r="G321" i="50"/>
  <c r="G320" i="50"/>
  <c r="G322" i="50"/>
  <c r="F322" i="50"/>
  <c r="Z318" i="50"/>
  <c r="F321" i="50"/>
  <c r="F320" i="50"/>
  <c r="AC77" i="50"/>
  <c r="J344" i="50"/>
  <c r="J343" i="50" s="1"/>
  <c r="J336" i="50"/>
  <c r="J335" i="50" s="1"/>
  <c r="H336" i="50"/>
  <c r="H335" i="50" s="1"/>
  <c r="I344" i="50"/>
  <c r="I343" i="50" s="1"/>
  <c r="F344" i="50"/>
  <c r="F343" i="50" s="1"/>
  <c r="K344" i="50"/>
  <c r="K343" i="50" s="1"/>
  <c r="G344" i="50"/>
  <c r="G343" i="50" s="1"/>
  <c r="H344" i="50"/>
  <c r="H343" i="50" s="1"/>
  <c r="G336" i="50"/>
  <c r="G335" i="50" s="1"/>
  <c r="K336" i="50"/>
  <c r="K335" i="50" s="1"/>
  <c r="F336" i="50"/>
  <c r="F335" i="50" s="1"/>
  <c r="I336" i="50"/>
  <c r="I335" i="50" s="1"/>
  <c r="K150" i="50"/>
  <c r="K152" i="50"/>
  <c r="J150" i="50"/>
  <c r="Z666" i="50"/>
  <c r="J666" i="50"/>
  <c r="J665" i="50"/>
  <c r="J664" i="50"/>
  <c r="Z665" i="50"/>
  <c r="I666" i="50"/>
  <c r="I665" i="50"/>
  <c r="I664" i="50"/>
  <c r="H666" i="50"/>
  <c r="H665" i="50"/>
  <c r="Z664" i="50"/>
  <c r="H664" i="50"/>
  <c r="Z667" i="50"/>
  <c r="K666" i="50"/>
  <c r="K665" i="50"/>
  <c r="K664" i="50"/>
  <c r="F666" i="50"/>
  <c r="F665" i="50"/>
  <c r="F664" i="50"/>
  <c r="Z662" i="50"/>
  <c r="Z663" i="50"/>
  <c r="G666" i="50"/>
  <c r="G665" i="50"/>
  <c r="G664" i="50"/>
  <c r="J251" i="50"/>
  <c r="J645" i="50"/>
  <c r="F251" i="50"/>
  <c r="F254" i="50" s="1"/>
  <c r="F645" i="50"/>
  <c r="I251" i="50"/>
  <c r="I645" i="50"/>
  <c r="G251" i="50"/>
  <c r="G250" i="50" s="1"/>
  <c r="G645" i="50"/>
  <c r="H251" i="50"/>
  <c r="H645" i="50"/>
  <c r="K251" i="50"/>
  <c r="K250" i="50" s="1"/>
  <c r="K645" i="50"/>
  <c r="J234" i="50"/>
  <c r="J628" i="50"/>
  <c r="F234" i="50"/>
  <c r="F628" i="50"/>
  <c r="K234" i="50"/>
  <c r="K628" i="50"/>
  <c r="Z629" i="50"/>
  <c r="G632" i="50"/>
  <c r="G631" i="50"/>
  <c r="G630" i="50"/>
  <c r="H234" i="50"/>
  <c r="H628" i="50"/>
  <c r="I234" i="50"/>
  <c r="I628" i="50"/>
  <c r="G217" i="50"/>
  <c r="G216" i="50" s="1"/>
  <c r="G611" i="50"/>
  <c r="F217" i="50"/>
  <c r="F611" i="50"/>
  <c r="K217" i="50"/>
  <c r="K611" i="50"/>
  <c r="H217" i="50"/>
  <c r="H611" i="50"/>
  <c r="I217" i="50"/>
  <c r="I216" i="50" s="1"/>
  <c r="I611" i="50"/>
  <c r="J217" i="50"/>
  <c r="J611" i="50"/>
  <c r="H200" i="50"/>
  <c r="H594" i="50"/>
  <c r="I200" i="50"/>
  <c r="I199" i="50" s="1"/>
  <c r="I594" i="50"/>
  <c r="K200" i="50"/>
  <c r="K594" i="50"/>
  <c r="J200" i="50"/>
  <c r="J594" i="50"/>
  <c r="G200" i="50"/>
  <c r="G594" i="50"/>
  <c r="F598" i="50"/>
  <c r="F597" i="50"/>
  <c r="F596" i="50"/>
  <c r="Z594" i="50"/>
  <c r="H183" i="50"/>
  <c r="G183" i="50"/>
  <c r="I183" i="50"/>
  <c r="I182" i="50" s="1"/>
  <c r="J183" i="50"/>
  <c r="F183" i="50"/>
  <c r="K183" i="50"/>
  <c r="K182" i="50" s="1"/>
  <c r="K166" i="50"/>
  <c r="K165" i="50" s="1"/>
  <c r="G166" i="50"/>
  <c r="J166" i="50"/>
  <c r="H166" i="50"/>
  <c r="I166" i="50"/>
  <c r="F166" i="50"/>
  <c r="G149" i="50"/>
  <c r="G148" i="50" s="1"/>
  <c r="F149" i="50"/>
  <c r="I149" i="50"/>
  <c r="I148" i="50" s="1"/>
  <c r="H149" i="50"/>
  <c r="H268" i="50"/>
  <c r="H267" i="50" s="1"/>
  <c r="K268" i="50"/>
  <c r="K267" i="50" s="1"/>
  <c r="J268" i="50"/>
  <c r="J267" i="50" s="1"/>
  <c r="I268" i="50"/>
  <c r="I267" i="50" s="1"/>
  <c r="F268" i="50"/>
  <c r="F267" i="50" s="1"/>
  <c r="G268" i="50"/>
  <c r="G267" i="50" s="1"/>
  <c r="AX97" i="50"/>
  <c r="G234" i="50"/>
  <c r="G233" i="50" s="1"/>
  <c r="J205" i="15"/>
  <c r="J204" i="15" s="1"/>
  <c r="H205" i="15"/>
  <c r="H204" i="15" s="1"/>
  <c r="K205" i="15"/>
  <c r="K204" i="15" s="1"/>
  <c r="F205" i="15"/>
  <c r="F204" i="15" s="1"/>
  <c r="G205" i="15"/>
  <c r="G204" i="15" s="1"/>
  <c r="I205" i="15"/>
  <c r="I204" i="15" s="1"/>
  <c r="L124" i="34"/>
  <c r="P32" i="37"/>
  <c r="G228" i="34" s="1"/>
  <c r="J23" i="37"/>
  <c r="H115" i="34" s="1"/>
  <c r="G35" i="37"/>
  <c r="E259" i="43" s="1"/>
  <c r="Q30" i="37"/>
  <c r="H242" i="7" s="1"/>
  <c r="AL118" i="7" s="1"/>
  <c r="J29" i="37"/>
  <c r="H187" i="34" s="1"/>
  <c r="J27" i="37"/>
  <c r="H217" i="7" s="1"/>
  <c r="AF115" i="7" s="1"/>
  <c r="I26" i="37"/>
  <c r="G152" i="43" s="1"/>
  <c r="N27" i="37"/>
  <c r="E168" i="34" s="1"/>
  <c r="P374" i="58"/>
  <c r="O390" i="58"/>
  <c r="L370" i="58"/>
  <c r="K386" i="58"/>
  <c r="Q223" i="58"/>
  <c r="Q239" i="58" s="1"/>
  <c r="P239" i="58"/>
  <c r="L142" i="58"/>
  <c r="K158" i="58"/>
  <c r="Q375" i="58"/>
  <c r="Q391" i="58" s="1"/>
  <c r="P391" i="58"/>
  <c r="L218" i="58"/>
  <c r="K234" i="58"/>
  <c r="P70" i="58"/>
  <c r="O86" i="58"/>
  <c r="L256" i="58"/>
  <c r="K272" i="58"/>
  <c r="Q261" i="58"/>
  <c r="Q277" i="58" s="1"/>
  <c r="P277" i="58"/>
  <c r="L294" i="58"/>
  <c r="K310" i="58"/>
  <c r="P298" i="58"/>
  <c r="O314" i="58"/>
  <c r="L332" i="58"/>
  <c r="K348" i="58"/>
  <c r="P336" i="58"/>
  <c r="O352" i="58"/>
  <c r="M371" i="58"/>
  <c r="L387" i="58"/>
  <c r="P146" i="58"/>
  <c r="O162" i="58"/>
  <c r="L180" i="58"/>
  <c r="K196" i="58"/>
  <c r="P184" i="58"/>
  <c r="O200" i="58"/>
  <c r="M219" i="58"/>
  <c r="L235" i="58"/>
  <c r="Q71" i="58"/>
  <c r="Q87" i="58" s="1"/>
  <c r="P87" i="58"/>
  <c r="L66" i="58"/>
  <c r="K82" i="58"/>
  <c r="P222" i="58"/>
  <c r="O238" i="58"/>
  <c r="M257" i="58"/>
  <c r="L273" i="58"/>
  <c r="M67" i="58"/>
  <c r="L83" i="58"/>
  <c r="P260" i="58"/>
  <c r="O276" i="58"/>
  <c r="M295" i="58"/>
  <c r="L311" i="58"/>
  <c r="Q299" i="58"/>
  <c r="Q315" i="58" s="1"/>
  <c r="P315" i="58"/>
  <c r="M333" i="58"/>
  <c r="L349" i="58"/>
  <c r="Q337" i="58"/>
  <c r="Q353" i="58" s="1"/>
  <c r="P353" i="58"/>
  <c r="M143" i="58"/>
  <c r="L159" i="58"/>
  <c r="Q147" i="58"/>
  <c r="Q163" i="58" s="1"/>
  <c r="P163" i="58"/>
  <c r="M181" i="58"/>
  <c r="L197" i="58"/>
  <c r="Q185" i="58"/>
  <c r="Q201" i="58" s="1"/>
  <c r="P201" i="58"/>
  <c r="K120" i="58"/>
  <c r="L104" i="58"/>
  <c r="L121" i="58"/>
  <c r="M105" i="58"/>
  <c r="N123" i="58"/>
  <c r="O107" i="58"/>
  <c r="I118" i="58"/>
  <c r="J102" i="58"/>
  <c r="P125" i="58"/>
  <c r="Q109" i="58"/>
  <c r="Q125" i="58" s="1"/>
  <c r="O124" i="58"/>
  <c r="P108" i="58"/>
  <c r="J119" i="58"/>
  <c r="K103" i="58"/>
  <c r="M122" i="58"/>
  <c r="N106" i="58"/>
  <c r="J309" i="58"/>
  <c r="K293" i="58"/>
  <c r="M198" i="58"/>
  <c r="N182" i="58"/>
  <c r="J385" i="58"/>
  <c r="K369" i="58"/>
  <c r="I346" i="58"/>
  <c r="J330" i="58"/>
  <c r="I308" i="58"/>
  <c r="J292" i="58"/>
  <c r="M274" i="58"/>
  <c r="N258" i="58"/>
  <c r="J195" i="58"/>
  <c r="K179" i="58"/>
  <c r="N199" i="58"/>
  <c r="O183" i="58"/>
  <c r="N85" i="58"/>
  <c r="O69" i="58"/>
  <c r="N351" i="58"/>
  <c r="O335" i="58"/>
  <c r="J271" i="58"/>
  <c r="K255" i="58"/>
  <c r="I156" i="58"/>
  <c r="J140" i="58"/>
  <c r="M388" i="58"/>
  <c r="N372" i="58"/>
  <c r="J157" i="58"/>
  <c r="K141" i="58"/>
  <c r="I80" i="58"/>
  <c r="J347" i="58"/>
  <c r="K331" i="58"/>
  <c r="N275" i="58"/>
  <c r="O259" i="58"/>
  <c r="J233" i="58"/>
  <c r="K217" i="58"/>
  <c r="I194" i="58"/>
  <c r="J178" i="58"/>
  <c r="M350" i="58"/>
  <c r="N334" i="58"/>
  <c r="M312" i="58"/>
  <c r="N296" i="58"/>
  <c r="I270" i="58"/>
  <c r="J254" i="58"/>
  <c r="M160" i="58"/>
  <c r="N144" i="58"/>
  <c r="I384" i="58"/>
  <c r="J368" i="58"/>
  <c r="N237" i="58"/>
  <c r="O221" i="58"/>
  <c r="N389" i="58"/>
  <c r="O373" i="58"/>
  <c r="N313" i="58"/>
  <c r="O297" i="58"/>
  <c r="I232" i="58"/>
  <c r="J216" i="58"/>
  <c r="J81" i="58"/>
  <c r="K65" i="58"/>
  <c r="N161" i="58"/>
  <c r="O145" i="58"/>
  <c r="M236" i="58"/>
  <c r="N220" i="58"/>
  <c r="M84" i="58"/>
  <c r="N68" i="58"/>
  <c r="Y28" i="15"/>
  <c r="R106" i="37"/>
  <c r="G132" i="45"/>
  <c r="AB19" i="15"/>
  <c r="D151" i="45"/>
  <c r="D151" i="44"/>
  <c r="H106" i="37"/>
  <c r="Q106" i="37"/>
  <c r="C209" i="38"/>
  <c r="I209" i="38" s="1"/>
  <c r="C347" i="7"/>
  <c r="D347" i="7" s="1"/>
  <c r="F116" i="38"/>
  <c r="G116" i="38" s="1"/>
  <c r="E122" i="38"/>
  <c r="K33" i="37"/>
  <c r="H27" i="37"/>
  <c r="F163" i="34" s="1"/>
  <c r="I31" i="37"/>
  <c r="G212" i="34" s="1"/>
  <c r="I24" i="37"/>
  <c r="M30" i="37"/>
  <c r="P35" i="37"/>
  <c r="M34" i="37"/>
  <c r="D253" i="43" s="1"/>
  <c r="K30" i="37"/>
  <c r="I200" i="43" s="1"/>
  <c r="P23" i="37"/>
  <c r="G120" i="34" s="1"/>
  <c r="O24" i="37"/>
  <c r="F133" i="43" s="1"/>
  <c r="M27" i="37"/>
  <c r="D168" i="34" s="1"/>
  <c r="Q35" i="37"/>
  <c r="H264" i="43" s="1"/>
  <c r="P29" i="37"/>
  <c r="H23" i="37"/>
  <c r="F185" i="7" s="1"/>
  <c r="AD111" i="7" s="1"/>
  <c r="O25" i="37"/>
  <c r="O26" i="37"/>
  <c r="F210" i="7" s="1"/>
  <c r="AJ114" i="7" s="1"/>
  <c r="O22" i="37"/>
  <c r="P34" i="37"/>
  <c r="G252" i="43" s="1"/>
  <c r="F28" i="37"/>
  <c r="D176" i="43" s="1"/>
  <c r="G29" i="37"/>
  <c r="E187" i="43" s="1"/>
  <c r="R28" i="37"/>
  <c r="I180" i="43" s="1"/>
  <c r="G31" i="37"/>
  <c r="E212" i="43" s="1"/>
  <c r="R35" i="37"/>
  <c r="Q31" i="37"/>
  <c r="H216" i="34" s="1"/>
  <c r="K22" i="37"/>
  <c r="Q32" i="37"/>
  <c r="H258" i="7" s="1"/>
  <c r="AL120" i="7" s="1"/>
  <c r="M25" i="37"/>
  <c r="D144" i="43" s="1"/>
  <c r="P26" i="37"/>
  <c r="G156" i="43" s="1"/>
  <c r="M24" i="37"/>
  <c r="J28" i="37"/>
  <c r="R33" i="37"/>
  <c r="I266" i="7" s="1"/>
  <c r="AM121" i="7" s="1"/>
  <c r="F32" i="37"/>
  <c r="G25" i="37"/>
  <c r="E140" i="34" s="1"/>
  <c r="H24" i="37"/>
  <c r="K28" i="37"/>
  <c r="I176" i="43" s="1"/>
  <c r="H28" i="37"/>
  <c r="J22" i="37"/>
  <c r="N32" i="37"/>
  <c r="E229" i="43" s="1"/>
  <c r="J34" i="37"/>
  <c r="H248" i="43" s="1"/>
  <c r="G23" i="37"/>
  <c r="N28" i="37"/>
  <c r="M32" i="37"/>
  <c r="O31" i="37"/>
  <c r="I33" i="37"/>
  <c r="G235" i="34" s="1"/>
  <c r="O34" i="37"/>
  <c r="F253" i="43" s="1"/>
  <c r="J24" i="37"/>
  <c r="H193" i="7" s="1"/>
  <c r="AF112" i="7" s="1"/>
  <c r="O32" i="37"/>
  <c r="F229" i="43" s="1"/>
  <c r="H25" i="37"/>
  <c r="F139" i="43" s="1"/>
  <c r="G27" i="37"/>
  <c r="G30" i="37"/>
  <c r="E199" i="34" s="1"/>
  <c r="O23" i="37"/>
  <c r="F121" i="43" s="1"/>
  <c r="F26" i="37"/>
  <c r="D152" i="43" s="1"/>
  <c r="F31" i="37"/>
  <c r="P25" i="37"/>
  <c r="Q33" i="37"/>
  <c r="H240" i="34" s="1"/>
  <c r="K32" i="37"/>
  <c r="I223" i="43" s="1"/>
  <c r="O35" i="37"/>
  <c r="F282" i="7" s="1"/>
  <c r="AJ123" i="7" s="1"/>
  <c r="R27" i="37"/>
  <c r="I169" i="34" s="1"/>
  <c r="I30" i="37"/>
  <c r="R29" i="37"/>
  <c r="F515" i="7"/>
  <c r="AD357" i="7" s="1"/>
  <c r="F259" i="44"/>
  <c r="Y21" i="15"/>
  <c r="Y32" i="15"/>
  <c r="F259" i="45"/>
  <c r="F25" i="37"/>
  <c r="D139" i="34" s="1"/>
  <c r="H22" i="37"/>
  <c r="F103" i="43" s="1"/>
  <c r="M23" i="37"/>
  <c r="D121" i="43" s="1"/>
  <c r="R34" i="37"/>
  <c r="I252" i="43" s="1"/>
  <c r="M29" i="37"/>
  <c r="D192" i="43" s="1"/>
  <c r="R32" i="37"/>
  <c r="N22" i="37"/>
  <c r="E108" i="43" s="1"/>
  <c r="N29" i="37"/>
  <c r="E234" i="7" s="1"/>
  <c r="AI117" i="7" s="1"/>
  <c r="I28" i="37"/>
  <c r="G175" i="34" s="1"/>
  <c r="F24" i="37"/>
  <c r="D127" i="43" s="1"/>
  <c r="M35" i="37"/>
  <c r="K27" i="37"/>
  <c r="I163" i="43" s="1"/>
  <c r="Q27" i="37"/>
  <c r="H168" i="34" s="1"/>
  <c r="O27" i="37"/>
  <c r="F35" i="37"/>
  <c r="D259" i="43" s="1"/>
  <c r="R31" i="37"/>
  <c r="N31" i="37"/>
  <c r="E216" i="34" s="1"/>
  <c r="J30" i="37"/>
  <c r="H199" i="43" s="1"/>
  <c r="P22" i="37"/>
  <c r="G33" i="37"/>
  <c r="E235" i="43" s="1"/>
  <c r="P28" i="37"/>
  <c r="G180" i="43" s="1"/>
  <c r="J31" i="37"/>
  <c r="H211" i="34" s="1"/>
  <c r="Q34" i="37"/>
  <c r="K24" i="37"/>
  <c r="I127" i="43" s="1"/>
  <c r="H32" i="37"/>
  <c r="H33" i="37"/>
  <c r="F236" i="43" s="1"/>
  <c r="R26" i="37"/>
  <c r="I156" i="34" s="1"/>
  <c r="N23" i="37"/>
  <c r="E120" i="34" s="1"/>
  <c r="F27" i="37"/>
  <c r="D217" i="7" s="1"/>
  <c r="AB115" i="7" s="1"/>
  <c r="I27" i="37"/>
  <c r="G164" i="34" s="1"/>
  <c r="P27" i="37"/>
  <c r="G169" i="34" s="1"/>
  <c r="K31" i="37"/>
  <c r="I212" i="34" s="1"/>
  <c r="I25" i="37"/>
  <c r="G201" i="7" s="1"/>
  <c r="AE113" i="7" s="1"/>
  <c r="R23" i="37"/>
  <c r="P33" i="37"/>
  <c r="G240" i="34" s="1"/>
  <c r="J25" i="37"/>
  <c r="J33" i="37"/>
  <c r="H236" i="43" s="1"/>
  <c r="J26" i="37"/>
  <c r="H209" i="7" s="1"/>
  <c r="AF114" i="7" s="1"/>
  <c r="I23" i="37"/>
  <c r="G116" i="43" s="1"/>
  <c r="Q23" i="37"/>
  <c r="H121" i="43" s="1"/>
  <c r="N24" i="37"/>
  <c r="E132" i="43" s="1"/>
  <c r="P24" i="37"/>
  <c r="H34" i="37"/>
  <c r="F273" i="7" s="1"/>
  <c r="AD122" i="7" s="1"/>
  <c r="F30" i="37"/>
  <c r="D241" i="7" s="1"/>
  <c r="AB118" i="7" s="1"/>
  <c r="P30" i="37"/>
  <c r="G205" i="43" s="1"/>
  <c r="O33" i="37"/>
  <c r="F240" i="43" s="1"/>
  <c r="I29" i="37"/>
  <c r="G233" i="7" s="1"/>
  <c r="AE117" i="7" s="1"/>
  <c r="K29" i="37"/>
  <c r="I188" i="43" s="1"/>
  <c r="H26" i="37"/>
  <c r="I34" i="37"/>
  <c r="G248" i="43" s="1"/>
  <c r="K35" i="37"/>
  <c r="I259" i="43" s="1"/>
  <c r="H35" i="37"/>
  <c r="F259" i="34" s="1"/>
  <c r="H31" i="37"/>
  <c r="N35" i="37"/>
  <c r="E282" i="7" s="1"/>
  <c r="AI123" i="7" s="1"/>
  <c r="J35" i="37"/>
  <c r="F22" i="37"/>
  <c r="M22" i="37"/>
  <c r="D108" i="43" s="1"/>
  <c r="M33" i="37"/>
  <c r="D240" i="43" s="1"/>
  <c r="I32" i="37"/>
  <c r="G223" i="43" s="1"/>
  <c r="Q25" i="37"/>
  <c r="O28" i="37"/>
  <c r="F181" i="43" s="1"/>
  <c r="G26" i="37"/>
  <c r="E151" i="43" s="1"/>
  <c r="K23" i="37"/>
  <c r="I115" i="34" s="1"/>
  <c r="G22" i="37"/>
  <c r="E103" i="34" s="1"/>
  <c r="R24" i="37"/>
  <c r="I133" i="43" s="1"/>
  <c r="Q24" i="37"/>
  <c r="H133" i="43" s="1"/>
  <c r="N34" i="37"/>
  <c r="E253" i="43" s="1"/>
  <c r="R30" i="37"/>
  <c r="G28" i="37"/>
  <c r="E176" i="34" s="1"/>
  <c r="N33" i="37"/>
  <c r="E241" i="34" s="1"/>
  <c r="H29" i="37"/>
  <c r="F187" i="34" s="1"/>
  <c r="Q29" i="37"/>
  <c r="H234" i="7" s="1"/>
  <c r="AL117" i="7" s="1"/>
  <c r="I22" i="37"/>
  <c r="G103" i="43" s="1"/>
  <c r="O29" i="37"/>
  <c r="F193" i="34" s="1"/>
  <c r="F23" i="37"/>
  <c r="D115" i="34" s="1"/>
  <c r="Q26" i="37"/>
  <c r="H157" i="43" s="1"/>
  <c r="G32" i="37"/>
  <c r="E224" i="43" s="1"/>
  <c r="G24" i="37"/>
  <c r="E193" i="7" s="1"/>
  <c r="AC112" i="7" s="1"/>
  <c r="AW28" i="14"/>
  <c r="N30" i="37"/>
  <c r="R22" i="37"/>
  <c r="F34" i="37"/>
  <c r="Q28" i="37"/>
  <c r="H181" i="34" s="1"/>
  <c r="K34" i="37"/>
  <c r="I247" i="43" s="1"/>
  <c r="O106" i="37"/>
  <c r="I106" i="37"/>
  <c r="M106" i="37"/>
  <c r="G380" i="15"/>
  <c r="H380" i="15" s="1"/>
  <c r="Y18" i="15"/>
  <c r="Y20" i="15"/>
  <c r="Y24" i="15"/>
  <c r="N106" i="37"/>
  <c r="F106" i="37"/>
  <c r="K106" i="37"/>
  <c r="G106" i="37"/>
  <c r="F338" i="15"/>
  <c r="F337" i="15" s="1"/>
  <c r="F336" i="15" s="1"/>
  <c r="G332" i="15"/>
  <c r="G144" i="44"/>
  <c r="G144" i="45"/>
  <c r="C173" i="38"/>
  <c r="I173" i="38" s="1"/>
  <c r="C344" i="7"/>
  <c r="D344" i="7" s="1"/>
  <c r="C161" i="38"/>
  <c r="I161" i="38" s="1"/>
  <c r="C172" i="45"/>
  <c r="L172" i="45" s="1"/>
  <c r="C286" i="45"/>
  <c r="K286" i="45" s="1"/>
  <c r="C197" i="38"/>
  <c r="I197" i="38" s="1"/>
  <c r="C346" i="7"/>
  <c r="D346" i="7" s="1"/>
  <c r="D508" i="7"/>
  <c r="AH356" i="7" s="1"/>
  <c r="D252" i="44"/>
  <c r="H139" i="45"/>
  <c r="C288" i="45"/>
  <c r="K288" i="45" s="1"/>
  <c r="C352" i="7"/>
  <c r="D352" i="7" s="1"/>
  <c r="P86" i="15"/>
  <c r="N83" i="15"/>
  <c r="F144" i="45"/>
  <c r="F144" i="44"/>
  <c r="P49" i="58"/>
  <c r="Q33" i="58"/>
  <c r="Q49" i="58" s="1"/>
  <c r="AB30" i="15"/>
  <c r="C269" i="38"/>
  <c r="I269" i="38" s="1"/>
  <c r="AB26" i="15"/>
  <c r="C221" i="38"/>
  <c r="I221" i="38" s="1"/>
  <c r="C350" i="7"/>
  <c r="D350" i="7" s="1"/>
  <c r="C245" i="38"/>
  <c r="I245" i="38" s="1"/>
  <c r="C384" i="7"/>
  <c r="C137" i="38"/>
  <c r="I137" i="38" s="1"/>
  <c r="Q22" i="37"/>
  <c r="AB35" i="15"/>
  <c r="C329" i="38"/>
  <c r="I329" i="38" s="1"/>
  <c r="M28" i="37"/>
  <c r="D181" i="34" s="1"/>
  <c r="F29" i="37"/>
  <c r="D188" i="34" s="1"/>
  <c r="F33" i="37"/>
  <c r="D236" i="34" s="1"/>
  <c r="J32" i="37"/>
  <c r="N25" i="37"/>
  <c r="E145" i="34" s="1"/>
  <c r="M26" i="37"/>
  <c r="M31" i="37"/>
  <c r="D217" i="34" s="1"/>
  <c r="O30" i="37"/>
  <c r="E121" i="38"/>
  <c r="K17" i="38" s="1"/>
  <c r="L78" i="15" s="1"/>
  <c r="E109" i="38"/>
  <c r="K16" i="38" s="1"/>
  <c r="L77" i="15" s="1"/>
  <c r="Y31" i="15"/>
  <c r="P289" i="44" s="1"/>
  <c r="L289" i="44" s="1"/>
  <c r="Y30" i="15"/>
  <c r="Y19" i="15"/>
  <c r="BC89" i="14"/>
  <c r="AZ491" i="50"/>
  <c r="AY495" i="50"/>
  <c r="H47" i="47"/>
  <c r="H9" i="47" s="1"/>
  <c r="AO8" i="14" s="1"/>
  <c r="H259" i="44"/>
  <c r="H515" i="7"/>
  <c r="AF357" i="7" s="1"/>
  <c r="H259" i="45"/>
  <c r="C342" i="7"/>
  <c r="D342" i="7" s="1"/>
  <c r="C392" i="7"/>
  <c r="H132" i="44"/>
  <c r="H132" i="45"/>
  <c r="G507" i="7"/>
  <c r="AE356" i="7" s="1"/>
  <c r="G247" i="45"/>
  <c r="G247" i="44"/>
  <c r="G264" i="44"/>
  <c r="G516" i="7"/>
  <c r="AK357" i="7" s="1"/>
  <c r="C290" i="45"/>
  <c r="K290" i="45" s="1"/>
  <c r="C279" i="45"/>
  <c r="K279" i="45" s="1"/>
  <c r="F139" i="44"/>
  <c r="F139" i="45"/>
  <c r="G139" i="45"/>
  <c r="G435" i="7"/>
  <c r="AE347" i="7" s="1"/>
  <c r="M86" i="15"/>
  <c r="H252" i="45"/>
  <c r="H508" i="7"/>
  <c r="AL356" i="7" s="1"/>
  <c r="D259" i="44"/>
  <c r="D259" i="45"/>
  <c r="C76" i="45"/>
  <c r="C76" i="44"/>
  <c r="C278" i="45"/>
  <c r="E460" i="7"/>
  <c r="AI350" i="7" s="1"/>
  <c r="E180" i="45"/>
  <c r="I144" i="44"/>
  <c r="I144" i="45"/>
  <c r="C148" i="44"/>
  <c r="L148" i="44" s="1"/>
  <c r="C284" i="45"/>
  <c r="K284" i="45" s="1"/>
  <c r="C440" i="7"/>
  <c r="C348" i="7"/>
  <c r="D348" i="7" s="1"/>
  <c r="C220" i="45"/>
  <c r="L220" i="45" s="1"/>
  <c r="H443" i="7"/>
  <c r="AF348" i="7" s="1"/>
  <c r="H151" i="44"/>
  <c r="H151" i="45"/>
  <c r="C172" i="44"/>
  <c r="L172" i="44" s="1"/>
  <c r="C286" i="44"/>
  <c r="P286" i="44" s="1"/>
  <c r="L286" i="44" s="1"/>
  <c r="C456" i="7"/>
  <c r="C277" i="44"/>
  <c r="P277" i="44" s="1"/>
  <c r="L277" i="44" s="1"/>
  <c r="C64" i="45"/>
  <c r="C277" i="45"/>
  <c r="C341" i="7"/>
  <c r="D341" i="7" s="1"/>
  <c r="H180" i="45"/>
  <c r="H180" i="44"/>
  <c r="H460" i="7"/>
  <c r="AL350" i="7" s="1"/>
  <c r="C148" i="45"/>
  <c r="L148" i="45" s="1"/>
  <c r="L93" i="15"/>
  <c r="H436" i="7"/>
  <c r="AL347" i="7" s="1"/>
  <c r="H144" i="45"/>
  <c r="D139" i="45"/>
  <c r="D435" i="7"/>
  <c r="AB347" i="7" s="1"/>
  <c r="D139" i="44"/>
  <c r="I132" i="44"/>
  <c r="I428" i="7"/>
  <c r="AM346" i="7" s="1"/>
  <c r="D144" i="44"/>
  <c r="D144" i="45"/>
  <c r="G427" i="7"/>
  <c r="AE346" i="7" s="1"/>
  <c r="G127" i="44"/>
  <c r="C124" i="44"/>
  <c r="L124" i="44" s="1"/>
  <c r="C424" i="7"/>
  <c r="I259" i="44"/>
  <c r="I259" i="45"/>
  <c r="H175" i="44"/>
  <c r="H175" i="45"/>
  <c r="F427" i="7"/>
  <c r="AD346" i="7" s="1"/>
  <c r="F127" i="45"/>
  <c r="F180" i="44"/>
  <c r="F180" i="45"/>
  <c r="G459" i="7"/>
  <c r="AE350" i="7" s="1"/>
  <c r="G175" i="44"/>
  <c r="H444" i="7"/>
  <c r="AL348" i="7" s="1"/>
  <c r="H156" i="45"/>
  <c r="F175" i="45"/>
  <c r="F459" i="7"/>
  <c r="AD350" i="7" s="1"/>
  <c r="C432" i="7"/>
  <c r="AB25" i="15"/>
  <c r="H476" i="7"/>
  <c r="AL352" i="7" s="1"/>
  <c r="H204" i="45"/>
  <c r="I508" i="7"/>
  <c r="AM356" i="7" s="1"/>
  <c r="I252" i="44"/>
  <c r="H475" i="7"/>
  <c r="AF352" i="7" s="1"/>
  <c r="H199" i="44"/>
  <c r="F516" i="7"/>
  <c r="AJ357" i="7" s="1"/>
  <c r="F264" i="44"/>
  <c r="G259" i="44"/>
  <c r="G259" i="45"/>
  <c r="G515" i="7"/>
  <c r="AE357" i="7" s="1"/>
  <c r="D175" i="45"/>
  <c r="D459" i="7"/>
  <c r="AB350" i="7" s="1"/>
  <c r="E508" i="7"/>
  <c r="AI356" i="7" s="1"/>
  <c r="E252" i="44"/>
  <c r="E156" i="45"/>
  <c r="E156" i="44"/>
  <c r="F156" i="44"/>
  <c r="F444" i="7"/>
  <c r="AJ348" i="7" s="1"/>
  <c r="E132" i="44"/>
  <c r="E132" i="45"/>
  <c r="Q86" i="15"/>
  <c r="E515" i="7"/>
  <c r="AC357" i="7" s="1"/>
  <c r="E259" i="45"/>
  <c r="I180" i="44"/>
  <c r="I460" i="7"/>
  <c r="AM350" i="7" s="1"/>
  <c r="H507" i="7"/>
  <c r="AF356" i="7" s="1"/>
  <c r="H247" i="45"/>
  <c r="H264" i="45"/>
  <c r="H516" i="7"/>
  <c r="AL357" i="7" s="1"/>
  <c r="C256" i="45"/>
  <c r="L256" i="45" s="1"/>
  <c r="C293" i="45"/>
  <c r="K293" i="45" s="1"/>
  <c r="C512" i="7"/>
  <c r="C293" i="44"/>
  <c r="P293" i="44" s="1"/>
  <c r="L293" i="44" s="1"/>
  <c r="C357" i="7"/>
  <c r="D357" i="7" s="1"/>
  <c r="F507" i="7"/>
  <c r="AD356" i="7" s="1"/>
  <c r="F247" i="45"/>
  <c r="F247" i="44"/>
  <c r="C136" i="44"/>
  <c r="L136" i="44" s="1"/>
  <c r="C283" i="45"/>
  <c r="K283" i="45" s="1"/>
  <c r="C283" i="44"/>
  <c r="P283" i="44" s="1"/>
  <c r="L283" i="44" s="1"/>
  <c r="G436" i="7"/>
  <c r="AK347" i="7" s="1"/>
  <c r="C256" i="44"/>
  <c r="L256" i="44" s="1"/>
  <c r="I515" i="7"/>
  <c r="AG357" i="7" s="1"/>
  <c r="C136" i="45"/>
  <c r="L136" i="45" s="1"/>
  <c r="F460" i="7"/>
  <c r="AJ350" i="7" s="1"/>
  <c r="C124" i="45"/>
  <c r="L124" i="45" s="1"/>
  <c r="G428" i="7"/>
  <c r="AK346" i="7" s="1"/>
  <c r="D252" i="45"/>
  <c r="AB20" i="15"/>
  <c r="E127" i="45"/>
  <c r="E180" i="44"/>
  <c r="G139" i="44"/>
  <c r="C472" i="7"/>
  <c r="C288" i="44"/>
  <c r="P288" i="44" s="1"/>
  <c r="E427" i="7"/>
  <c r="AC346" i="7" s="1"/>
  <c r="H435" i="7"/>
  <c r="AF347" i="7" s="1"/>
  <c r="C278" i="44"/>
  <c r="D515" i="7"/>
  <c r="AB357" i="7" s="1"/>
  <c r="AB24" i="15"/>
  <c r="C282" i="44"/>
  <c r="P282" i="44" s="1"/>
  <c r="L282" i="44" s="1"/>
  <c r="I139" i="44"/>
  <c r="D476" i="7"/>
  <c r="AH352" i="7" s="1"/>
  <c r="D204" i="44"/>
  <c r="I132" i="45"/>
  <c r="I139" i="45"/>
  <c r="D436" i="7"/>
  <c r="AH347" i="7" s="1"/>
  <c r="F435" i="7"/>
  <c r="AD347" i="7" s="1"/>
  <c r="C282" i="45"/>
  <c r="K282" i="45" s="1"/>
  <c r="C100" i="45"/>
  <c r="L100" i="45" s="1"/>
  <c r="C88" i="45"/>
  <c r="L88" i="45" s="1"/>
  <c r="C196" i="44"/>
  <c r="L196" i="44" s="1"/>
  <c r="C196" i="45"/>
  <c r="L196" i="45" s="1"/>
  <c r="D180" i="44"/>
  <c r="D460" i="7"/>
  <c r="AH350" i="7" s="1"/>
  <c r="D180" i="45"/>
  <c r="E247" i="44"/>
  <c r="E507" i="7"/>
  <c r="AC356" i="7" s="1"/>
  <c r="E247" i="45"/>
  <c r="D507" i="7"/>
  <c r="AB356" i="7" s="1"/>
  <c r="D247" i="44"/>
  <c r="D247" i="45"/>
  <c r="E516" i="7"/>
  <c r="AI357" i="7" s="1"/>
  <c r="E264" i="45"/>
  <c r="E264" i="44"/>
  <c r="E436" i="7"/>
  <c r="AI347" i="7" s="1"/>
  <c r="E144" i="45"/>
  <c r="F140" i="38"/>
  <c r="E146" i="38"/>
  <c r="E144" i="38" s="1"/>
  <c r="D19" i="38" s="1"/>
  <c r="E80" i="15" s="1"/>
  <c r="F428" i="7"/>
  <c r="AJ346" i="7" s="1"/>
  <c r="F132" i="44"/>
  <c r="F132" i="45"/>
  <c r="H427" i="7"/>
  <c r="AF346" i="7" s="1"/>
  <c r="H127" i="44"/>
  <c r="H127" i="45"/>
  <c r="F332" i="38"/>
  <c r="E338" i="38"/>
  <c r="E336" i="38" s="1"/>
  <c r="D35" i="38" s="1"/>
  <c r="E96" i="15" s="1"/>
  <c r="C184" i="44"/>
  <c r="L184" i="44" s="1"/>
  <c r="C184" i="45"/>
  <c r="L184" i="45" s="1"/>
  <c r="C287" i="45"/>
  <c r="K287" i="45" s="1"/>
  <c r="C52" i="44"/>
  <c r="C52" i="45"/>
  <c r="C276" i="45"/>
  <c r="I175" i="44"/>
  <c r="I459" i="7"/>
  <c r="AG350" i="7" s="1"/>
  <c r="I175" i="45"/>
  <c r="I507" i="7"/>
  <c r="AG356" i="7" s="1"/>
  <c r="I247" i="44"/>
  <c r="I247" i="45"/>
  <c r="F508" i="7"/>
  <c r="AJ356" i="7" s="1"/>
  <c r="F252" i="45"/>
  <c r="F252" i="44"/>
  <c r="C244" i="44"/>
  <c r="L244" i="44" s="1"/>
  <c r="C244" i="45"/>
  <c r="L244" i="45" s="1"/>
  <c r="C292" i="45"/>
  <c r="K292" i="45" s="1"/>
  <c r="C504" i="7"/>
  <c r="AB34" i="15"/>
  <c r="C292" i="44"/>
  <c r="C356" i="7"/>
  <c r="D356" i="7" s="1"/>
  <c r="D516" i="7"/>
  <c r="AH357" i="7" s="1"/>
  <c r="D264" i="44"/>
  <c r="D264" i="45"/>
  <c r="D132" i="45"/>
  <c r="D132" i="44"/>
  <c r="D428" i="7"/>
  <c r="AH346" i="7" s="1"/>
  <c r="BC80" i="14"/>
  <c r="BC119" i="14" s="1"/>
  <c r="I156" i="44"/>
  <c r="I156" i="45"/>
  <c r="I444" i="7"/>
  <c r="AM348" i="7" s="1"/>
  <c r="G443" i="7"/>
  <c r="AE348" i="7" s="1"/>
  <c r="G151" i="45"/>
  <c r="G151" i="44"/>
  <c r="F443" i="7"/>
  <c r="AD348" i="7" s="1"/>
  <c r="F151" i="45"/>
  <c r="F151" i="44"/>
  <c r="E254" i="38"/>
  <c r="E252" i="38" s="1"/>
  <c r="D28" i="38" s="1"/>
  <c r="E89" i="15" s="1"/>
  <c r="F248" i="38"/>
  <c r="D192" i="45"/>
  <c r="H192" i="45"/>
  <c r="H192" i="44"/>
  <c r="H468" i="7"/>
  <c r="AL351" i="7" s="1"/>
  <c r="E192" i="44"/>
  <c r="E192" i="45"/>
  <c r="E468" i="7"/>
  <c r="AI351" i="7" s="1"/>
  <c r="D475" i="7"/>
  <c r="AB352" i="7" s="1"/>
  <c r="D199" i="45"/>
  <c r="C280" i="45"/>
  <c r="K280" i="45" s="1"/>
  <c r="D91" i="45"/>
  <c r="D403" i="7"/>
  <c r="AB343" i="7" s="1"/>
  <c r="D91" i="44"/>
  <c r="F475" i="7"/>
  <c r="AD352" i="7" s="1"/>
  <c r="F199" i="44"/>
  <c r="F199" i="45"/>
  <c r="E476" i="7"/>
  <c r="AI352" i="7" s="1"/>
  <c r="E204" i="45"/>
  <c r="E204" i="44"/>
  <c r="I476" i="7"/>
  <c r="AM352" i="7" s="1"/>
  <c r="I204" i="45"/>
  <c r="I204" i="44"/>
  <c r="F204" i="44"/>
  <c r="F476" i="7"/>
  <c r="AJ352" i="7" s="1"/>
  <c r="F204" i="45"/>
  <c r="E206" i="38"/>
  <c r="E204" i="38" s="1"/>
  <c r="D24" i="38" s="1"/>
  <c r="E85" i="15" s="1"/>
  <c r="F200" i="38"/>
  <c r="E266" i="38"/>
  <c r="E264" i="38" s="1"/>
  <c r="D29" i="38" s="1"/>
  <c r="E90" i="15" s="1"/>
  <c r="F260" i="38"/>
  <c r="E134" i="38"/>
  <c r="E132" i="38" s="1"/>
  <c r="D18" i="38" s="1"/>
  <c r="E79" i="15" s="1"/>
  <c r="F128" i="38"/>
  <c r="D156" i="44"/>
  <c r="D156" i="45"/>
  <c r="D444" i="7"/>
  <c r="AH348" i="7" s="1"/>
  <c r="E443" i="7"/>
  <c r="AC348" i="7" s="1"/>
  <c r="E151" i="44"/>
  <c r="E151" i="45"/>
  <c r="G156" i="45"/>
  <c r="G156" i="44"/>
  <c r="G444" i="7"/>
  <c r="AK348" i="7" s="1"/>
  <c r="E290" i="38"/>
  <c r="E288" i="38" s="1"/>
  <c r="D31" i="38" s="1"/>
  <c r="E92" i="15" s="1"/>
  <c r="F284" i="38"/>
  <c r="G192" i="45"/>
  <c r="G468" i="7"/>
  <c r="AK351" i="7" s="1"/>
  <c r="G192" i="44"/>
  <c r="C464" i="7"/>
  <c r="C351" i="7"/>
  <c r="D351" i="7" s="1"/>
  <c r="C287" i="44"/>
  <c r="P287" i="44" s="1"/>
  <c r="L287" i="44" s="1"/>
  <c r="AB29" i="15"/>
  <c r="I187" i="44"/>
  <c r="I467" i="7"/>
  <c r="AG351" i="7" s="1"/>
  <c r="I187" i="45"/>
  <c r="E475" i="7"/>
  <c r="AC352" i="7" s="1"/>
  <c r="E199" i="45"/>
  <c r="E199" i="44"/>
  <c r="G476" i="7"/>
  <c r="AK352" i="7" s="1"/>
  <c r="G204" i="44"/>
  <c r="G204" i="45"/>
  <c r="I199" i="45"/>
  <c r="I199" i="44"/>
  <c r="I475" i="7"/>
  <c r="AG352" i="7" s="1"/>
  <c r="C376" i="7"/>
  <c r="C276" i="44"/>
  <c r="AB18" i="15"/>
  <c r="C340" i="7"/>
  <c r="D340" i="7" s="1"/>
  <c r="F278" i="15"/>
  <c r="F277" i="15" s="1"/>
  <c r="F276" i="15" s="1"/>
  <c r="G272" i="15"/>
  <c r="Y22" i="15"/>
  <c r="Y35" i="15"/>
  <c r="Y26" i="15"/>
  <c r="Y17" i="15"/>
  <c r="P275" i="44" s="1"/>
  <c r="L275" i="44" s="1"/>
  <c r="Y23" i="15"/>
  <c r="Y16" i="15"/>
  <c r="P274" i="44" s="1"/>
  <c r="L274" i="44" s="1"/>
  <c r="Y34" i="15"/>
  <c r="Y29" i="15"/>
  <c r="Y33" i="15"/>
  <c r="Y25" i="15"/>
  <c r="BB489" i="50"/>
  <c r="H70" i="47"/>
  <c r="G368" i="15"/>
  <c r="F374" i="15"/>
  <c r="F373" i="15" s="1"/>
  <c r="F372" i="15" s="1"/>
  <c r="H404" i="15"/>
  <c r="G410" i="15"/>
  <c r="G409" i="15" s="1"/>
  <c r="G408" i="15" s="1"/>
  <c r="F254" i="15"/>
  <c r="F253" i="15" s="1"/>
  <c r="F252" i="15" s="1"/>
  <c r="G248" i="15"/>
  <c r="G416" i="15"/>
  <c r="F422" i="15"/>
  <c r="F421" i="15" s="1"/>
  <c r="F420" i="15" s="1"/>
  <c r="F409" i="15"/>
  <c r="F408" i="15" s="1"/>
  <c r="E253" i="15"/>
  <c r="E252" i="15" s="1"/>
  <c r="H392" i="15"/>
  <c r="G398" i="15"/>
  <c r="G397" i="15" s="1"/>
  <c r="G396" i="15" s="1"/>
  <c r="F326" i="15"/>
  <c r="F325" i="15" s="1"/>
  <c r="F324" i="15" s="1"/>
  <c r="G320" i="15"/>
  <c r="BB490" i="50"/>
  <c r="AW94" i="50"/>
  <c r="J67" i="47"/>
  <c r="J70" i="47" s="1"/>
  <c r="D55" i="47"/>
  <c r="AE9" i="14" s="1"/>
  <c r="N26" i="58"/>
  <c r="M42" i="58"/>
  <c r="P30" i="58"/>
  <c r="O46" i="58"/>
  <c r="K43" i="58"/>
  <c r="L27" i="58"/>
  <c r="O47" i="58"/>
  <c r="P31" i="58"/>
  <c r="M28" i="58"/>
  <c r="L44" i="58"/>
  <c r="P48" i="58"/>
  <c r="Q32" i="58"/>
  <c r="Q48" i="58" s="1"/>
  <c r="AX493" i="50"/>
  <c r="AX495" i="50"/>
  <c r="AY98" i="50"/>
  <c r="AZ94" i="50"/>
  <c r="BB98" i="50"/>
  <c r="AX93" i="50"/>
  <c r="BA490" i="50"/>
  <c r="L28" i="34"/>
  <c r="J49" i="47"/>
  <c r="J50" i="47" s="1"/>
  <c r="D37" i="47"/>
  <c r="AE8" i="14" s="1"/>
  <c r="AW93" i="50"/>
  <c r="P284" i="44"/>
  <c r="L284" i="44" s="1"/>
  <c r="F302" i="38"/>
  <c r="F300" i="38" s="1"/>
  <c r="E32" i="38" s="1"/>
  <c r="F93" i="15" s="1"/>
  <c r="G296" i="38"/>
  <c r="E301" i="15"/>
  <c r="E300" i="15" s="1"/>
  <c r="G296" i="15"/>
  <c r="F302" i="15"/>
  <c r="F301" i="15" s="1"/>
  <c r="F300" i="15" s="1"/>
  <c r="F349" i="15"/>
  <c r="F348" i="15" s="1"/>
  <c r="H344" i="15"/>
  <c r="G350" i="15"/>
  <c r="F230" i="15"/>
  <c r="F229" i="15" s="1"/>
  <c r="F228" i="15" s="1"/>
  <c r="G224" i="15"/>
  <c r="F218" i="15"/>
  <c r="G212" i="15"/>
  <c r="I236" i="15"/>
  <c r="H242" i="15"/>
  <c r="H241" i="15" s="1"/>
  <c r="H240" i="15" s="1"/>
  <c r="F385" i="15"/>
  <c r="F384" i="15" s="1"/>
  <c r="F194" i="15"/>
  <c r="F193" i="15" s="1"/>
  <c r="F192" i="15" s="1"/>
  <c r="G188" i="15"/>
  <c r="E217" i="15"/>
  <c r="E216" i="15" s="1"/>
  <c r="AW493" i="50"/>
  <c r="BB491" i="50"/>
  <c r="AY96" i="50"/>
  <c r="AX98" i="50"/>
  <c r="BA94" i="50"/>
  <c r="AZ95" i="50"/>
  <c r="AX491" i="50"/>
  <c r="AW489" i="50"/>
  <c r="AX99" i="50"/>
  <c r="AW494" i="50"/>
  <c r="AY494" i="50"/>
  <c r="AZ92" i="50"/>
  <c r="AW99" i="50"/>
  <c r="AW495" i="50"/>
  <c r="AZ97" i="50"/>
  <c r="AW92" i="50"/>
  <c r="AY99" i="50"/>
  <c r="BA491" i="50"/>
  <c r="AY97" i="50"/>
  <c r="BA93" i="50"/>
  <c r="AX489" i="50"/>
  <c r="AZ98" i="50"/>
  <c r="BB493" i="50"/>
  <c r="AY93" i="50"/>
  <c r="BB94" i="50"/>
  <c r="AW492" i="50"/>
  <c r="BB93" i="50"/>
  <c r="AW496" i="50"/>
  <c r="J356" i="15"/>
  <c r="AZ93" i="50"/>
  <c r="BB488" i="50"/>
  <c r="AZ490" i="50"/>
  <c r="AZ494" i="50"/>
  <c r="BA98" i="50"/>
  <c r="AW491" i="50"/>
  <c r="BB99" i="50"/>
  <c r="BB97" i="50"/>
  <c r="BA488" i="50"/>
  <c r="BA96" i="50"/>
  <c r="AZ495" i="50"/>
  <c r="AX496" i="50"/>
  <c r="BB496" i="50"/>
  <c r="AY491" i="50"/>
  <c r="AW98" i="50"/>
  <c r="BA493" i="50"/>
  <c r="BB492" i="50"/>
  <c r="AY92" i="50"/>
  <c r="BB95" i="50"/>
  <c r="BA99" i="50"/>
  <c r="BA95" i="50"/>
  <c r="BB495" i="50"/>
  <c r="AX94" i="50"/>
  <c r="AX95" i="50"/>
  <c r="BA492" i="50"/>
  <c r="AZ489" i="50"/>
  <c r="AZ493" i="50"/>
  <c r="BA494" i="50"/>
  <c r="BA495" i="50"/>
  <c r="AY488" i="50"/>
  <c r="AX92" i="50"/>
  <c r="AY492" i="50"/>
  <c r="AY490" i="50"/>
  <c r="BB96" i="50"/>
  <c r="AY95" i="50"/>
  <c r="AY489" i="50"/>
  <c r="AZ96" i="50"/>
  <c r="AZ99" i="50"/>
  <c r="AY496" i="50"/>
  <c r="AW96" i="50"/>
  <c r="AW488" i="50"/>
  <c r="AX96" i="50"/>
  <c r="AY493" i="50"/>
  <c r="AX490" i="50"/>
  <c r="BA97" i="50"/>
  <c r="AW97" i="50"/>
  <c r="AY94" i="50"/>
  <c r="AX492" i="50"/>
  <c r="AZ488" i="50"/>
  <c r="G212" i="38"/>
  <c r="F218" i="38"/>
  <c r="F216" i="38" s="1"/>
  <c r="E25" i="38" s="1"/>
  <c r="F86" i="15" s="1"/>
  <c r="G326" i="38"/>
  <c r="G324" i="38" s="1"/>
  <c r="F34" i="38" s="1"/>
  <c r="G95" i="15" s="1"/>
  <c r="H320" i="38"/>
  <c r="G188" i="38"/>
  <c r="F194" i="38"/>
  <c r="F192" i="38" s="1"/>
  <c r="E23" i="38" s="1"/>
  <c r="F84" i="15" s="1"/>
  <c r="F110" i="38"/>
  <c r="G104" i="38"/>
  <c r="F230" i="38"/>
  <c r="F228" i="38" s="1"/>
  <c r="E26" i="38" s="1"/>
  <c r="F87" i="15" s="1"/>
  <c r="G224" i="38"/>
  <c r="F158" i="38"/>
  <c r="F156" i="38" s="1"/>
  <c r="E20" i="38" s="1"/>
  <c r="F81" i="15" s="1"/>
  <c r="G152" i="38"/>
  <c r="BB494" i="50"/>
  <c r="BA496" i="50"/>
  <c r="AX494" i="50"/>
  <c r="AZ496" i="50"/>
  <c r="G170" i="38"/>
  <c r="G168" i="38" s="1"/>
  <c r="F21" i="38" s="1"/>
  <c r="G82" i="15" s="1"/>
  <c r="H164" i="38"/>
  <c r="G242" i="38"/>
  <c r="G240" i="38" s="1"/>
  <c r="F27" i="38" s="1"/>
  <c r="G88" i="15" s="1"/>
  <c r="H236" i="38"/>
  <c r="I179" i="49"/>
  <c r="H182" i="49"/>
  <c r="J82" i="47"/>
  <c r="J85" i="47" s="1"/>
  <c r="I85" i="47"/>
  <c r="H87" i="47"/>
  <c r="H86" i="47"/>
  <c r="H88" i="47"/>
  <c r="J162" i="51"/>
  <c r="J165" i="51" s="1"/>
  <c r="I165" i="51"/>
  <c r="I131" i="51"/>
  <c r="J128" i="51"/>
  <c r="J131" i="51" s="1"/>
  <c r="J100" i="47"/>
  <c r="J103" i="47" s="1"/>
  <c r="I103" i="47"/>
  <c r="I145" i="49"/>
  <c r="H148" i="49"/>
  <c r="J94" i="49"/>
  <c r="J97" i="49" s="1"/>
  <c r="I97" i="49"/>
  <c r="H104" i="47"/>
  <c r="H105" i="47"/>
  <c r="H106" i="47"/>
  <c r="H177" i="47"/>
  <c r="H178" i="47"/>
  <c r="H176" i="47"/>
  <c r="G32" i="47"/>
  <c r="G34" i="47"/>
  <c r="G33" i="47"/>
  <c r="J141" i="47"/>
  <c r="J140" i="47"/>
  <c r="J142" i="47"/>
  <c r="J69" i="47"/>
  <c r="J65" i="47" s="1"/>
  <c r="J10" i="47" s="1"/>
  <c r="AQ9" i="14" s="1"/>
  <c r="J68" i="47"/>
  <c r="I50" i="47"/>
  <c r="I52" i="47"/>
  <c r="I51" i="47"/>
  <c r="H29" i="51"/>
  <c r="I26" i="51"/>
  <c r="J194" i="47"/>
  <c r="J195" i="47"/>
  <c r="J196" i="47"/>
  <c r="J158" i="47"/>
  <c r="J159" i="47"/>
  <c r="J160" i="47"/>
  <c r="J43" i="49"/>
  <c r="J46" i="49" s="1"/>
  <c r="I46" i="49"/>
  <c r="I175" i="47"/>
  <c r="J172" i="47"/>
  <c r="J175" i="47" s="1"/>
  <c r="I28" i="47"/>
  <c r="H31" i="47"/>
  <c r="I142" i="47"/>
  <c r="I140" i="47"/>
  <c r="I141" i="47"/>
  <c r="I69" i="47"/>
  <c r="I65" i="47" s="1"/>
  <c r="I10" i="47" s="1"/>
  <c r="AP9" i="14" s="1"/>
  <c r="I68" i="47"/>
  <c r="I70" i="47"/>
  <c r="I196" i="47"/>
  <c r="I194" i="47"/>
  <c r="I195" i="47"/>
  <c r="I158" i="47"/>
  <c r="I159" i="47"/>
  <c r="I160" i="47"/>
  <c r="G187" i="44" l="1"/>
  <c r="D96" i="44"/>
  <c r="G187" i="45"/>
  <c r="H362" i="15"/>
  <c r="H361" i="15" s="1"/>
  <c r="H360" i="15" s="1"/>
  <c r="D192" i="44"/>
  <c r="G308" i="15"/>
  <c r="H308" i="15" s="1"/>
  <c r="I159" i="53"/>
  <c r="AP74" i="14" s="1"/>
  <c r="H187" i="45"/>
  <c r="I192" i="45"/>
  <c r="G108" i="44"/>
  <c r="F467" i="7"/>
  <c r="AD351" i="7" s="1"/>
  <c r="F192" i="45"/>
  <c r="F187" i="45"/>
  <c r="F192" i="44"/>
  <c r="F91" i="56"/>
  <c r="AM90" i="14" s="1"/>
  <c r="H91" i="56"/>
  <c r="AO90" i="14" s="1"/>
  <c r="I91" i="56"/>
  <c r="AP90" i="14" s="1"/>
  <c r="J91" i="56"/>
  <c r="AQ90" i="14" s="1"/>
  <c r="D205" i="56"/>
  <c r="G91" i="56"/>
  <c r="AN90" i="14" s="1"/>
  <c r="E91" i="56"/>
  <c r="AL90" i="14" s="1"/>
  <c r="C140" i="14"/>
  <c r="C143" i="14" s="1"/>
  <c r="M41" i="60" s="1"/>
  <c r="D281" i="56"/>
  <c r="C144" i="14"/>
  <c r="D275" i="56" s="1"/>
  <c r="D276" i="56" s="1"/>
  <c r="C145" i="14"/>
  <c r="C141" i="14"/>
  <c r="F318" i="3"/>
  <c r="AM67" i="14" s="1"/>
  <c r="F242" i="56"/>
  <c r="AM55" i="14" s="1"/>
  <c r="F280" i="56"/>
  <c r="AM56" i="14" s="1"/>
  <c r="F204" i="3"/>
  <c r="AM64" i="14" s="1"/>
  <c r="B140" i="14"/>
  <c r="B143" i="14" s="1"/>
  <c r="E261" i="60" s="1"/>
  <c r="H72" i="53"/>
  <c r="AO71" i="14" s="1"/>
  <c r="J318" i="3"/>
  <c r="AQ67" i="14" s="1"/>
  <c r="H467" i="7"/>
  <c r="AF351" i="7" s="1"/>
  <c r="E187" i="45"/>
  <c r="G278" i="38"/>
  <c r="G276" i="38" s="1"/>
  <c r="F30" i="38" s="1"/>
  <c r="G91" i="15" s="1"/>
  <c r="D187" i="45"/>
  <c r="E187" i="44"/>
  <c r="C408" i="7"/>
  <c r="D187" i="44"/>
  <c r="F122" i="38"/>
  <c r="G412" i="7"/>
  <c r="AK344" i="7" s="1"/>
  <c r="I192" i="44"/>
  <c r="D404" i="7"/>
  <c r="AH343" i="7" s="1"/>
  <c r="C280" i="44"/>
  <c r="P280" i="44" s="1"/>
  <c r="L280" i="44" s="1"/>
  <c r="T280" i="44" s="1"/>
  <c r="C100" i="44"/>
  <c r="L100" i="44" s="1"/>
  <c r="I223" i="44"/>
  <c r="H103" i="45"/>
  <c r="G500" i="7"/>
  <c r="AK355" i="7" s="1"/>
  <c r="E91" i="45"/>
  <c r="I108" i="45"/>
  <c r="R285" i="44"/>
  <c r="N285" i="44" s="1"/>
  <c r="D169" i="44" s="1"/>
  <c r="D170" i="44" s="1"/>
  <c r="T285" i="44"/>
  <c r="Q285" i="44"/>
  <c r="M285" i="44" s="1"/>
  <c r="E164" i="44" s="1"/>
  <c r="E165" i="44" s="1"/>
  <c r="J394" i="3"/>
  <c r="AQ69" i="14" s="1"/>
  <c r="J280" i="3"/>
  <c r="AQ66" i="14" s="1"/>
  <c r="F242" i="3"/>
  <c r="AM65" i="14" s="1"/>
  <c r="I130" i="53"/>
  <c r="AP73" i="14" s="1"/>
  <c r="B144" i="14"/>
  <c r="D196" i="3" s="1"/>
  <c r="G130" i="53"/>
  <c r="AN73" i="14" s="1"/>
  <c r="H204" i="56"/>
  <c r="AO54" i="14" s="1"/>
  <c r="E204" i="3"/>
  <c r="AL64" i="14" s="1"/>
  <c r="F356" i="56"/>
  <c r="AM58" i="14" s="1"/>
  <c r="E394" i="3"/>
  <c r="AL69" i="14" s="1"/>
  <c r="J242" i="3"/>
  <c r="AQ65" i="14" s="1"/>
  <c r="E72" i="53"/>
  <c r="AL71" i="14" s="1"/>
  <c r="J204" i="56"/>
  <c r="AQ54" i="14" s="1"/>
  <c r="E280" i="3"/>
  <c r="AL66" i="14" s="1"/>
  <c r="I280" i="3"/>
  <c r="AP66" i="14" s="1"/>
  <c r="H130" i="53"/>
  <c r="AO73" i="14" s="1"/>
  <c r="I204" i="56"/>
  <c r="AP54" i="14" s="1"/>
  <c r="I166" i="56"/>
  <c r="AP53" i="14" s="1"/>
  <c r="I242" i="56"/>
  <c r="AP55" i="14" s="1"/>
  <c r="E242" i="3"/>
  <c r="AL65" i="14" s="1"/>
  <c r="J166" i="3"/>
  <c r="AQ63" i="14" s="1"/>
  <c r="H318" i="3"/>
  <c r="AO67" i="14" s="1"/>
  <c r="I318" i="3"/>
  <c r="AP67" i="14" s="1"/>
  <c r="J159" i="53"/>
  <c r="AQ74" i="14" s="1"/>
  <c r="E242" i="56"/>
  <c r="AL55" i="14" s="1"/>
  <c r="E204" i="56"/>
  <c r="AL54" i="14" s="1"/>
  <c r="E318" i="56"/>
  <c r="AL57" i="14" s="1"/>
  <c r="G318" i="3"/>
  <c r="AN67" i="14" s="1"/>
  <c r="H394" i="3"/>
  <c r="AO69" i="14" s="1"/>
  <c r="G101" i="53"/>
  <c r="AN72" i="14" s="1"/>
  <c r="G204" i="3"/>
  <c r="G205" i="3" s="1"/>
  <c r="AN103" i="14" s="1"/>
  <c r="F72" i="53"/>
  <c r="AM71" i="14" s="1"/>
  <c r="G394" i="56"/>
  <c r="AN59" i="14" s="1"/>
  <c r="H166" i="56"/>
  <c r="AO53" i="14" s="1"/>
  <c r="H356" i="3"/>
  <c r="AO68" i="14" s="1"/>
  <c r="I394" i="3"/>
  <c r="AP69" i="14" s="1"/>
  <c r="H159" i="53"/>
  <c r="AO74" i="14" s="1"/>
  <c r="H356" i="56"/>
  <c r="AO58" i="14" s="1"/>
  <c r="H242" i="56"/>
  <c r="AO55" i="14" s="1"/>
  <c r="G356" i="56"/>
  <c r="AN58" i="14" s="1"/>
  <c r="E356" i="3"/>
  <c r="AL68" i="14" s="1"/>
  <c r="G280" i="3"/>
  <c r="AN66" i="14" s="1"/>
  <c r="J101" i="53"/>
  <c r="AQ72" i="14" s="1"/>
  <c r="G394" i="3"/>
  <c r="AN69" i="14" s="1"/>
  <c r="E159" i="53"/>
  <c r="AL74" i="14" s="1"/>
  <c r="H204" i="3"/>
  <c r="AO64" i="14" s="1"/>
  <c r="H242" i="3"/>
  <c r="AO65" i="14" s="1"/>
  <c r="J394" i="56"/>
  <c r="AQ59" i="14" s="1"/>
  <c r="F394" i="3"/>
  <c r="AM69" i="14" s="1"/>
  <c r="I356" i="56"/>
  <c r="AP58" i="14" s="1"/>
  <c r="J204" i="3"/>
  <c r="AQ64" i="14" s="1"/>
  <c r="J72" i="53"/>
  <c r="AQ71" i="14" s="1"/>
  <c r="F101" i="53"/>
  <c r="AM72" i="14" s="1"/>
  <c r="E318" i="3"/>
  <c r="AL67" i="14" s="1"/>
  <c r="G242" i="3"/>
  <c r="AN65" i="14" s="1"/>
  <c r="G72" i="53"/>
  <c r="AN71" i="14" s="1"/>
  <c r="J166" i="56"/>
  <c r="AQ53" i="14" s="1"/>
  <c r="H394" i="56"/>
  <c r="AO59" i="14" s="1"/>
  <c r="H166" i="3"/>
  <c r="AO63" i="14" s="1"/>
  <c r="J356" i="3"/>
  <c r="AQ68" i="14" s="1"/>
  <c r="I101" i="53"/>
  <c r="AP72" i="14" s="1"/>
  <c r="B141" i="14"/>
  <c r="E29" i="60" s="1"/>
  <c r="E34" i="60" s="1"/>
  <c r="E280" i="56"/>
  <c r="AL56" i="14" s="1"/>
  <c r="I280" i="56"/>
  <c r="AP56" i="14" s="1"/>
  <c r="I166" i="3"/>
  <c r="AP63" i="14" s="1"/>
  <c r="F159" i="53"/>
  <c r="AM74" i="14" s="1"/>
  <c r="H280" i="3"/>
  <c r="AO66" i="14" s="1"/>
  <c r="F280" i="3"/>
  <c r="AM66" i="14" s="1"/>
  <c r="G204" i="56"/>
  <c r="AN54" i="14" s="1"/>
  <c r="G166" i="3"/>
  <c r="AN63" i="14" s="1"/>
  <c r="G242" i="56"/>
  <c r="AN55" i="14" s="1"/>
  <c r="E394" i="56"/>
  <c r="AL59" i="14" s="1"/>
  <c r="F166" i="3"/>
  <c r="AM63" i="14" s="1"/>
  <c r="F356" i="3"/>
  <c r="AM68" i="14" s="1"/>
  <c r="E101" i="53"/>
  <c r="AL72" i="14" s="1"/>
  <c r="B145" i="14"/>
  <c r="C36" i="38" s="1"/>
  <c r="J280" i="56"/>
  <c r="AQ56" i="14" s="1"/>
  <c r="H318" i="56"/>
  <c r="AO57" i="14" s="1"/>
  <c r="I318" i="56"/>
  <c r="AP57" i="14" s="1"/>
  <c r="E166" i="3"/>
  <c r="AL63" i="14" s="1"/>
  <c r="J130" i="53"/>
  <c r="AQ73" i="14" s="1"/>
  <c r="I204" i="3"/>
  <c r="AP64" i="14" s="1"/>
  <c r="F318" i="56"/>
  <c r="AM57" i="14" s="1"/>
  <c r="D280" i="56"/>
  <c r="E166" i="56"/>
  <c r="AL53" i="14" s="1"/>
  <c r="G356" i="3"/>
  <c r="AN68" i="14" s="1"/>
  <c r="J318" i="56"/>
  <c r="AQ57" i="14" s="1"/>
  <c r="F394" i="56"/>
  <c r="AM59" i="14" s="1"/>
  <c r="G166" i="56"/>
  <c r="AN53" i="14" s="1"/>
  <c r="I394" i="56"/>
  <c r="AP59" i="14" s="1"/>
  <c r="F130" i="53"/>
  <c r="AM73" i="14" s="1"/>
  <c r="J242" i="56"/>
  <c r="AQ55" i="14" s="1"/>
  <c r="E130" i="53"/>
  <c r="AL73" i="14" s="1"/>
  <c r="G280" i="56"/>
  <c r="AN56" i="14" s="1"/>
  <c r="H280" i="56"/>
  <c r="AO56" i="14" s="1"/>
  <c r="F166" i="56"/>
  <c r="AM53" i="14" s="1"/>
  <c r="H101" i="53"/>
  <c r="AO72" i="14" s="1"/>
  <c r="F204" i="56"/>
  <c r="AM54" i="14" s="1"/>
  <c r="D204" i="56"/>
  <c r="G318" i="56"/>
  <c r="AN57" i="14" s="1"/>
  <c r="G159" i="53"/>
  <c r="AN74" i="14" s="1"/>
  <c r="I72" i="53"/>
  <c r="I242" i="3"/>
  <c r="I356" i="3"/>
  <c r="AP68" i="14" s="1"/>
  <c r="J356" i="56"/>
  <c r="AQ58" i="14" s="1"/>
  <c r="E108" i="44"/>
  <c r="I403" i="7"/>
  <c r="AG343" i="7" s="1"/>
  <c r="H103" i="44"/>
  <c r="I108" i="44"/>
  <c r="H108" i="44"/>
  <c r="I223" i="45"/>
  <c r="E403" i="7"/>
  <c r="AC343" i="7" s="1"/>
  <c r="G240" i="44"/>
  <c r="H108" i="45"/>
  <c r="F108" i="44"/>
  <c r="I91" i="45"/>
  <c r="G499" i="7"/>
  <c r="AE355" i="7" s="1"/>
  <c r="G103" i="45"/>
  <c r="I96" i="44"/>
  <c r="E96" i="45"/>
  <c r="I96" i="45"/>
  <c r="D103" i="44"/>
  <c r="E404" i="7"/>
  <c r="AI343" i="7" s="1"/>
  <c r="D411" i="7"/>
  <c r="AB344" i="7" s="1"/>
  <c r="E411" i="7"/>
  <c r="AC344" i="7" s="1"/>
  <c r="E103" i="45"/>
  <c r="H499" i="7"/>
  <c r="AF355" i="7" s="1"/>
  <c r="G103" i="44"/>
  <c r="E108" i="45"/>
  <c r="F412" i="7"/>
  <c r="AJ344" i="7" s="1"/>
  <c r="H403" i="7"/>
  <c r="AF343" i="7" s="1"/>
  <c r="S281" i="44"/>
  <c r="F96" i="44"/>
  <c r="F103" i="45"/>
  <c r="F103" i="44"/>
  <c r="H223" i="45"/>
  <c r="I103" i="45"/>
  <c r="H91" i="45"/>
  <c r="F96" i="45"/>
  <c r="Q281" i="44"/>
  <c r="M281" i="44" s="1"/>
  <c r="E116" i="44" s="1"/>
  <c r="E117" i="44" s="1"/>
  <c r="I103" i="44"/>
  <c r="D235" i="45"/>
  <c r="R281" i="44"/>
  <c r="N281" i="44" s="1"/>
  <c r="G121" i="44" s="1"/>
  <c r="G122" i="44" s="1"/>
  <c r="E240" i="45"/>
  <c r="C400" i="7"/>
  <c r="E499" i="7"/>
  <c r="AC355" i="7" s="1"/>
  <c r="G223" i="44"/>
  <c r="F228" i="44"/>
  <c r="F492" i="7"/>
  <c r="AJ354" i="7" s="1"/>
  <c r="F91" i="45"/>
  <c r="F403" i="7"/>
  <c r="AD343" i="7" s="1"/>
  <c r="E235" i="44"/>
  <c r="G403" i="7"/>
  <c r="AE343" i="7" s="1"/>
  <c r="C488" i="7"/>
  <c r="C343" i="7"/>
  <c r="D343" i="7" s="1"/>
  <c r="G91" i="44"/>
  <c r="F235" i="44"/>
  <c r="C290" i="44"/>
  <c r="P290" i="44" s="1"/>
  <c r="L290" i="44" s="1"/>
  <c r="R290" i="44" s="1"/>
  <c r="N290" i="44" s="1"/>
  <c r="C279" i="44"/>
  <c r="P279" i="44" s="1"/>
  <c r="L279" i="44" s="1"/>
  <c r="S279" i="44" s="1"/>
  <c r="C88" i="44"/>
  <c r="L88" i="44" s="1"/>
  <c r="C354" i="7"/>
  <c r="D354" i="7" s="1"/>
  <c r="G96" i="44"/>
  <c r="F499" i="7"/>
  <c r="AD355" i="7" s="1"/>
  <c r="I235" i="44"/>
  <c r="G96" i="45"/>
  <c r="AB32" i="15"/>
  <c r="C220" i="44"/>
  <c r="L220" i="44" s="1"/>
  <c r="B97" i="15"/>
  <c r="I71" i="15" s="1"/>
  <c r="D240" i="44"/>
  <c r="F500" i="7"/>
  <c r="AJ355" i="7" s="1"/>
  <c r="D240" i="45"/>
  <c r="E247" i="43"/>
  <c r="D499" i="7"/>
  <c r="AB355" i="7" s="1"/>
  <c r="E248" i="43"/>
  <c r="D492" i="7"/>
  <c r="AH354" i="7" s="1"/>
  <c r="F8" i="47"/>
  <c r="AM7" i="14" s="1"/>
  <c r="G29" i="47"/>
  <c r="S275" i="43"/>
  <c r="I499" i="7"/>
  <c r="AG355" i="7" s="1"/>
  <c r="I240" i="44"/>
  <c r="I492" i="7"/>
  <c r="AM354" i="7" s="1"/>
  <c r="I240" i="45"/>
  <c r="Q291" i="44"/>
  <c r="M291" i="44" s="1"/>
  <c r="D236" i="44" s="1"/>
  <c r="D237" i="44" s="1"/>
  <c r="I12" i="15"/>
  <c r="E223" i="44"/>
  <c r="E491" i="7"/>
  <c r="AC354" i="7" s="1"/>
  <c r="R291" i="44"/>
  <c r="N291" i="44" s="1"/>
  <c r="D241" i="44" s="1"/>
  <c r="H240" i="45"/>
  <c r="G235" i="45"/>
  <c r="E273" i="7"/>
  <c r="AC122" i="7" s="1"/>
  <c r="H235" i="44"/>
  <c r="T291" i="44"/>
  <c r="G386" i="15"/>
  <c r="I145" i="34"/>
  <c r="I146" i="34" s="1"/>
  <c r="H240" i="44"/>
  <c r="E240" i="44"/>
  <c r="F240" i="45"/>
  <c r="E228" i="45"/>
  <c r="T274" i="44"/>
  <c r="R274" i="44"/>
  <c r="N274" i="44" s="1"/>
  <c r="S274" i="44"/>
  <c r="Q274" i="44"/>
  <c r="M274" i="44" s="1"/>
  <c r="S275" i="44"/>
  <c r="Q275" i="44"/>
  <c r="M275" i="44" s="1"/>
  <c r="T275" i="44"/>
  <c r="R275" i="44"/>
  <c r="N275" i="44" s="1"/>
  <c r="S287" i="44"/>
  <c r="Q287" i="44"/>
  <c r="M287" i="44" s="1"/>
  <c r="T287" i="44"/>
  <c r="R287" i="44"/>
  <c r="N287" i="44" s="1"/>
  <c r="S282" i="44"/>
  <c r="Q282" i="44"/>
  <c r="M282" i="44" s="1"/>
  <c r="H128" i="44" s="1"/>
  <c r="H129" i="44" s="1"/>
  <c r="T282" i="44"/>
  <c r="R282" i="44"/>
  <c r="N282" i="44" s="1"/>
  <c r="E133" i="44" s="1"/>
  <c r="E134" i="44" s="1"/>
  <c r="S293" i="44"/>
  <c r="Q293" i="44"/>
  <c r="M293" i="44" s="1"/>
  <c r="F260" i="44" s="1"/>
  <c r="F261" i="44" s="1"/>
  <c r="T293" i="44"/>
  <c r="R293" i="44"/>
  <c r="N293" i="44" s="1"/>
  <c r="I265" i="44" s="1"/>
  <c r="I266" i="44" s="1"/>
  <c r="L64" i="44"/>
  <c r="S277" i="44"/>
  <c r="Q277" i="44"/>
  <c r="M277" i="44" s="1"/>
  <c r="T277" i="44"/>
  <c r="R277" i="44"/>
  <c r="N277" i="44" s="1"/>
  <c r="S286" i="44"/>
  <c r="Q286" i="44"/>
  <c r="M286" i="44" s="1"/>
  <c r="E176" i="44" s="1"/>
  <c r="E177" i="44" s="1"/>
  <c r="T286" i="44"/>
  <c r="R286" i="44"/>
  <c r="N286" i="44" s="1"/>
  <c r="E181" i="44" s="1"/>
  <c r="E182" i="44" s="1"/>
  <c r="S289" i="44"/>
  <c r="Q289" i="44"/>
  <c r="M289" i="44" s="1"/>
  <c r="G212" i="44" s="1"/>
  <c r="G213" i="44" s="1"/>
  <c r="T289" i="44"/>
  <c r="R289" i="44"/>
  <c r="N289" i="44" s="1"/>
  <c r="F217" i="44" s="1"/>
  <c r="F218" i="44" s="1"/>
  <c r="S284" i="44"/>
  <c r="Q284" i="44"/>
  <c r="M284" i="44" s="1"/>
  <c r="T284" i="44"/>
  <c r="R284" i="44"/>
  <c r="N284" i="44" s="1"/>
  <c r="S283" i="44"/>
  <c r="Q283" i="44"/>
  <c r="M283" i="44" s="1"/>
  <c r="T283" i="44"/>
  <c r="R283" i="44"/>
  <c r="N283" i="44" s="1"/>
  <c r="S280" i="45"/>
  <c r="T280" i="45"/>
  <c r="R280" i="45"/>
  <c r="M280" i="45" s="1"/>
  <c r="Q280" i="45"/>
  <c r="L280" i="45" s="1"/>
  <c r="S287" i="45"/>
  <c r="R287" i="45"/>
  <c r="M287" i="45" s="1"/>
  <c r="Q287" i="45"/>
  <c r="L287" i="45" s="1"/>
  <c r="T287" i="45"/>
  <c r="S284" i="45"/>
  <c r="T284" i="45"/>
  <c r="R284" i="45"/>
  <c r="M284" i="45" s="1"/>
  <c r="H157" i="45" s="1"/>
  <c r="H158" i="45" s="1"/>
  <c r="Q284" i="45"/>
  <c r="L284" i="45" s="1"/>
  <c r="I152" i="45" s="1"/>
  <c r="I153" i="45" s="1"/>
  <c r="S279" i="45"/>
  <c r="R279" i="45"/>
  <c r="M279" i="45" s="1"/>
  <c r="E97" i="45" s="1"/>
  <c r="Q279" i="45"/>
  <c r="L279" i="45" s="1"/>
  <c r="G92" i="45" s="1"/>
  <c r="G93" i="45" s="1"/>
  <c r="T279" i="45"/>
  <c r="S288" i="45"/>
  <c r="T288" i="45"/>
  <c r="R288" i="45"/>
  <c r="M288" i="45" s="1"/>
  <c r="Q288" i="45"/>
  <c r="L288" i="45" s="1"/>
  <c r="I200" i="45" s="1"/>
  <c r="I201" i="45" s="1"/>
  <c r="S286" i="45"/>
  <c r="T286" i="45"/>
  <c r="R286" i="45"/>
  <c r="M286" i="45" s="1"/>
  <c r="Q286" i="45"/>
  <c r="L286" i="45" s="1"/>
  <c r="S281" i="45"/>
  <c r="R281" i="45"/>
  <c r="M281" i="45" s="1"/>
  <c r="Q281" i="45"/>
  <c r="L281" i="45" s="1"/>
  <c r="D116" i="45" s="1"/>
  <c r="D117" i="45" s="1"/>
  <c r="T281" i="45"/>
  <c r="S292" i="45"/>
  <c r="T292" i="45"/>
  <c r="R292" i="45"/>
  <c r="M292" i="45" s="1"/>
  <c r="Q292" i="45"/>
  <c r="L292" i="45" s="1"/>
  <c r="S282" i="45"/>
  <c r="T282" i="45"/>
  <c r="R282" i="45"/>
  <c r="M282" i="45" s="1"/>
  <c r="Q282" i="45"/>
  <c r="L282" i="45" s="1"/>
  <c r="S283" i="45"/>
  <c r="R283" i="45"/>
  <c r="M283" i="45" s="1"/>
  <c r="H145" i="45" s="1"/>
  <c r="H146" i="45" s="1"/>
  <c r="Q283" i="45"/>
  <c r="L283" i="45" s="1"/>
  <c r="E140" i="45" s="1"/>
  <c r="E141" i="45" s="1"/>
  <c r="T283" i="45"/>
  <c r="S293" i="45"/>
  <c r="R293" i="45"/>
  <c r="M293" i="45" s="1"/>
  <c r="E265" i="45" s="1"/>
  <c r="E266" i="45" s="1"/>
  <c r="Q293" i="45"/>
  <c r="L293" i="45" s="1"/>
  <c r="I260" i="45" s="1"/>
  <c r="I261" i="45" s="1"/>
  <c r="T293" i="45"/>
  <c r="S290" i="45"/>
  <c r="T290" i="45"/>
  <c r="R290" i="45"/>
  <c r="M290" i="45" s="1"/>
  <c r="F229" i="45" s="1"/>
  <c r="F230" i="45" s="1"/>
  <c r="Q290" i="45"/>
  <c r="L290" i="45" s="1"/>
  <c r="L40" i="43"/>
  <c r="T275" i="43"/>
  <c r="R275" i="43"/>
  <c r="M275" i="43" s="1"/>
  <c r="Q276" i="43"/>
  <c r="L276" i="43" s="1"/>
  <c r="S276" i="43"/>
  <c r="R276" i="43"/>
  <c r="M276" i="43" s="1"/>
  <c r="T276" i="43"/>
  <c r="Q278" i="43"/>
  <c r="L278" i="43" s="1"/>
  <c r="S278" i="43"/>
  <c r="R278" i="43"/>
  <c r="M278" i="43" s="1"/>
  <c r="T278" i="43"/>
  <c r="Q279" i="43"/>
  <c r="L279" i="43" s="1"/>
  <c r="S279" i="43"/>
  <c r="R279" i="43"/>
  <c r="M279" i="43" s="1"/>
  <c r="T279" i="43"/>
  <c r="Q277" i="43"/>
  <c r="L277" i="43" s="1"/>
  <c r="S277" i="43"/>
  <c r="R277" i="43"/>
  <c r="M277" i="43" s="1"/>
  <c r="T277" i="43"/>
  <c r="S274" i="43"/>
  <c r="T274" i="43"/>
  <c r="Q274" i="43"/>
  <c r="L274" i="43" s="1"/>
  <c r="R274" i="43"/>
  <c r="M274" i="43" s="1"/>
  <c r="H254" i="50"/>
  <c r="H250" i="50"/>
  <c r="Z253" i="50"/>
  <c r="I250" i="50"/>
  <c r="F253" i="50"/>
  <c r="F250" i="50"/>
  <c r="Z254" i="50"/>
  <c r="J250" i="50"/>
  <c r="Z236" i="50"/>
  <c r="I233" i="50"/>
  <c r="H236" i="50"/>
  <c r="H233" i="50"/>
  <c r="Z238" i="50"/>
  <c r="K233" i="50"/>
  <c r="F236" i="50"/>
  <c r="F233" i="50"/>
  <c r="J237" i="50"/>
  <c r="J233" i="50"/>
  <c r="J220" i="50"/>
  <c r="J216" i="50"/>
  <c r="H220" i="50"/>
  <c r="H216" i="50"/>
  <c r="Z221" i="50"/>
  <c r="K216" i="50"/>
  <c r="F220" i="50"/>
  <c r="F216" i="50"/>
  <c r="Z200" i="50"/>
  <c r="G199" i="50"/>
  <c r="J203" i="50"/>
  <c r="J199" i="50"/>
  <c r="Z204" i="50"/>
  <c r="K199" i="50"/>
  <c r="H202" i="50"/>
  <c r="H199" i="50"/>
  <c r="F186" i="50"/>
  <c r="F182" i="50"/>
  <c r="H185" i="50"/>
  <c r="H182" i="50"/>
  <c r="Z186" i="50"/>
  <c r="J182" i="50"/>
  <c r="Z183" i="50"/>
  <c r="G182" i="50"/>
  <c r="Z168" i="50"/>
  <c r="I165" i="50"/>
  <c r="J169" i="50"/>
  <c r="J165" i="50"/>
  <c r="F169" i="50"/>
  <c r="F165" i="50"/>
  <c r="H168" i="50"/>
  <c r="H165" i="50"/>
  <c r="Z166" i="50"/>
  <c r="G165" i="50"/>
  <c r="H152" i="50"/>
  <c r="H148" i="50"/>
  <c r="F152" i="50"/>
  <c r="F148" i="50"/>
  <c r="P278" i="44"/>
  <c r="L278" i="44" s="1"/>
  <c r="L76" i="44" s="1"/>
  <c r="G314" i="15"/>
  <c r="G313" i="15" s="1"/>
  <c r="G312" i="15" s="1"/>
  <c r="G491" i="7"/>
  <c r="AE354" i="7" s="1"/>
  <c r="E492" i="7"/>
  <c r="AI354" i="7" s="1"/>
  <c r="K277" i="45"/>
  <c r="P276" i="44"/>
  <c r="L276" i="44" s="1"/>
  <c r="L64" i="45"/>
  <c r="F491" i="7"/>
  <c r="AD354" i="7" s="1"/>
  <c r="H492" i="7"/>
  <c r="AL354" i="7" s="1"/>
  <c r="F200" i="43"/>
  <c r="G266" i="15"/>
  <c r="G265" i="15" s="1"/>
  <c r="G264" i="15" s="1"/>
  <c r="H260" i="15"/>
  <c r="L208" i="44"/>
  <c r="K289" i="45"/>
  <c r="I257" i="7"/>
  <c r="AG120" i="7" s="1"/>
  <c r="F199" i="43"/>
  <c r="L88" i="43"/>
  <c r="L76" i="43"/>
  <c r="L64" i="43"/>
  <c r="L52" i="43"/>
  <c r="AR82" i="14"/>
  <c r="AR121" i="14" s="1"/>
  <c r="AR84" i="14"/>
  <c r="AR123" i="14" s="1"/>
  <c r="AR80" i="14"/>
  <c r="AR119" i="14" s="1"/>
  <c r="AR81" i="14"/>
  <c r="AR120" i="14" s="1"/>
  <c r="G228" i="45"/>
  <c r="I144" i="43"/>
  <c r="F223" i="45"/>
  <c r="I145" i="43"/>
  <c r="H240" i="43"/>
  <c r="E357" i="56"/>
  <c r="AL97" i="14" s="1"/>
  <c r="F199" i="34"/>
  <c r="L28" i="43"/>
  <c r="N29" i="58"/>
  <c r="N45" i="58" s="1"/>
  <c r="J52" i="47"/>
  <c r="I202" i="7"/>
  <c r="AM113" i="7" s="1"/>
  <c r="G259" i="43"/>
  <c r="I228" i="44"/>
  <c r="H223" i="44"/>
  <c r="D228" i="45"/>
  <c r="F314" i="38"/>
  <c r="F312" i="38" s="1"/>
  <c r="E33" i="38" s="1"/>
  <c r="F94" i="15" s="1"/>
  <c r="G308" i="38"/>
  <c r="G228" i="44"/>
  <c r="H228" i="44"/>
  <c r="G260" i="43"/>
  <c r="G176" i="38"/>
  <c r="F182" i="38"/>
  <c r="F180" i="38" s="1"/>
  <c r="E22" i="38" s="1"/>
  <c r="F83" i="15" s="1"/>
  <c r="G281" i="7"/>
  <c r="AE123" i="7" s="1"/>
  <c r="G260" i="34"/>
  <c r="G261" i="34" s="1"/>
  <c r="K274" i="45"/>
  <c r="L28" i="44"/>
  <c r="L40" i="44"/>
  <c r="K275" i="45"/>
  <c r="E252" i="43"/>
  <c r="E254" i="43" s="1"/>
  <c r="E156" i="34"/>
  <c r="E157" i="43"/>
  <c r="E158" i="43" s="1"/>
  <c r="I109" i="37"/>
  <c r="G229" i="43"/>
  <c r="G216" i="43"/>
  <c r="I151" i="34"/>
  <c r="I152" i="43"/>
  <c r="I201" i="7"/>
  <c r="AG113" i="7" s="1"/>
  <c r="J109" i="37"/>
  <c r="G250" i="7"/>
  <c r="AK119" i="7" s="1"/>
  <c r="E175" i="34"/>
  <c r="E177" i="34" s="1"/>
  <c r="D140" i="34"/>
  <c r="D141" i="34" s="1"/>
  <c r="G217" i="34"/>
  <c r="G218" i="34" s="1"/>
  <c r="I241" i="34"/>
  <c r="D109" i="43"/>
  <c r="D110" i="43" s="1"/>
  <c r="E260" i="34"/>
  <c r="G217" i="43"/>
  <c r="D127" i="34"/>
  <c r="I253" i="43"/>
  <c r="I254" i="43" s="1"/>
  <c r="G273" i="7"/>
  <c r="AE122" i="7" s="1"/>
  <c r="I140" i="34"/>
  <c r="H116" i="43"/>
  <c r="E210" i="7"/>
  <c r="AI114" i="7" s="1"/>
  <c r="H204" i="34"/>
  <c r="I139" i="34"/>
  <c r="I139" i="43"/>
  <c r="I141" i="43" s="1"/>
  <c r="H164" i="34"/>
  <c r="H115" i="43"/>
  <c r="I151" i="43"/>
  <c r="H205" i="43"/>
  <c r="H163" i="34"/>
  <c r="H164" i="43"/>
  <c r="F235" i="50"/>
  <c r="H237" i="50"/>
  <c r="H253" i="50"/>
  <c r="H203" i="50"/>
  <c r="Z184" i="50"/>
  <c r="F219" i="50"/>
  <c r="I236" i="50"/>
  <c r="J219" i="50"/>
  <c r="Z219" i="50"/>
  <c r="G220" i="50"/>
  <c r="G202" i="50"/>
  <c r="I152" i="50"/>
  <c r="Z170" i="50"/>
  <c r="Z182" i="50"/>
  <c r="Z237" i="50"/>
  <c r="K252" i="50"/>
  <c r="I253" i="50"/>
  <c r="Z165" i="50"/>
  <c r="Z167" i="50"/>
  <c r="J186" i="50"/>
  <c r="Z185" i="50"/>
  <c r="J252" i="50"/>
  <c r="Z255" i="50"/>
  <c r="G254" i="50"/>
  <c r="G150" i="50"/>
  <c r="K167" i="50"/>
  <c r="G168" i="50"/>
  <c r="Z169" i="50"/>
  <c r="K186" i="50"/>
  <c r="I184" i="50"/>
  <c r="F151" i="50"/>
  <c r="H150" i="50"/>
  <c r="Z149" i="50"/>
  <c r="F168" i="50"/>
  <c r="K169" i="50"/>
  <c r="I168" i="50"/>
  <c r="H169" i="50"/>
  <c r="J168" i="50"/>
  <c r="J184" i="50"/>
  <c r="K184" i="50"/>
  <c r="Z187" i="50"/>
  <c r="F185" i="50"/>
  <c r="I186" i="50"/>
  <c r="G185" i="50"/>
  <c r="H186" i="50"/>
  <c r="J236" i="50"/>
  <c r="K236" i="50"/>
  <c r="F237" i="50"/>
  <c r="J254" i="50"/>
  <c r="K254" i="50"/>
  <c r="H252" i="50"/>
  <c r="G252" i="50"/>
  <c r="Z251" i="50"/>
  <c r="F252" i="50"/>
  <c r="Z203" i="50"/>
  <c r="I203" i="50"/>
  <c r="H219" i="50"/>
  <c r="K219" i="50"/>
  <c r="I218" i="50"/>
  <c r="Z216" i="50"/>
  <c r="G218" i="50"/>
  <c r="Z217" i="50"/>
  <c r="Z235" i="50"/>
  <c r="J202" i="50"/>
  <c r="K202" i="50"/>
  <c r="I201" i="50"/>
  <c r="Z202" i="50"/>
  <c r="Z201" i="50"/>
  <c r="H218" i="50"/>
  <c r="Z220" i="50"/>
  <c r="I220" i="50"/>
  <c r="Z148" i="50"/>
  <c r="I150" i="50"/>
  <c r="Z151" i="50"/>
  <c r="H151" i="50"/>
  <c r="G152" i="50"/>
  <c r="J201" i="50"/>
  <c r="K201" i="50"/>
  <c r="K203" i="50"/>
  <c r="I202" i="50"/>
  <c r="G201" i="50"/>
  <c r="G203" i="50"/>
  <c r="H201" i="50"/>
  <c r="Z218" i="50"/>
  <c r="J218" i="50"/>
  <c r="K218" i="50"/>
  <c r="K220" i="50"/>
  <c r="I219" i="50"/>
  <c r="F218" i="50"/>
  <c r="G219" i="50"/>
  <c r="I235" i="50"/>
  <c r="I237" i="50"/>
  <c r="H235" i="50"/>
  <c r="F338" i="50"/>
  <c r="Z335" i="50"/>
  <c r="F339" i="50"/>
  <c r="F337" i="50"/>
  <c r="Z336" i="50"/>
  <c r="G339" i="50"/>
  <c r="G337" i="50"/>
  <c r="G338" i="50"/>
  <c r="G347" i="50"/>
  <c r="AA336" i="50"/>
  <c r="G345" i="50"/>
  <c r="G346" i="50"/>
  <c r="F347" i="50"/>
  <c r="AA335" i="50"/>
  <c r="F346" i="50"/>
  <c r="F345" i="50"/>
  <c r="H337" i="50"/>
  <c r="Z337" i="50"/>
  <c r="H338" i="50"/>
  <c r="H339" i="50"/>
  <c r="J347" i="50"/>
  <c r="J345" i="50"/>
  <c r="J346" i="50"/>
  <c r="AA339" i="50"/>
  <c r="I339" i="50"/>
  <c r="Z338" i="50"/>
  <c r="I337" i="50"/>
  <c r="I338" i="50"/>
  <c r="K338" i="50"/>
  <c r="Z340" i="50"/>
  <c r="K339" i="50"/>
  <c r="K337" i="50"/>
  <c r="H346" i="50"/>
  <c r="AA337" i="50"/>
  <c r="H347" i="50"/>
  <c r="H345" i="50"/>
  <c r="K346" i="50"/>
  <c r="K345" i="50"/>
  <c r="K347" i="50"/>
  <c r="AA340" i="50"/>
  <c r="I347" i="50"/>
  <c r="AA338" i="50"/>
  <c r="I345" i="50"/>
  <c r="I346" i="50"/>
  <c r="J339" i="50"/>
  <c r="J337" i="50"/>
  <c r="Z339" i="50"/>
  <c r="J338" i="50"/>
  <c r="AC78" i="50"/>
  <c r="J353" i="50"/>
  <c r="J352" i="50" s="1"/>
  <c r="F361" i="50"/>
  <c r="F360" i="50" s="1"/>
  <c r="H361" i="50"/>
  <c r="H360" i="50" s="1"/>
  <c r="K361" i="50"/>
  <c r="K360" i="50" s="1"/>
  <c r="G361" i="50"/>
  <c r="G360" i="50" s="1"/>
  <c r="H353" i="50"/>
  <c r="H352" i="50" s="1"/>
  <c r="J361" i="50"/>
  <c r="J360" i="50" s="1"/>
  <c r="I361" i="50"/>
  <c r="I360" i="50" s="1"/>
  <c r="F353" i="50"/>
  <c r="F352" i="50" s="1"/>
  <c r="G353" i="50"/>
  <c r="G352" i="50" s="1"/>
  <c r="I353" i="50"/>
  <c r="I352" i="50" s="1"/>
  <c r="K353" i="50"/>
  <c r="K352" i="50" s="1"/>
  <c r="F150" i="50"/>
  <c r="I151" i="50"/>
  <c r="Z150" i="50"/>
  <c r="G151" i="50"/>
  <c r="F167" i="50"/>
  <c r="K168" i="50"/>
  <c r="I167" i="50"/>
  <c r="I169" i="50"/>
  <c r="H167" i="50"/>
  <c r="G167" i="50"/>
  <c r="G169" i="50"/>
  <c r="J167" i="50"/>
  <c r="J185" i="50"/>
  <c r="K185" i="50"/>
  <c r="F184" i="50"/>
  <c r="I185" i="50"/>
  <c r="G184" i="50"/>
  <c r="G186" i="50"/>
  <c r="H184" i="50"/>
  <c r="J235" i="50"/>
  <c r="K235" i="50"/>
  <c r="K237" i="50"/>
  <c r="Z233" i="50"/>
  <c r="J253" i="50"/>
  <c r="K253" i="50"/>
  <c r="Z252" i="50"/>
  <c r="G253" i="50"/>
  <c r="I252" i="50"/>
  <c r="I254" i="50"/>
  <c r="Z250" i="50"/>
  <c r="Z650" i="50"/>
  <c r="K649" i="50"/>
  <c r="K648" i="50"/>
  <c r="K647" i="50"/>
  <c r="H649" i="50"/>
  <c r="H648" i="50"/>
  <c r="Z647" i="50"/>
  <c r="H647" i="50"/>
  <c r="Z646" i="50"/>
  <c r="G649" i="50"/>
  <c r="G648" i="50"/>
  <c r="G647" i="50"/>
  <c r="Z648" i="50"/>
  <c r="I649" i="50"/>
  <c r="I648" i="50"/>
  <c r="I647" i="50"/>
  <c r="F649" i="50"/>
  <c r="F648" i="50"/>
  <c r="F647" i="50"/>
  <c r="Z645" i="50"/>
  <c r="Z649" i="50"/>
  <c r="J649" i="50"/>
  <c r="J648" i="50"/>
  <c r="J647" i="50"/>
  <c r="Z633" i="50"/>
  <c r="K632" i="50"/>
  <c r="K631" i="50"/>
  <c r="K630" i="50"/>
  <c r="F632" i="50"/>
  <c r="F631" i="50"/>
  <c r="F630" i="50"/>
  <c r="Z628" i="50"/>
  <c r="Z632" i="50"/>
  <c r="J632" i="50"/>
  <c r="J631" i="50"/>
  <c r="J630" i="50"/>
  <c r="Z631" i="50"/>
  <c r="I632" i="50"/>
  <c r="I631" i="50"/>
  <c r="I630" i="50"/>
  <c r="H632" i="50"/>
  <c r="H631" i="50"/>
  <c r="Z630" i="50"/>
  <c r="H630" i="50"/>
  <c r="Z615" i="50"/>
  <c r="J615" i="50"/>
  <c r="J614" i="50"/>
  <c r="J613" i="50"/>
  <c r="Z614" i="50"/>
  <c r="I615" i="50"/>
  <c r="I614" i="50"/>
  <c r="I613" i="50"/>
  <c r="H615" i="50"/>
  <c r="H614" i="50"/>
  <c r="Z613" i="50"/>
  <c r="H613" i="50"/>
  <c r="Z616" i="50"/>
  <c r="K615" i="50"/>
  <c r="K614" i="50"/>
  <c r="K613" i="50"/>
  <c r="F615" i="50"/>
  <c r="F614" i="50"/>
  <c r="F613" i="50"/>
  <c r="Z611" i="50"/>
  <c r="Z612" i="50"/>
  <c r="G615" i="50"/>
  <c r="G614" i="50"/>
  <c r="G613" i="50"/>
  <c r="Z595" i="50"/>
  <c r="G598" i="50"/>
  <c r="G597" i="50"/>
  <c r="G596" i="50"/>
  <c r="Z598" i="50"/>
  <c r="J598" i="50"/>
  <c r="J597" i="50"/>
  <c r="J596" i="50"/>
  <c r="Z599" i="50"/>
  <c r="K598" i="50"/>
  <c r="K597" i="50"/>
  <c r="K596" i="50"/>
  <c r="Z597" i="50"/>
  <c r="I598" i="50"/>
  <c r="I597" i="50"/>
  <c r="I596" i="50"/>
  <c r="H598" i="50"/>
  <c r="H597" i="50"/>
  <c r="Z596" i="50"/>
  <c r="H596" i="50"/>
  <c r="Z268" i="50"/>
  <c r="G271" i="50"/>
  <c r="G270" i="50"/>
  <c r="G269" i="50"/>
  <c r="F271" i="50"/>
  <c r="F270" i="50"/>
  <c r="F269" i="50"/>
  <c r="Z267" i="50"/>
  <c r="Z270" i="50"/>
  <c r="I271" i="50"/>
  <c r="I270" i="50"/>
  <c r="I269" i="50"/>
  <c r="Z271" i="50"/>
  <c r="J271" i="50"/>
  <c r="J270" i="50"/>
  <c r="J269" i="50"/>
  <c r="Z272" i="50"/>
  <c r="K271" i="50"/>
  <c r="K270" i="50"/>
  <c r="K269" i="50"/>
  <c r="H271" i="50"/>
  <c r="H270" i="50"/>
  <c r="Z269" i="50"/>
  <c r="H269" i="50"/>
  <c r="Z234" i="50"/>
  <c r="G237" i="50"/>
  <c r="G236" i="50"/>
  <c r="G235" i="50"/>
  <c r="H241" i="34"/>
  <c r="H242" i="34" s="1"/>
  <c r="E260" i="43"/>
  <c r="E261" i="43" s="1"/>
  <c r="G209" i="7"/>
  <c r="AE114" i="7" s="1"/>
  <c r="K109" i="37"/>
  <c r="H127" i="34"/>
  <c r="E169" i="43"/>
  <c r="H233" i="7"/>
  <c r="AF117" i="7" s="1"/>
  <c r="G176" i="34"/>
  <c r="G177" i="34" s="1"/>
  <c r="G241" i="34"/>
  <c r="G242" i="34" s="1"/>
  <c r="E169" i="34"/>
  <c r="E170" i="34" s="1"/>
  <c r="H188" i="34"/>
  <c r="H189" i="34" s="1"/>
  <c r="E281" i="7"/>
  <c r="AC123" i="7" s="1"/>
  <c r="E259" i="34"/>
  <c r="F233" i="7"/>
  <c r="AD117" i="7" s="1"/>
  <c r="G151" i="43"/>
  <c r="G153" i="43" s="1"/>
  <c r="D120" i="43"/>
  <c r="D122" i="43" s="1"/>
  <c r="H218" i="7"/>
  <c r="AL115" i="7" s="1"/>
  <c r="G151" i="34"/>
  <c r="E168" i="43"/>
  <c r="E218" i="7"/>
  <c r="AI115" i="7" s="1"/>
  <c r="G236" i="34"/>
  <c r="G237" i="34" s="1"/>
  <c r="D193" i="34"/>
  <c r="G140" i="34"/>
  <c r="D169" i="34"/>
  <c r="D170" i="34" s="1"/>
  <c r="H116" i="34"/>
  <c r="H117" i="34" s="1"/>
  <c r="E236" i="34"/>
  <c r="G188" i="34"/>
  <c r="F188" i="34"/>
  <c r="F189" i="34" s="1"/>
  <c r="D218" i="7"/>
  <c r="AH115" i="7" s="1"/>
  <c r="H185" i="7"/>
  <c r="AF111" i="7" s="1"/>
  <c r="H204" i="43"/>
  <c r="D225" i="7"/>
  <c r="AB116" i="7" s="1"/>
  <c r="G228" i="43"/>
  <c r="G258" i="7"/>
  <c r="AK120" i="7" s="1"/>
  <c r="E201" i="7"/>
  <c r="AC113" i="7" s="1"/>
  <c r="H163" i="43"/>
  <c r="E194" i="7"/>
  <c r="AI112" i="7" s="1"/>
  <c r="F226" i="7"/>
  <c r="AJ116" i="7" s="1"/>
  <c r="I132" i="43"/>
  <c r="I134" i="43" s="1"/>
  <c r="E176" i="43"/>
  <c r="E257" i="7"/>
  <c r="AC120" i="7" s="1"/>
  <c r="G225" i="7"/>
  <c r="AE116" i="7" s="1"/>
  <c r="I247" i="34"/>
  <c r="G242" i="7"/>
  <c r="AK118" i="7" s="1"/>
  <c r="E235" i="34"/>
  <c r="E217" i="43"/>
  <c r="D139" i="43"/>
  <c r="H188" i="43"/>
  <c r="H187" i="43"/>
  <c r="E104" i="43"/>
  <c r="F236" i="34"/>
  <c r="D176" i="34"/>
  <c r="D121" i="34"/>
  <c r="H193" i="34"/>
  <c r="G116" i="34"/>
  <c r="F181" i="34"/>
  <c r="D116" i="34"/>
  <c r="D117" i="34" s="1"/>
  <c r="G115" i="34"/>
  <c r="G188" i="43"/>
  <c r="D116" i="43"/>
  <c r="E228" i="43"/>
  <c r="E230" i="43" s="1"/>
  <c r="I175" i="34"/>
  <c r="G266" i="7"/>
  <c r="AK121" i="7" s="1"/>
  <c r="G140" i="43"/>
  <c r="H193" i="43"/>
  <c r="D193" i="43"/>
  <c r="D194" i="43" s="1"/>
  <c r="O68" i="58"/>
  <c r="N84" i="58"/>
  <c r="O220" i="58"/>
  <c r="N236" i="58"/>
  <c r="P145" i="58"/>
  <c r="O161" i="58"/>
  <c r="L65" i="58"/>
  <c r="K81" i="58"/>
  <c r="K216" i="58"/>
  <c r="J232" i="58"/>
  <c r="P297" i="58"/>
  <c r="O313" i="58"/>
  <c r="P373" i="58"/>
  <c r="O389" i="58"/>
  <c r="P221" i="58"/>
  <c r="O237" i="58"/>
  <c r="K368" i="58"/>
  <c r="J384" i="58"/>
  <c r="O144" i="58"/>
  <c r="N160" i="58"/>
  <c r="K254" i="58"/>
  <c r="J270" i="58"/>
  <c r="O296" i="58"/>
  <c r="N312" i="58"/>
  <c r="O334" i="58"/>
  <c r="N350" i="58"/>
  <c r="K178" i="58"/>
  <c r="J194" i="58"/>
  <c r="L217" i="58"/>
  <c r="K233" i="58"/>
  <c r="P259" i="58"/>
  <c r="O275" i="58"/>
  <c r="L331" i="58"/>
  <c r="K347" i="58"/>
  <c r="J80" i="58"/>
  <c r="L141" i="58"/>
  <c r="K157" i="58"/>
  <c r="O372" i="58"/>
  <c r="N388" i="58"/>
  <c r="K140" i="58"/>
  <c r="J156" i="58"/>
  <c r="L255" i="58"/>
  <c r="K271" i="58"/>
  <c r="P335" i="58"/>
  <c r="O351" i="58"/>
  <c r="P69" i="58"/>
  <c r="O85" i="58"/>
  <c r="P183" i="58"/>
  <c r="O199" i="58"/>
  <c r="L179" i="58"/>
  <c r="K195" i="58"/>
  <c r="O258" i="58"/>
  <c r="N274" i="58"/>
  <c r="K292" i="58"/>
  <c r="J308" i="58"/>
  <c r="K330" i="58"/>
  <c r="J346" i="58"/>
  <c r="L369" i="58"/>
  <c r="K385" i="58"/>
  <c r="O182" i="58"/>
  <c r="N198" i="58"/>
  <c r="L293" i="58"/>
  <c r="K309" i="58"/>
  <c r="N122" i="58"/>
  <c r="O106" i="58"/>
  <c r="K119" i="58"/>
  <c r="L103" i="58"/>
  <c r="P124" i="58"/>
  <c r="Q108" i="58"/>
  <c r="Q124" i="58" s="1"/>
  <c r="J118" i="58"/>
  <c r="K102" i="58"/>
  <c r="O123" i="58"/>
  <c r="P107" i="58"/>
  <c r="M121" i="58"/>
  <c r="N105" i="58"/>
  <c r="L120" i="58"/>
  <c r="M104" i="58"/>
  <c r="M197" i="58"/>
  <c r="N181" i="58"/>
  <c r="M159" i="58"/>
  <c r="N143" i="58"/>
  <c r="M349" i="58"/>
  <c r="N333" i="58"/>
  <c r="M311" i="58"/>
  <c r="N295" i="58"/>
  <c r="P276" i="58"/>
  <c r="Q260" i="58"/>
  <c r="Q276" i="58" s="1"/>
  <c r="M83" i="58"/>
  <c r="N67" i="58"/>
  <c r="M273" i="58"/>
  <c r="N257" i="58"/>
  <c r="P238" i="58"/>
  <c r="Q222" i="58"/>
  <c r="Q238" i="58" s="1"/>
  <c r="L82" i="58"/>
  <c r="M66" i="58"/>
  <c r="M235" i="58"/>
  <c r="N219" i="58"/>
  <c r="P200" i="58"/>
  <c r="Q184" i="58"/>
  <c r="Q200" i="58" s="1"/>
  <c r="L196" i="58"/>
  <c r="M180" i="58"/>
  <c r="P162" i="58"/>
  <c r="Q146" i="58"/>
  <c r="Q162" i="58" s="1"/>
  <c r="M387" i="58"/>
  <c r="N371" i="58"/>
  <c r="P352" i="58"/>
  <c r="Q336" i="58"/>
  <c r="Q352" i="58" s="1"/>
  <c r="L348" i="58"/>
  <c r="M332" i="58"/>
  <c r="P314" i="58"/>
  <c r="Q298" i="58"/>
  <c r="Q314" i="58" s="1"/>
  <c r="L310" i="58"/>
  <c r="M294" i="58"/>
  <c r="L272" i="58"/>
  <c r="M256" i="58"/>
  <c r="P86" i="58"/>
  <c r="Q70" i="58"/>
  <c r="Q86" i="58" s="1"/>
  <c r="L234" i="58"/>
  <c r="M218" i="58"/>
  <c r="L158" i="58"/>
  <c r="M142" i="58"/>
  <c r="L386" i="58"/>
  <c r="M370" i="58"/>
  <c r="P390" i="58"/>
  <c r="Q374" i="58"/>
  <c r="Q390" i="58" s="1"/>
  <c r="F319" i="3"/>
  <c r="AM106" i="14" s="1"/>
  <c r="H151" i="43"/>
  <c r="M129" i="60"/>
  <c r="M195" i="60"/>
  <c r="I164" i="34"/>
  <c r="F266" i="7"/>
  <c r="AJ121" i="7" s="1"/>
  <c r="E241" i="43"/>
  <c r="F234" i="7"/>
  <c r="AJ117" i="7" s="1"/>
  <c r="E173" i="60"/>
  <c r="G202" i="7"/>
  <c r="AK113" i="7" s="1"/>
  <c r="G145" i="34"/>
  <c r="E163" i="43"/>
  <c r="E217" i="7"/>
  <c r="AC115" i="7" s="1"/>
  <c r="F216" i="43"/>
  <c r="F217" i="34"/>
  <c r="I104" i="43"/>
  <c r="I177" i="7"/>
  <c r="AG110" i="7" s="1"/>
  <c r="I282" i="7"/>
  <c r="AM123" i="7" s="1"/>
  <c r="I264" i="43"/>
  <c r="I273" i="7"/>
  <c r="AG122" i="7" s="1"/>
  <c r="I248" i="43"/>
  <c r="I249" i="43" s="1"/>
  <c r="E223" i="34"/>
  <c r="E223" i="43"/>
  <c r="E225" i="43" s="1"/>
  <c r="D115" i="43"/>
  <c r="D185" i="7"/>
  <c r="AB111" i="7" s="1"/>
  <c r="H192" i="34"/>
  <c r="H192" i="43"/>
  <c r="F187" i="43"/>
  <c r="F188" i="43"/>
  <c r="E225" i="7"/>
  <c r="AC116" i="7" s="1"/>
  <c r="E175" i="43"/>
  <c r="E252" i="34"/>
  <c r="E274" i="7"/>
  <c r="AI122" i="7" s="1"/>
  <c r="I132" i="34"/>
  <c r="I194" i="7"/>
  <c r="AM112" i="7" s="1"/>
  <c r="I116" i="43"/>
  <c r="I116" i="34"/>
  <c r="I117" i="34" s="1"/>
  <c r="F180" i="34"/>
  <c r="F180" i="43"/>
  <c r="F182" i="43" s="1"/>
  <c r="G257" i="7"/>
  <c r="AE120" i="7" s="1"/>
  <c r="G224" i="43"/>
  <c r="G225" i="43" s="1"/>
  <c r="G223" i="34"/>
  <c r="D108" i="34"/>
  <c r="D178" i="7"/>
  <c r="AH110" i="7" s="1"/>
  <c r="G247" i="34"/>
  <c r="G247" i="43"/>
  <c r="G249" i="43" s="1"/>
  <c r="G187" i="43"/>
  <c r="G187" i="34"/>
  <c r="G204" i="43"/>
  <c r="G206" i="43" s="1"/>
  <c r="G204" i="34"/>
  <c r="F247" i="43"/>
  <c r="F248" i="43"/>
  <c r="F247" i="34"/>
  <c r="G185" i="7"/>
  <c r="AE111" i="7" s="1"/>
  <c r="G115" i="43"/>
  <c r="G117" i="43" s="1"/>
  <c r="H265" i="7"/>
  <c r="AF121" i="7" s="1"/>
  <c r="H236" i="34"/>
  <c r="E120" i="43"/>
  <c r="E186" i="7"/>
  <c r="AI111" i="7" s="1"/>
  <c r="E121" i="43"/>
  <c r="E121" i="34"/>
  <c r="E122" i="34" s="1"/>
  <c r="F265" i="7"/>
  <c r="AD121" i="7" s="1"/>
  <c r="F235" i="34"/>
  <c r="F235" i="43"/>
  <c r="F237" i="43" s="1"/>
  <c r="E216" i="43"/>
  <c r="E250" i="7"/>
  <c r="AI119" i="7" s="1"/>
  <c r="E217" i="34"/>
  <c r="E218" i="34" s="1"/>
  <c r="H168" i="43"/>
  <c r="H169" i="43"/>
  <c r="H169" i="34"/>
  <c r="H170" i="34" s="1"/>
  <c r="D265" i="34"/>
  <c r="D264" i="34"/>
  <c r="G175" i="43"/>
  <c r="G176" i="43"/>
  <c r="E178" i="7"/>
  <c r="AI110" i="7" s="1"/>
  <c r="E109" i="43"/>
  <c r="E110" i="43" s="1"/>
  <c r="E108" i="34"/>
  <c r="D192" i="34"/>
  <c r="D234" i="7"/>
  <c r="AH117" i="7" s="1"/>
  <c r="I274" i="7"/>
  <c r="AM122" i="7" s="1"/>
  <c r="I252" i="34"/>
  <c r="D120" i="34"/>
  <c r="D186" i="7"/>
  <c r="AH111" i="7" s="1"/>
  <c r="D140" i="43"/>
  <c r="D201" i="7"/>
  <c r="AB113" i="7" s="1"/>
  <c r="G144" i="43"/>
  <c r="E204" i="43"/>
  <c r="E205" i="43"/>
  <c r="D103" i="34"/>
  <c r="D103" i="43"/>
  <c r="F211" i="34"/>
  <c r="F211" i="43"/>
  <c r="H201" i="7"/>
  <c r="AF113" i="7" s="1"/>
  <c r="H140" i="43"/>
  <c r="I186" i="7"/>
  <c r="AM111" i="7" s="1"/>
  <c r="I121" i="34"/>
  <c r="I217" i="43"/>
  <c r="I217" i="34"/>
  <c r="I258" i="7"/>
  <c r="AM120" i="7" s="1"/>
  <c r="I228" i="43"/>
  <c r="I234" i="7"/>
  <c r="AM117" i="7" s="1"/>
  <c r="I193" i="34"/>
  <c r="D211" i="34"/>
  <c r="D249" i="7"/>
  <c r="AB119" i="7" s="1"/>
  <c r="D211" i="43"/>
  <c r="F120" i="43"/>
  <c r="F122" i="43" s="1"/>
  <c r="F186" i="7"/>
  <c r="AJ111" i="7" s="1"/>
  <c r="F121" i="34"/>
  <c r="E163" i="34"/>
  <c r="E164" i="43"/>
  <c r="E164" i="34"/>
  <c r="F252" i="34"/>
  <c r="F274" i="7"/>
  <c r="AJ122" i="7" s="1"/>
  <c r="F250" i="7"/>
  <c r="AJ119" i="7" s="1"/>
  <c r="F216" i="34"/>
  <c r="E180" i="43"/>
  <c r="E180" i="34"/>
  <c r="E181" i="43"/>
  <c r="E181" i="34"/>
  <c r="H247" i="43"/>
  <c r="H249" i="43" s="1"/>
  <c r="H247" i="34"/>
  <c r="F225" i="7"/>
  <c r="AD116" i="7" s="1"/>
  <c r="F176" i="43"/>
  <c r="F175" i="43"/>
  <c r="F176" i="34"/>
  <c r="F193" i="7"/>
  <c r="AD112" i="7" s="1"/>
  <c r="F128" i="43"/>
  <c r="F127" i="43"/>
  <c r="D257" i="7"/>
  <c r="AB120" i="7" s="1"/>
  <c r="D223" i="34"/>
  <c r="H175" i="43"/>
  <c r="H225" i="7"/>
  <c r="AF116" i="7" s="1"/>
  <c r="H176" i="34"/>
  <c r="D133" i="43"/>
  <c r="D132" i="34"/>
  <c r="D194" i="7"/>
  <c r="AH112" i="7" s="1"/>
  <c r="D202" i="7"/>
  <c r="AH113" i="7" s="1"/>
  <c r="D145" i="43"/>
  <c r="D146" i="43" s="1"/>
  <c r="D145" i="34"/>
  <c r="I103" i="34"/>
  <c r="I103" i="43"/>
  <c r="I265" i="43"/>
  <c r="I264" i="34"/>
  <c r="E188" i="43"/>
  <c r="E189" i="43" s="1"/>
  <c r="E233" i="7"/>
  <c r="AC117" i="7" s="1"/>
  <c r="E188" i="34"/>
  <c r="F156" i="43"/>
  <c r="F157" i="43"/>
  <c r="H282" i="7"/>
  <c r="AL123" i="7" s="1"/>
  <c r="H264" i="34"/>
  <c r="H265" i="43"/>
  <c r="H266" i="43" s="1"/>
  <c r="F132" i="43"/>
  <c r="F134" i="43" s="1"/>
  <c r="F132" i="34"/>
  <c r="D252" i="34"/>
  <c r="D252" i="43"/>
  <c r="D254" i="43" s="1"/>
  <c r="D274" i="7"/>
  <c r="AH122" i="7" s="1"/>
  <c r="F163" i="43"/>
  <c r="F217" i="7"/>
  <c r="AD115" i="7" s="1"/>
  <c r="F164" i="34"/>
  <c r="F165" i="34" s="1"/>
  <c r="I236" i="43"/>
  <c r="I236" i="34"/>
  <c r="F212" i="34"/>
  <c r="G121" i="34"/>
  <c r="G122" i="34" s="1"/>
  <c r="D212" i="34"/>
  <c r="E193" i="34"/>
  <c r="I181" i="34"/>
  <c r="F116" i="34"/>
  <c r="H139" i="34"/>
  <c r="F217" i="43"/>
  <c r="E226" i="7"/>
  <c r="AI116" i="7" s="1"/>
  <c r="H273" i="7"/>
  <c r="AF122" i="7" s="1"/>
  <c r="D224" i="43"/>
  <c r="F175" i="34"/>
  <c r="F258" i="7"/>
  <c r="AJ120" i="7" s="1"/>
  <c r="F252" i="43"/>
  <c r="F254" i="43" s="1"/>
  <c r="D223" i="43"/>
  <c r="H175" i="34"/>
  <c r="I265" i="34"/>
  <c r="H176" i="43"/>
  <c r="F127" i="34"/>
  <c r="H152" i="43"/>
  <c r="F194" i="7"/>
  <c r="AJ112" i="7" s="1"/>
  <c r="G186" i="7"/>
  <c r="AK111" i="7" s="1"/>
  <c r="H265" i="34"/>
  <c r="G177" i="7"/>
  <c r="AE110" i="7" s="1"/>
  <c r="I193" i="43"/>
  <c r="I235" i="43"/>
  <c r="F164" i="43"/>
  <c r="E187" i="34"/>
  <c r="D212" i="43"/>
  <c r="F109" i="37"/>
  <c r="I226" i="7"/>
  <c r="AM116" i="7" s="1"/>
  <c r="D132" i="43"/>
  <c r="D144" i="34"/>
  <c r="F120" i="34"/>
  <c r="F156" i="34"/>
  <c r="G274" i="7"/>
  <c r="AK122" i="7" s="1"/>
  <c r="G199" i="34"/>
  <c r="G241" i="7"/>
  <c r="AE118" i="7" s="1"/>
  <c r="G199" i="43"/>
  <c r="D151" i="43"/>
  <c r="D153" i="43" s="1"/>
  <c r="D151" i="34"/>
  <c r="E241" i="7"/>
  <c r="AC118" i="7" s="1"/>
  <c r="E199" i="43"/>
  <c r="F139" i="34"/>
  <c r="F140" i="43"/>
  <c r="F141" i="43" s="1"/>
  <c r="F201" i="7"/>
  <c r="AD113" i="7" s="1"/>
  <c r="G265" i="7"/>
  <c r="AE121" i="7" s="1"/>
  <c r="G236" i="43"/>
  <c r="G235" i="43"/>
  <c r="D228" i="34"/>
  <c r="D258" i="7"/>
  <c r="AH120" i="7" s="1"/>
  <c r="E185" i="7"/>
  <c r="AC111" i="7" s="1"/>
  <c r="E115" i="43"/>
  <c r="H103" i="43"/>
  <c r="H103" i="34"/>
  <c r="I225" i="7"/>
  <c r="AG116" i="7" s="1"/>
  <c r="I176" i="34"/>
  <c r="E139" i="34"/>
  <c r="E141" i="34" s="1"/>
  <c r="E140" i="43"/>
  <c r="E139" i="43"/>
  <c r="I240" i="43"/>
  <c r="I240" i="34"/>
  <c r="G156" i="34"/>
  <c r="G157" i="43"/>
  <c r="G158" i="43" s="1"/>
  <c r="H228" i="34"/>
  <c r="H229" i="43"/>
  <c r="H228" i="43"/>
  <c r="E249" i="7"/>
  <c r="AC119" i="7" s="1"/>
  <c r="E211" i="34"/>
  <c r="D175" i="43"/>
  <c r="D177" i="43" s="1"/>
  <c r="D175" i="34"/>
  <c r="F108" i="43"/>
  <c r="F178" i="7"/>
  <c r="AJ110" i="7" s="1"/>
  <c r="F144" i="34"/>
  <c r="F202" i="7"/>
  <c r="AJ113" i="7" s="1"/>
  <c r="F144" i="43"/>
  <c r="G192" i="34"/>
  <c r="G192" i="43"/>
  <c r="G234" i="7"/>
  <c r="AK117" i="7" s="1"/>
  <c r="I199" i="34"/>
  <c r="I241" i="7"/>
  <c r="AG118" i="7" s="1"/>
  <c r="F140" i="34"/>
  <c r="G193" i="34"/>
  <c r="F145" i="34"/>
  <c r="H217" i="34"/>
  <c r="H218" i="34" s="1"/>
  <c r="E116" i="34"/>
  <c r="E212" i="34"/>
  <c r="H104" i="43"/>
  <c r="D168" i="43"/>
  <c r="D169" i="43"/>
  <c r="H217" i="43"/>
  <c r="E115" i="34"/>
  <c r="H177" i="7"/>
  <c r="AF110" i="7" s="1"/>
  <c r="F109" i="43"/>
  <c r="E116" i="43"/>
  <c r="F145" i="43"/>
  <c r="I199" i="43"/>
  <c r="I201" i="43" s="1"/>
  <c r="G193" i="43"/>
  <c r="E211" i="43"/>
  <c r="E213" i="43" s="1"/>
  <c r="G210" i="7"/>
  <c r="AK114" i="7" s="1"/>
  <c r="I241" i="43"/>
  <c r="I175" i="43"/>
  <c r="I177" i="43" s="1"/>
  <c r="E200" i="43"/>
  <c r="D209" i="7"/>
  <c r="AB114" i="7" s="1"/>
  <c r="G200" i="43"/>
  <c r="F108" i="34"/>
  <c r="H109" i="37"/>
  <c r="H156" i="43"/>
  <c r="H158" i="43" s="1"/>
  <c r="H156" i="34"/>
  <c r="E240" i="43"/>
  <c r="E266" i="7"/>
  <c r="AI121" i="7" s="1"/>
  <c r="I204" i="34"/>
  <c r="I204" i="43"/>
  <c r="I242" i="7"/>
  <c r="AM118" i="7" s="1"/>
  <c r="H194" i="7"/>
  <c r="AL112" i="7" s="1"/>
  <c r="H132" i="43"/>
  <c r="H134" i="43" s="1"/>
  <c r="E151" i="34"/>
  <c r="E152" i="43"/>
  <c r="E153" i="43" s="1"/>
  <c r="H144" i="43"/>
  <c r="H202" i="7"/>
  <c r="AL113" i="7" s="1"/>
  <c r="D240" i="34"/>
  <c r="D266" i="7"/>
  <c r="AH121" i="7" s="1"/>
  <c r="H259" i="34"/>
  <c r="H281" i="7"/>
  <c r="AF123" i="7" s="1"/>
  <c r="H260" i="34"/>
  <c r="F209" i="7"/>
  <c r="AD114" i="7" s="1"/>
  <c r="F151" i="34"/>
  <c r="D199" i="43"/>
  <c r="D200" i="43"/>
  <c r="G132" i="43"/>
  <c r="G132" i="34"/>
  <c r="H120" i="34"/>
  <c r="H120" i="43"/>
  <c r="H122" i="43" s="1"/>
  <c r="D163" i="43"/>
  <c r="D164" i="43"/>
  <c r="F223" i="43"/>
  <c r="F257" i="7"/>
  <c r="AD120" i="7" s="1"/>
  <c r="G180" i="34"/>
  <c r="G226" i="7"/>
  <c r="AK116" i="7" s="1"/>
  <c r="G181" i="34"/>
  <c r="I250" i="7"/>
  <c r="AM119" i="7" s="1"/>
  <c r="I216" i="34"/>
  <c r="E193" i="43"/>
  <c r="E192" i="43"/>
  <c r="G167" i="3"/>
  <c r="AN102" i="14" s="1"/>
  <c r="E204" i="34"/>
  <c r="G102" i="53"/>
  <c r="AN111" i="14" s="1"/>
  <c r="I168" i="34"/>
  <c r="I170" i="34" s="1"/>
  <c r="I218" i="7"/>
  <c r="AM115" i="7" s="1"/>
  <c r="I168" i="43"/>
  <c r="I169" i="43"/>
  <c r="F264" i="34"/>
  <c r="F264" i="43"/>
  <c r="F265" i="34"/>
  <c r="F265" i="43"/>
  <c r="H241" i="43"/>
  <c r="H266" i="7"/>
  <c r="AL121" i="7" s="1"/>
  <c r="H128" i="43"/>
  <c r="H127" i="43"/>
  <c r="D229" i="43"/>
  <c r="D228" i="43"/>
  <c r="E258" i="7"/>
  <c r="AI120" i="7" s="1"/>
  <c r="E228" i="34"/>
  <c r="H216" i="43"/>
  <c r="H250" i="7"/>
  <c r="AL119" i="7" s="1"/>
  <c r="G265" i="43"/>
  <c r="G264" i="43"/>
  <c r="G264" i="34"/>
  <c r="G265" i="34"/>
  <c r="G282" i="7"/>
  <c r="AK123" i="7" s="1"/>
  <c r="G128" i="43"/>
  <c r="G127" i="34"/>
  <c r="G193" i="7"/>
  <c r="AE112" i="7" s="1"/>
  <c r="G127" i="43"/>
  <c r="G212" i="43"/>
  <c r="G211" i="43"/>
  <c r="G211" i="34"/>
  <c r="G213" i="34" s="1"/>
  <c r="G249" i="7"/>
  <c r="AE119" i="7" s="1"/>
  <c r="G109" i="37"/>
  <c r="I192" i="43"/>
  <c r="I192" i="34"/>
  <c r="I224" i="43"/>
  <c r="I225" i="43" s="1"/>
  <c r="I223" i="34"/>
  <c r="G145" i="43"/>
  <c r="G144" i="34"/>
  <c r="F228" i="34"/>
  <c r="F228" i="43"/>
  <c r="F230" i="43" s="1"/>
  <c r="I181" i="43"/>
  <c r="I182" i="43" s="1"/>
  <c r="I180" i="34"/>
  <c r="G253" i="43"/>
  <c r="G254" i="43" s="1"/>
  <c r="G252" i="34"/>
  <c r="F115" i="34"/>
  <c r="F115" i="43"/>
  <c r="F116" i="43"/>
  <c r="G121" i="43"/>
  <c r="G120" i="43"/>
  <c r="D205" i="43"/>
  <c r="D242" i="7"/>
  <c r="AH118" i="7" s="1"/>
  <c r="D204" i="43"/>
  <c r="D204" i="34"/>
  <c r="I235" i="34"/>
  <c r="I265" i="7"/>
  <c r="AG121" i="7" s="1"/>
  <c r="F243" i="56"/>
  <c r="AM94" i="14" s="1"/>
  <c r="AW29" i="14"/>
  <c r="E127" i="34"/>
  <c r="E127" i="43"/>
  <c r="F192" i="43"/>
  <c r="F192" i="34"/>
  <c r="F194" i="34" s="1"/>
  <c r="I260" i="43"/>
  <c r="I261" i="43" s="1"/>
  <c r="I260" i="34"/>
  <c r="I281" i="7"/>
  <c r="AG123" i="7" s="1"/>
  <c r="I187" i="43"/>
  <c r="I189" i="43" s="1"/>
  <c r="I233" i="7"/>
  <c r="AG117" i="7" s="1"/>
  <c r="I121" i="43"/>
  <c r="I120" i="34"/>
  <c r="G169" i="43"/>
  <c r="G218" i="7"/>
  <c r="AK115" i="7" s="1"/>
  <c r="G168" i="43"/>
  <c r="G168" i="34"/>
  <c r="G170" i="34" s="1"/>
  <c r="I210" i="7"/>
  <c r="AM114" i="7" s="1"/>
  <c r="I156" i="43"/>
  <c r="I128" i="43"/>
  <c r="I129" i="43" s="1"/>
  <c r="I193" i="7"/>
  <c r="AG112" i="7" s="1"/>
  <c r="I127" i="34"/>
  <c r="H249" i="7"/>
  <c r="AF119" i="7" s="1"/>
  <c r="H211" i="43"/>
  <c r="G109" i="43"/>
  <c r="G108" i="34"/>
  <c r="G108" i="43"/>
  <c r="F169" i="43"/>
  <c r="F218" i="7"/>
  <c r="AJ115" i="7" s="1"/>
  <c r="F168" i="43"/>
  <c r="I164" i="43"/>
  <c r="I165" i="43" s="1"/>
  <c r="I163" i="34"/>
  <c r="I217" i="7"/>
  <c r="AG115" i="7" s="1"/>
  <c r="F104" i="43"/>
  <c r="F105" i="43" s="1"/>
  <c r="F103" i="34"/>
  <c r="D241" i="34"/>
  <c r="H140" i="34"/>
  <c r="F241" i="34"/>
  <c r="H212" i="34"/>
  <c r="H213" i="34" s="1"/>
  <c r="D164" i="34"/>
  <c r="H145" i="34"/>
  <c r="I188" i="34"/>
  <c r="H121" i="34"/>
  <c r="H139" i="43"/>
  <c r="H151" i="34"/>
  <c r="H186" i="7"/>
  <c r="AL111" i="7" s="1"/>
  <c r="D199" i="34"/>
  <c r="F240" i="34"/>
  <c r="F241" i="43"/>
  <c r="F242" i="43" s="1"/>
  <c r="D163" i="34"/>
  <c r="I205" i="43"/>
  <c r="H260" i="43"/>
  <c r="G133" i="43"/>
  <c r="F223" i="34"/>
  <c r="F224" i="43"/>
  <c r="G194" i="7"/>
  <c r="AK112" i="7" s="1"/>
  <c r="I187" i="34"/>
  <c r="F152" i="43"/>
  <c r="F151" i="43"/>
  <c r="I120" i="43"/>
  <c r="D177" i="7"/>
  <c r="AB110" i="7" s="1"/>
  <c r="D104" i="43"/>
  <c r="D241" i="43"/>
  <c r="D242" i="43" s="1"/>
  <c r="H144" i="34"/>
  <c r="H145" i="43"/>
  <c r="E209" i="7"/>
  <c r="AC114" i="7" s="1"/>
  <c r="E103" i="43"/>
  <c r="H132" i="34"/>
  <c r="E240" i="34"/>
  <c r="E242" i="34" s="1"/>
  <c r="F193" i="43"/>
  <c r="H210" i="7"/>
  <c r="AL114" i="7" s="1"/>
  <c r="E128" i="43"/>
  <c r="I157" i="43"/>
  <c r="G104" i="43"/>
  <c r="G105" i="43" s="1"/>
  <c r="F169" i="34"/>
  <c r="H212" i="43"/>
  <c r="I216" i="43"/>
  <c r="G103" i="34"/>
  <c r="E177" i="7"/>
  <c r="AC110" i="7" s="1"/>
  <c r="F168" i="34"/>
  <c r="G178" i="7"/>
  <c r="AK110" i="7" s="1"/>
  <c r="F177" i="7"/>
  <c r="AD110" i="7" s="1"/>
  <c r="I228" i="34"/>
  <c r="I229" i="43"/>
  <c r="E192" i="34"/>
  <c r="G181" i="43"/>
  <c r="G182" i="43" s="1"/>
  <c r="E242" i="7"/>
  <c r="AI118" i="7" s="1"/>
  <c r="I259" i="34"/>
  <c r="F249" i="7"/>
  <c r="AD119" i="7" s="1"/>
  <c r="F212" i="43"/>
  <c r="H259" i="43"/>
  <c r="I185" i="7"/>
  <c r="AG111" i="7" s="1"/>
  <c r="I115" i="43"/>
  <c r="E265" i="43"/>
  <c r="E264" i="43"/>
  <c r="E265" i="34"/>
  <c r="E264" i="34"/>
  <c r="F260" i="43"/>
  <c r="F281" i="7"/>
  <c r="AD123" i="7" s="1"/>
  <c r="F259" i="43"/>
  <c r="F260" i="34"/>
  <c r="F261" i="34" s="1"/>
  <c r="E133" i="43"/>
  <c r="E134" i="43" s="1"/>
  <c r="E132" i="34"/>
  <c r="H235" i="34"/>
  <c r="H235" i="43"/>
  <c r="H237" i="43" s="1"/>
  <c r="G240" i="43"/>
  <c r="G241" i="43"/>
  <c r="G139" i="34"/>
  <c r="G139" i="43"/>
  <c r="I212" i="43"/>
  <c r="I211" i="43"/>
  <c r="I249" i="7"/>
  <c r="AG119" i="7" s="1"/>
  <c r="I211" i="34"/>
  <c r="I213" i="34" s="1"/>
  <c r="G164" i="43"/>
  <c r="G163" i="34"/>
  <c r="G165" i="34" s="1"/>
  <c r="G163" i="43"/>
  <c r="G217" i="7"/>
  <c r="AE115" i="7" s="1"/>
  <c r="H252" i="43"/>
  <c r="H252" i="34"/>
  <c r="H253" i="43"/>
  <c r="H274" i="7"/>
  <c r="AL122" i="7" s="1"/>
  <c r="E236" i="43"/>
  <c r="E237" i="43" s="1"/>
  <c r="E265" i="7"/>
  <c r="AC121" i="7" s="1"/>
  <c r="H200" i="43"/>
  <c r="H201" i="43" s="1"/>
  <c r="H199" i="34"/>
  <c r="H241" i="7"/>
  <c r="AF118" i="7" s="1"/>
  <c r="D260" i="43"/>
  <c r="D261" i="43" s="1"/>
  <c r="D259" i="34"/>
  <c r="D260" i="34"/>
  <c r="D281" i="7"/>
  <c r="AB123" i="7" s="1"/>
  <c r="D282" i="7"/>
  <c r="AH123" i="7" s="1"/>
  <c r="D265" i="43"/>
  <c r="D264" i="43"/>
  <c r="D128" i="43"/>
  <c r="D129" i="43" s="1"/>
  <c r="D193" i="7"/>
  <c r="AB112" i="7" s="1"/>
  <c r="H181" i="43"/>
  <c r="H180" i="43"/>
  <c r="H180" i="34"/>
  <c r="H182" i="34" s="1"/>
  <c r="H226" i="7"/>
  <c r="AL116" i="7" s="1"/>
  <c r="I109" i="43"/>
  <c r="I108" i="34"/>
  <c r="I178" i="7"/>
  <c r="AM110" i="7" s="1"/>
  <c r="I108" i="43"/>
  <c r="D248" i="43"/>
  <c r="D247" i="34"/>
  <c r="D273" i="7"/>
  <c r="AB122" i="7" s="1"/>
  <c r="D247" i="43"/>
  <c r="K37" i="38"/>
  <c r="M81" i="37" s="1"/>
  <c r="H332" i="15"/>
  <c r="G338" i="15"/>
  <c r="G337" i="15" s="1"/>
  <c r="G336" i="15" s="1"/>
  <c r="J319" i="3"/>
  <c r="AQ106" i="14" s="1"/>
  <c r="F205" i="3"/>
  <c r="AM103" i="14" s="1"/>
  <c r="H73" i="53"/>
  <c r="AO110" i="14" s="1"/>
  <c r="I160" i="53"/>
  <c r="AP113" i="14" s="1"/>
  <c r="F281" i="56"/>
  <c r="AM95" i="14" s="1"/>
  <c r="G131" i="53"/>
  <c r="AN112" i="14" s="1"/>
  <c r="F205" i="43"/>
  <c r="F204" i="43"/>
  <c r="F242" i="7"/>
  <c r="AJ118" i="7" s="1"/>
  <c r="F204" i="34"/>
  <c r="D157" i="43"/>
  <c r="D156" i="34"/>
  <c r="D156" i="43"/>
  <c r="D210" i="7"/>
  <c r="AH114" i="7" s="1"/>
  <c r="H224" i="43"/>
  <c r="H223" i="43"/>
  <c r="H223" i="34"/>
  <c r="H257" i="7"/>
  <c r="AF120" i="7" s="1"/>
  <c r="D236" i="43"/>
  <c r="D235" i="43"/>
  <c r="D265" i="7"/>
  <c r="AB121" i="7" s="1"/>
  <c r="D235" i="34"/>
  <c r="D237" i="34" s="1"/>
  <c r="H109" i="43"/>
  <c r="H108" i="43"/>
  <c r="H178" i="7"/>
  <c r="AL110" i="7" s="1"/>
  <c r="H108" i="34"/>
  <c r="D217" i="43"/>
  <c r="D216" i="43"/>
  <c r="D250" i="7"/>
  <c r="AH119" i="7" s="1"/>
  <c r="D216" i="34"/>
  <c r="D218" i="34" s="1"/>
  <c r="E145" i="43"/>
  <c r="E202" i="7"/>
  <c r="AI113" i="7" s="1"/>
  <c r="E144" i="34"/>
  <c r="E146" i="34" s="1"/>
  <c r="E144" i="43"/>
  <c r="D188" i="43"/>
  <c r="D233" i="7"/>
  <c r="AB117" i="7" s="1"/>
  <c r="D187" i="43"/>
  <c r="D187" i="34"/>
  <c r="D189" i="34" s="1"/>
  <c r="D180" i="43"/>
  <c r="D226" i="7"/>
  <c r="AH116" i="7" s="1"/>
  <c r="D180" i="34"/>
  <c r="D182" i="34" s="1"/>
  <c r="D181" i="43"/>
  <c r="K36" i="38"/>
  <c r="M80" i="37" s="1"/>
  <c r="L97" i="15"/>
  <c r="F121" i="38"/>
  <c r="L17" i="38" s="1"/>
  <c r="E108" i="38"/>
  <c r="D16" i="38" s="1"/>
  <c r="E77" i="15" s="1"/>
  <c r="F109" i="38"/>
  <c r="L16" i="38" s="1"/>
  <c r="E120" i="38"/>
  <c r="D17" i="38" s="1"/>
  <c r="E78" i="15" s="1"/>
  <c r="J47" i="47"/>
  <c r="J9" i="47" s="1"/>
  <c r="AQ8" i="14" s="1"/>
  <c r="I47" i="47"/>
  <c r="I9" i="47" s="1"/>
  <c r="AP8" i="14" s="1"/>
  <c r="L288" i="44"/>
  <c r="P292" i="44"/>
  <c r="L292" i="44" s="1"/>
  <c r="G332" i="38"/>
  <c r="F338" i="38"/>
  <c r="F336" i="38" s="1"/>
  <c r="E35" i="38" s="1"/>
  <c r="F96" i="15" s="1"/>
  <c r="G140" i="38"/>
  <c r="F146" i="38"/>
  <c r="F144" i="38" s="1"/>
  <c r="E19" i="38" s="1"/>
  <c r="F80" i="15" s="1"/>
  <c r="G284" i="38"/>
  <c r="F290" i="38"/>
  <c r="F288" i="38" s="1"/>
  <c r="E31" i="38" s="1"/>
  <c r="F92" i="15" s="1"/>
  <c r="G128" i="38"/>
  <c r="F134" i="38"/>
  <c r="F132" i="38" s="1"/>
  <c r="E18" i="38" s="1"/>
  <c r="F79" i="15" s="1"/>
  <c r="G260" i="38"/>
  <c r="F266" i="38"/>
  <c r="F264" i="38" s="1"/>
  <c r="E29" i="38" s="1"/>
  <c r="F90" i="15" s="1"/>
  <c r="G200" i="38"/>
  <c r="F206" i="38"/>
  <c r="F204" i="38" s="1"/>
  <c r="E24" i="38" s="1"/>
  <c r="F85" i="15" s="1"/>
  <c r="F254" i="38"/>
  <c r="F252" i="38" s="1"/>
  <c r="E28" i="38" s="1"/>
  <c r="F89" i="15" s="1"/>
  <c r="G248" i="38"/>
  <c r="G278" i="15"/>
  <c r="G277" i="15" s="1"/>
  <c r="G276" i="15" s="1"/>
  <c r="H272" i="15"/>
  <c r="I241" i="45"/>
  <c r="E241" i="45"/>
  <c r="G241" i="45"/>
  <c r="G242" i="45" s="1"/>
  <c r="H241" i="45"/>
  <c r="D241" i="45"/>
  <c r="F241" i="45"/>
  <c r="D236" i="45"/>
  <c r="E236" i="45"/>
  <c r="E237" i="45" s="1"/>
  <c r="I236" i="45"/>
  <c r="I237" i="45" s="1"/>
  <c r="G236" i="45"/>
  <c r="F236" i="45"/>
  <c r="F237" i="45" s="1"/>
  <c r="H236" i="45"/>
  <c r="H237" i="45" s="1"/>
  <c r="E169" i="45"/>
  <c r="E170" i="45" s="1"/>
  <c r="D169" i="45"/>
  <c r="D170" i="45" s="1"/>
  <c r="I169" i="45"/>
  <c r="I170" i="45" s="1"/>
  <c r="F169" i="45"/>
  <c r="F170" i="45" s="1"/>
  <c r="H169" i="45"/>
  <c r="H170" i="45" s="1"/>
  <c r="G169" i="45"/>
  <c r="G170" i="45" s="1"/>
  <c r="H164" i="45"/>
  <c r="H165" i="45" s="1"/>
  <c r="I164" i="45"/>
  <c r="I165" i="45" s="1"/>
  <c r="F164" i="45"/>
  <c r="F165" i="45" s="1"/>
  <c r="G164" i="45"/>
  <c r="G165" i="45" s="1"/>
  <c r="D164" i="45"/>
  <c r="D165" i="45" s="1"/>
  <c r="E164" i="45"/>
  <c r="E165" i="45" s="1"/>
  <c r="H368" i="15"/>
  <c r="G374" i="15"/>
  <c r="G373" i="15" s="1"/>
  <c r="G372" i="15" s="1"/>
  <c r="H398" i="15"/>
  <c r="H397" i="15" s="1"/>
  <c r="H396" i="15" s="1"/>
  <c r="I392" i="15"/>
  <c r="H248" i="15"/>
  <c r="G254" i="15"/>
  <c r="G253" i="15" s="1"/>
  <c r="G252" i="15" s="1"/>
  <c r="H320" i="15"/>
  <c r="G326" i="15"/>
  <c r="G325" i="15" s="1"/>
  <c r="G324" i="15" s="1"/>
  <c r="H416" i="15"/>
  <c r="G422" i="15"/>
  <c r="G421" i="15" s="1"/>
  <c r="G420" i="15" s="1"/>
  <c r="H410" i="15"/>
  <c r="H409" i="15" s="1"/>
  <c r="H408" i="15" s="1"/>
  <c r="I404" i="15"/>
  <c r="N28" i="58"/>
  <c r="M44" i="58"/>
  <c r="Q31" i="58"/>
  <c r="Q47" i="58" s="1"/>
  <c r="P47" i="58"/>
  <c r="M27" i="58"/>
  <c r="L43" i="58"/>
  <c r="L54" i="58" s="1"/>
  <c r="Q30" i="58"/>
  <c r="Q46" i="58" s="1"/>
  <c r="P46" i="58"/>
  <c r="O26" i="58"/>
  <c r="N42" i="58"/>
  <c r="M29" i="60"/>
  <c r="M535" i="60"/>
  <c r="M540" i="60" s="1"/>
  <c r="M513" i="60"/>
  <c r="M518" i="60" s="1"/>
  <c r="M469" i="60"/>
  <c r="M474" i="60" s="1"/>
  <c r="M447" i="60"/>
  <c r="M452" i="60" s="1"/>
  <c r="M403" i="60"/>
  <c r="M408" i="60" s="1"/>
  <c r="M381" i="60"/>
  <c r="M386" i="60" s="1"/>
  <c r="M337" i="60"/>
  <c r="M342" i="60" s="1"/>
  <c r="M315" i="60"/>
  <c r="M320" i="60" s="1"/>
  <c r="M271" i="60"/>
  <c r="M276" i="60" s="1"/>
  <c r="M249" i="60"/>
  <c r="M254" i="60" s="1"/>
  <c r="M205" i="60"/>
  <c r="M210" i="60" s="1"/>
  <c r="M161" i="60"/>
  <c r="M166" i="60" s="1"/>
  <c r="M139" i="60"/>
  <c r="M144" i="60" s="1"/>
  <c r="M117" i="60"/>
  <c r="M122" i="60" s="1"/>
  <c r="M95" i="60"/>
  <c r="M100" i="60" s="1"/>
  <c r="M73" i="60"/>
  <c r="M78" i="60" s="1"/>
  <c r="M557" i="60"/>
  <c r="M562" i="60" s="1"/>
  <c r="M491" i="60"/>
  <c r="M496" i="60" s="1"/>
  <c r="M425" i="60"/>
  <c r="M430" i="60" s="1"/>
  <c r="M359" i="60"/>
  <c r="M364" i="60" s="1"/>
  <c r="M293" i="60"/>
  <c r="M298" i="60" s="1"/>
  <c r="M227" i="60"/>
  <c r="M232" i="60" s="1"/>
  <c r="M183" i="60"/>
  <c r="M188" i="60" s="1"/>
  <c r="M51" i="60"/>
  <c r="M56" i="60" s="1"/>
  <c r="J51" i="47"/>
  <c r="H296" i="38"/>
  <c r="G302" i="38"/>
  <c r="G300" i="38" s="1"/>
  <c r="F32" i="38" s="1"/>
  <c r="G93" i="15" s="1"/>
  <c r="G302" i="15"/>
  <c r="G301" i="15" s="1"/>
  <c r="G300" i="15" s="1"/>
  <c r="H296" i="15"/>
  <c r="H314" i="15"/>
  <c r="H313" i="15" s="1"/>
  <c r="H312" i="15" s="1"/>
  <c r="I308" i="15"/>
  <c r="H350" i="15"/>
  <c r="I344" i="15"/>
  <c r="G349" i="15"/>
  <c r="G348" i="15" s="1"/>
  <c r="J236" i="15"/>
  <c r="I242" i="15"/>
  <c r="I241" i="15" s="1"/>
  <c r="I240" i="15" s="1"/>
  <c r="H212" i="15"/>
  <c r="G218" i="15"/>
  <c r="H224" i="15"/>
  <c r="G230" i="15"/>
  <c r="G229" i="15" s="1"/>
  <c r="G228" i="15" s="1"/>
  <c r="G385" i="15"/>
  <c r="G384" i="15" s="1"/>
  <c r="G194" i="15"/>
  <c r="G193" i="15" s="1"/>
  <c r="G192" i="15" s="1"/>
  <c r="H188" i="15"/>
  <c r="F217" i="15"/>
  <c r="F216" i="15" s="1"/>
  <c r="H386" i="15"/>
  <c r="H385" i="15" s="1"/>
  <c r="H384" i="15" s="1"/>
  <c r="I380" i="15"/>
  <c r="I361" i="15"/>
  <c r="I360" i="15" s="1"/>
  <c r="J362" i="15"/>
  <c r="J361" i="15" s="1"/>
  <c r="J360" i="15" s="1"/>
  <c r="K356" i="15"/>
  <c r="K362" i="15" s="1"/>
  <c r="K361" i="15" s="1"/>
  <c r="K360" i="15" s="1"/>
  <c r="H152" i="38"/>
  <c r="G158" i="38"/>
  <c r="G156" i="38" s="1"/>
  <c r="F20" i="38" s="1"/>
  <c r="G81" i="15" s="1"/>
  <c r="H224" i="38"/>
  <c r="G230" i="38"/>
  <c r="G228" i="38" s="1"/>
  <c r="F26" i="38" s="1"/>
  <c r="G87" i="15" s="1"/>
  <c r="H104" i="38"/>
  <c r="G110" i="38"/>
  <c r="H326" i="38"/>
  <c r="H324" i="38" s="1"/>
  <c r="G34" i="38" s="1"/>
  <c r="H95" i="15" s="1"/>
  <c r="I320" i="38"/>
  <c r="G194" i="38"/>
  <c r="G192" i="38" s="1"/>
  <c r="F23" i="38" s="1"/>
  <c r="G84" i="15" s="1"/>
  <c r="H188" i="38"/>
  <c r="G122" i="38"/>
  <c r="H116" i="38"/>
  <c r="G218" i="38"/>
  <c r="G216" i="38" s="1"/>
  <c r="F25" i="38" s="1"/>
  <c r="G86" i="15" s="1"/>
  <c r="H212" i="38"/>
  <c r="E205" i="34"/>
  <c r="G205" i="34"/>
  <c r="H205" i="34"/>
  <c r="I205" i="34"/>
  <c r="F205" i="34"/>
  <c r="D205" i="34"/>
  <c r="I104" i="34"/>
  <c r="G104" i="34"/>
  <c r="F104" i="34"/>
  <c r="E104" i="34"/>
  <c r="E105" i="34" s="1"/>
  <c r="D104" i="34"/>
  <c r="H104" i="34"/>
  <c r="I236" i="38"/>
  <c r="H242" i="38"/>
  <c r="H240" i="38" s="1"/>
  <c r="G27" i="38" s="1"/>
  <c r="H88" i="15" s="1"/>
  <c r="E229" i="34"/>
  <c r="I229" i="34"/>
  <c r="G229" i="34"/>
  <c r="G230" i="34" s="1"/>
  <c r="D229" i="34"/>
  <c r="F229" i="34"/>
  <c r="H229" i="34"/>
  <c r="D133" i="34"/>
  <c r="H133" i="34"/>
  <c r="G133" i="34"/>
  <c r="E133" i="34"/>
  <c r="F133" i="34"/>
  <c r="I133" i="34"/>
  <c r="D73" i="53"/>
  <c r="D319" i="56"/>
  <c r="C37" i="38"/>
  <c r="D167" i="56"/>
  <c r="D167" i="3"/>
  <c r="D129" i="56"/>
  <c r="D357" i="56"/>
  <c r="D129" i="3"/>
  <c r="D281" i="3"/>
  <c r="D102" i="53"/>
  <c r="D395" i="3"/>
  <c r="D319" i="3"/>
  <c r="D91" i="56"/>
  <c r="D53" i="3"/>
  <c r="D357" i="3"/>
  <c r="D44" i="53"/>
  <c r="D243" i="3"/>
  <c r="D53" i="56"/>
  <c r="D91" i="3"/>
  <c r="D395" i="56"/>
  <c r="D131" i="53"/>
  <c r="D243" i="56"/>
  <c r="D205" i="3"/>
  <c r="D160" i="53"/>
  <c r="S294" i="34"/>
  <c r="H253" i="34"/>
  <c r="D253" i="34"/>
  <c r="E253" i="34"/>
  <c r="I253" i="34"/>
  <c r="G253" i="34"/>
  <c r="F253" i="34"/>
  <c r="D157" i="34"/>
  <c r="I157" i="34"/>
  <c r="I158" i="34" s="1"/>
  <c r="E157" i="34"/>
  <c r="F157" i="34"/>
  <c r="H157" i="34"/>
  <c r="G157" i="34"/>
  <c r="H200" i="34"/>
  <c r="E200" i="34"/>
  <c r="E201" i="34" s="1"/>
  <c r="D200" i="34"/>
  <c r="I200" i="34"/>
  <c r="F200" i="34"/>
  <c r="G200" i="34"/>
  <c r="F109" i="34"/>
  <c r="H109" i="34"/>
  <c r="D109" i="34"/>
  <c r="I109" i="34"/>
  <c r="E109" i="34"/>
  <c r="G109" i="34"/>
  <c r="I224" i="34"/>
  <c r="E224" i="34"/>
  <c r="F224" i="34"/>
  <c r="D224" i="34"/>
  <c r="H224" i="34"/>
  <c r="G224" i="34"/>
  <c r="G128" i="34"/>
  <c r="I128" i="34"/>
  <c r="D128" i="34"/>
  <c r="E128" i="34"/>
  <c r="F128" i="34"/>
  <c r="H128" i="34"/>
  <c r="I272" i="38"/>
  <c r="H278" i="38"/>
  <c r="H276" i="38" s="1"/>
  <c r="G30" i="38" s="1"/>
  <c r="H91" i="15" s="1"/>
  <c r="I164" i="38"/>
  <c r="H170" i="38"/>
  <c r="H168" i="38" s="1"/>
  <c r="G21" i="38" s="1"/>
  <c r="H82" i="15" s="1"/>
  <c r="G248" i="34"/>
  <c r="H248" i="34"/>
  <c r="D248" i="34"/>
  <c r="I248" i="34"/>
  <c r="F248" i="34"/>
  <c r="E248" i="34"/>
  <c r="E249" i="34" s="1"/>
  <c r="G152" i="34"/>
  <c r="H152" i="34"/>
  <c r="D152" i="34"/>
  <c r="F152" i="34"/>
  <c r="I152" i="34"/>
  <c r="E152" i="34"/>
  <c r="J179" i="49"/>
  <c r="J182" i="49" s="1"/>
  <c r="I182" i="49"/>
  <c r="I86" i="47"/>
  <c r="I88" i="47"/>
  <c r="I87" i="47"/>
  <c r="J87" i="47"/>
  <c r="J88" i="47"/>
  <c r="J86" i="47"/>
  <c r="I104" i="47"/>
  <c r="I106" i="47"/>
  <c r="I105" i="47"/>
  <c r="I148" i="49"/>
  <c r="J145" i="49"/>
  <c r="J148" i="49" s="1"/>
  <c r="J104" i="47"/>
  <c r="J105" i="47"/>
  <c r="J106" i="47"/>
  <c r="J28" i="47"/>
  <c r="I31" i="47"/>
  <c r="I178" i="47"/>
  <c r="I177" i="47"/>
  <c r="I176" i="47"/>
  <c r="H32" i="47"/>
  <c r="H33" i="47"/>
  <c r="H34" i="47"/>
  <c r="J177" i="47"/>
  <c r="J178" i="47"/>
  <c r="J176" i="47"/>
  <c r="J26" i="51"/>
  <c r="I29" i="51"/>
  <c r="E51" i="60" l="1"/>
  <c r="E56" i="60" s="1"/>
  <c r="D204" i="3"/>
  <c r="E503" i="60"/>
  <c r="E293" i="60"/>
  <c r="E298" i="60" s="1"/>
  <c r="E459" i="60"/>
  <c r="E183" i="60"/>
  <c r="E188" i="60" s="1"/>
  <c r="E525" i="60"/>
  <c r="E139" i="60"/>
  <c r="E144" i="60" s="1"/>
  <c r="D394" i="3"/>
  <c r="E217" i="60"/>
  <c r="E95" i="60"/>
  <c r="E100" i="60" s="1"/>
  <c r="G164" i="44"/>
  <c r="G165" i="44" s="1"/>
  <c r="O29" i="58"/>
  <c r="E415" i="60"/>
  <c r="E569" i="60"/>
  <c r="E393" i="60"/>
  <c r="E437" i="60"/>
  <c r="E349" i="60"/>
  <c r="E85" i="60"/>
  <c r="E15" i="60"/>
  <c r="E547" i="60"/>
  <c r="S280" i="44"/>
  <c r="Q280" i="44"/>
  <c r="M280" i="44" s="1"/>
  <c r="H104" i="44" s="1"/>
  <c r="H105" i="44" s="1"/>
  <c r="M151" i="60"/>
  <c r="E481" i="60"/>
  <c r="M63" i="60"/>
  <c r="M85" i="60"/>
  <c r="D38" i="53"/>
  <c r="D39" i="53" s="1"/>
  <c r="D68" i="53" s="1"/>
  <c r="D97" i="53" s="1"/>
  <c r="D126" i="53" s="1"/>
  <c r="D155" i="53" s="1"/>
  <c r="D199" i="3"/>
  <c r="D200" i="3" s="1"/>
  <c r="D67" i="53"/>
  <c r="D159" i="53"/>
  <c r="E283" i="60"/>
  <c r="E41" i="60"/>
  <c r="D47" i="56"/>
  <c r="D48" i="56" s="1"/>
  <c r="D318" i="56"/>
  <c r="E239" i="60"/>
  <c r="B146" i="14"/>
  <c r="C40" i="38" s="1"/>
  <c r="E151" i="60"/>
  <c r="E16" i="60"/>
  <c r="E107" i="60"/>
  <c r="E63" i="60"/>
  <c r="R280" i="44"/>
  <c r="N280" i="44" s="1"/>
  <c r="I109" i="44" s="1"/>
  <c r="I110" i="44" s="1"/>
  <c r="D313" i="3"/>
  <c r="D314" i="3" s="1"/>
  <c r="M283" i="60"/>
  <c r="M217" i="60"/>
  <c r="D389" i="56"/>
  <c r="D390" i="56" s="1"/>
  <c r="D123" i="3"/>
  <c r="D124" i="3" s="1"/>
  <c r="M327" i="60"/>
  <c r="M261" i="60"/>
  <c r="D125" i="53"/>
  <c r="D199" i="56"/>
  <c r="D200" i="56" s="1"/>
  <c r="D313" i="56"/>
  <c r="D314" i="56" s="1"/>
  <c r="D389" i="3"/>
  <c r="D390" i="3" s="1"/>
  <c r="E195" i="60"/>
  <c r="E129" i="60"/>
  <c r="M239" i="60"/>
  <c r="M173" i="60"/>
  <c r="M107" i="60"/>
  <c r="D351" i="56"/>
  <c r="D352" i="56" s="1"/>
  <c r="C146" i="14"/>
  <c r="C41" i="38" s="1"/>
  <c r="D237" i="3"/>
  <c r="D238" i="3" s="1"/>
  <c r="D275" i="3"/>
  <c r="D276" i="3" s="1"/>
  <c r="M569" i="60"/>
  <c r="D85" i="3"/>
  <c r="D86" i="3" s="1"/>
  <c r="D237" i="56"/>
  <c r="D238" i="56" s="1"/>
  <c r="M481" i="60"/>
  <c r="D47" i="3"/>
  <c r="D48" i="3" s="1"/>
  <c r="M503" i="60"/>
  <c r="M437" i="60"/>
  <c r="D161" i="3"/>
  <c r="D162" i="3" s="1"/>
  <c r="D280" i="3"/>
  <c r="M393" i="60"/>
  <c r="D161" i="56"/>
  <c r="D162" i="56" s="1"/>
  <c r="D52" i="56"/>
  <c r="E371" i="60"/>
  <c r="E305" i="60"/>
  <c r="M415" i="60"/>
  <c r="M349" i="60"/>
  <c r="D123" i="56"/>
  <c r="D124" i="56" s="1"/>
  <c r="D96" i="53"/>
  <c r="C142" i="14"/>
  <c r="D15" i="53" s="1"/>
  <c r="D154" i="53"/>
  <c r="M525" i="60"/>
  <c r="D351" i="3"/>
  <c r="D352" i="3" s="1"/>
  <c r="M547" i="60"/>
  <c r="D85" i="56"/>
  <c r="D86" i="56" s="1"/>
  <c r="M459" i="60"/>
  <c r="E513" i="60"/>
  <c r="E518" i="60" s="1"/>
  <c r="E327" i="60"/>
  <c r="M371" i="60"/>
  <c r="M305" i="60"/>
  <c r="B142" i="14"/>
  <c r="D14" i="53" s="1"/>
  <c r="F357" i="3"/>
  <c r="AM107" i="14" s="1"/>
  <c r="F164" i="44"/>
  <c r="F165" i="44" s="1"/>
  <c r="G169" i="44"/>
  <c r="G170" i="44" s="1"/>
  <c r="H205" i="3"/>
  <c r="AO103" i="14" s="1"/>
  <c r="D164" i="44"/>
  <c r="D165" i="44" s="1"/>
  <c r="I164" i="44"/>
  <c r="I165" i="44" s="1"/>
  <c r="H164" i="44"/>
  <c r="H165" i="44" s="1"/>
  <c r="F395" i="3"/>
  <c r="AM108" i="14" s="1"/>
  <c r="H243" i="3"/>
  <c r="AO104" i="14" s="1"/>
  <c r="G395" i="56"/>
  <c r="AN98" i="14" s="1"/>
  <c r="E281" i="56"/>
  <c r="AL95" i="14" s="1"/>
  <c r="F357" i="56"/>
  <c r="AM97" i="14" s="1"/>
  <c r="E357" i="3"/>
  <c r="AL107" i="14" s="1"/>
  <c r="J395" i="3"/>
  <c r="AQ108" i="14" s="1"/>
  <c r="J167" i="56"/>
  <c r="AQ92" i="14" s="1"/>
  <c r="H395" i="56"/>
  <c r="AO98" i="14" s="1"/>
  <c r="E395" i="3"/>
  <c r="AL108" i="14" s="1"/>
  <c r="E243" i="56"/>
  <c r="AL94" i="14" s="1"/>
  <c r="J160" i="53"/>
  <c r="AQ113" i="14" s="1"/>
  <c r="I205" i="3"/>
  <c r="AP103" i="14" s="1"/>
  <c r="E205" i="56"/>
  <c r="AL93" i="14" s="1"/>
  <c r="I205" i="56"/>
  <c r="AP93" i="14" s="1"/>
  <c r="H131" i="53"/>
  <c r="AO112" i="14" s="1"/>
  <c r="F160" i="53"/>
  <c r="AM113" i="14" s="1"/>
  <c r="G281" i="3"/>
  <c r="AN105" i="14" s="1"/>
  <c r="E73" i="53"/>
  <c r="AL110" i="14" s="1"/>
  <c r="G395" i="3"/>
  <c r="AN108" i="14" s="1"/>
  <c r="G319" i="3"/>
  <c r="AN106" i="14" s="1"/>
  <c r="I395" i="3"/>
  <c r="AP108" i="14" s="1"/>
  <c r="F281" i="3"/>
  <c r="AM105" i="14" s="1"/>
  <c r="E243" i="3"/>
  <c r="AL104" i="14" s="1"/>
  <c r="E167" i="56"/>
  <c r="AL92" i="14" s="1"/>
  <c r="E205" i="3"/>
  <c r="AL103" i="14" s="1"/>
  <c r="I243" i="56"/>
  <c r="AP94" i="14" s="1"/>
  <c r="G73" i="53"/>
  <c r="AN110" i="14" s="1"/>
  <c r="H281" i="3"/>
  <c r="AO105" i="14" s="1"/>
  <c r="J395" i="56"/>
  <c r="AQ98" i="14" s="1"/>
  <c r="J102" i="53"/>
  <c r="AQ111" i="14" s="1"/>
  <c r="J243" i="3"/>
  <c r="AQ104" i="14" s="1"/>
  <c r="G357" i="56"/>
  <c r="AN97" i="14" s="1"/>
  <c r="F73" i="53"/>
  <c r="AM110" i="14" s="1"/>
  <c r="E102" i="53"/>
  <c r="AL111" i="14" s="1"/>
  <c r="I281" i="3"/>
  <c r="AP105" i="14" s="1"/>
  <c r="F243" i="3"/>
  <c r="AM104" i="14" s="1"/>
  <c r="I169" i="44"/>
  <c r="I170" i="44" s="1"/>
  <c r="E169" i="44"/>
  <c r="E170" i="44" s="1"/>
  <c r="H169" i="44"/>
  <c r="H170" i="44" s="1"/>
  <c r="F169" i="44"/>
  <c r="F170" i="44" s="1"/>
  <c r="AN64" i="14"/>
  <c r="D234" i="56"/>
  <c r="D272" i="3"/>
  <c r="F102" i="53"/>
  <c r="AM111" i="14" s="1"/>
  <c r="D158" i="56"/>
  <c r="F319" i="56"/>
  <c r="AM96" i="14" s="1"/>
  <c r="F131" i="53"/>
  <c r="AM112" i="14" s="1"/>
  <c r="D120" i="3"/>
  <c r="D120" i="56"/>
  <c r="D44" i="56"/>
  <c r="D386" i="56"/>
  <c r="D310" i="3"/>
  <c r="D196" i="56"/>
  <c r="J167" i="3"/>
  <c r="AQ102" i="14" s="1"/>
  <c r="D158" i="3"/>
  <c r="D82" i="56"/>
  <c r="E160" i="53"/>
  <c r="AL113" i="14" s="1"/>
  <c r="I395" i="56"/>
  <c r="AP98" i="14" s="1"/>
  <c r="D151" i="53"/>
  <c r="J205" i="56"/>
  <c r="AQ93" i="14" s="1"/>
  <c r="D93" i="53"/>
  <c r="D35" i="53"/>
  <c r="J205" i="3"/>
  <c r="AQ103" i="14" s="1"/>
  <c r="I131" i="53"/>
  <c r="AP112" i="14" s="1"/>
  <c r="H160" i="53"/>
  <c r="AO113" i="14" s="1"/>
  <c r="F205" i="56"/>
  <c r="AM93" i="14" s="1"/>
  <c r="I357" i="56"/>
  <c r="AP97" i="14" s="1"/>
  <c r="D44" i="3"/>
  <c r="H395" i="3"/>
  <c r="AO108" i="14" s="1"/>
  <c r="D348" i="56"/>
  <c r="D310" i="56"/>
  <c r="H357" i="3"/>
  <c r="AO107" i="14" s="1"/>
  <c r="J73" i="53"/>
  <c r="AQ110" i="14" s="1"/>
  <c r="D272" i="56"/>
  <c r="H167" i="56"/>
  <c r="AO92" i="14" s="1"/>
  <c r="D122" i="53"/>
  <c r="H167" i="3"/>
  <c r="AO102" i="14" s="1"/>
  <c r="D82" i="3"/>
  <c r="D386" i="3"/>
  <c r="D234" i="3"/>
  <c r="I167" i="56"/>
  <c r="AP92" i="14" s="1"/>
  <c r="E319" i="56"/>
  <c r="AL96" i="14" s="1"/>
  <c r="D348" i="3"/>
  <c r="J281" i="3"/>
  <c r="AQ105" i="14" s="1"/>
  <c r="D64" i="53"/>
  <c r="H205" i="56"/>
  <c r="AO93" i="14" s="1"/>
  <c r="J281" i="56"/>
  <c r="AQ95" i="14" s="1"/>
  <c r="E131" i="53"/>
  <c r="AL112" i="14" s="1"/>
  <c r="H243" i="56"/>
  <c r="AO94" i="14" s="1"/>
  <c r="I319" i="3"/>
  <c r="AP106" i="14" s="1"/>
  <c r="I102" i="53"/>
  <c r="AP111" i="14" s="1"/>
  <c r="H357" i="56"/>
  <c r="AO97" i="14" s="1"/>
  <c r="H319" i="3"/>
  <c r="AO106" i="14" s="1"/>
  <c r="G205" i="56"/>
  <c r="AN93" i="14" s="1"/>
  <c r="E281" i="3"/>
  <c r="AL105" i="14" s="1"/>
  <c r="G243" i="3"/>
  <c r="AN104" i="14" s="1"/>
  <c r="E319" i="3"/>
  <c r="AL106" i="14" s="1"/>
  <c r="E227" i="60"/>
  <c r="E232" i="60" s="1"/>
  <c r="D242" i="56"/>
  <c r="G357" i="3"/>
  <c r="AN107" i="14" s="1"/>
  <c r="D242" i="3"/>
  <c r="E73" i="60"/>
  <c r="E78" i="60" s="1"/>
  <c r="E315" i="60"/>
  <c r="E320" i="60" s="1"/>
  <c r="E557" i="60"/>
  <c r="E562" i="60" s="1"/>
  <c r="D90" i="3"/>
  <c r="E469" i="60"/>
  <c r="E474" i="60" s="1"/>
  <c r="D356" i="56"/>
  <c r="D101" i="53"/>
  <c r="E249" i="60"/>
  <c r="E254" i="60" s="1"/>
  <c r="D318" i="3"/>
  <c r="E117" i="60"/>
  <c r="E122" i="60" s="1"/>
  <c r="E535" i="60"/>
  <c r="E540" i="60" s="1"/>
  <c r="D128" i="3"/>
  <c r="D128" i="56"/>
  <c r="E381" i="60"/>
  <c r="E386" i="60" s="1"/>
  <c r="E337" i="60"/>
  <c r="E342" i="60" s="1"/>
  <c r="D43" i="53"/>
  <c r="D166" i="56"/>
  <c r="E359" i="60"/>
  <c r="E364" i="60" s="1"/>
  <c r="D394" i="56"/>
  <c r="D52" i="3"/>
  <c r="E271" i="60"/>
  <c r="E276" i="60" s="1"/>
  <c r="D356" i="3"/>
  <c r="D90" i="56"/>
  <c r="G281" i="56"/>
  <c r="AN95" i="14" s="1"/>
  <c r="E447" i="60"/>
  <c r="E452" i="60" s="1"/>
  <c r="E403" i="60"/>
  <c r="E408" i="60" s="1"/>
  <c r="E425" i="60"/>
  <c r="E430" i="60" s="1"/>
  <c r="E205" i="60"/>
  <c r="E210" i="60" s="1"/>
  <c r="D72" i="53"/>
  <c r="H319" i="56"/>
  <c r="AO96" i="14" s="1"/>
  <c r="E491" i="60"/>
  <c r="E496" i="60" s="1"/>
  <c r="D130" i="53"/>
  <c r="E161" i="60"/>
  <c r="E166" i="60" s="1"/>
  <c r="D166" i="3"/>
  <c r="G160" i="53"/>
  <c r="AN113" i="14" s="1"/>
  <c r="J319" i="56"/>
  <c r="AQ96" i="14" s="1"/>
  <c r="G319" i="56"/>
  <c r="AN96" i="14" s="1"/>
  <c r="J243" i="56"/>
  <c r="AQ94" i="14" s="1"/>
  <c r="J357" i="3"/>
  <c r="AQ107" i="14" s="1"/>
  <c r="I319" i="56"/>
  <c r="AP96" i="14" s="1"/>
  <c r="E167" i="3"/>
  <c r="AL102" i="14" s="1"/>
  <c r="I281" i="56"/>
  <c r="AP95" i="14" s="1"/>
  <c r="E395" i="56"/>
  <c r="AL98" i="14" s="1"/>
  <c r="I357" i="3"/>
  <c r="AP107" i="14" s="1"/>
  <c r="H281" i="56"/>
  <c r="AO95" i="14" s="1"/>
  <c r="F167" i="56"/>
  <c r="AM92" i="14" s="1"/>
  <c r="G243" i="56"/>
  <c r="AN94" i="14" s="1"/>
  <c r="F395" i="56"/>
  <c r="AM98" i="14" s="1"/>
  <c r="H102" i="53"/>
  <c r="AO111" i="14" s="1"/>
  <c r="I167" i="3"/>
  <c r="AP102" i="14" s="1"/>
  <c r="G167" i="56"/>
  <c r="AN92" i="14" s="1"/>
  <c r="F167" i="3"/>
  <c r="AM102" i="14" s="1"/>
  <c r="J131" i="53"/>
  <c r="AQ112" i="14" s="1"/>
  <c r="J357" i="56"/>
  <c r="AQ97" i="14" s="1"/>
  <c r="AP65" i="14"/>
  <c r="I243" i="3"/>
  <c r="AP104" i="14" s="1"/>
  <c r="AP71" i="14"/>
  <c r="I73" i="53"/>
  <c r="AP110" i="14" s="1"/>
  <c r="AH112" i="50"/>
  <c r="AI456" i="50" s="1"/>
  <c r="E98" i="45"/>
  <c r="G116" i="44"/>
  <c r="G117" i="44" s="1"/>
  <c r="F241" i="44"/>
  <c r="F242" i="44" s="1"/>
  <c r="E242" i="45"/>
  <c r="D242" i="45"/>
  <c r="F116" i="44"/>
  <c r="F117" i="44" s="1"/>
  <c r="G241" i="44"/>
  <c r="G242" i="44" s="1"/>
  <c r="D116" i="44"/>
  <c r="D117" i="44" s="1"/>
  <c r="H116" i="44"/>
  <c r="H117" i="44" s="1"/>
  <c r="E241" i="44"/>
  <c r="E242" i="44" s="1"/>
  <c r="H241" i="44"/>
  <c r="H242" i="44" s="1"/>
  <c r="I116" i="44"/>
  <c r="I117" i="44" s="1"/>
  <c r="E249" i="43"/>
  <c r="I241" i="44"/>
  <c r="I242" i="44" s="1"/>
  <c r="D121" i="44"/>
  <c r="D122" i="44" s="1"/>
  <c r="H121" i="44"/>
  <c r="H122" i="44" s="1"/>
  <c r="D237" i="45"/>
  <c r="I121" i="44"/>
  <c r="I122" i="44" s="1"/>
  <c r="E121" i="44"/>
  <c r="E122" i="44" s="1"/>
  <c r="F121" i="44"/>
  <c r="F122" i="44" s="1"/>
  <c r="Q290" i="44"/>
  <c r="M290" i="44" s="1"/>
  <c r="F224" i="44" s="1"/>
  <c r="F225" i="44" s="1"/>
  <c r="T290" i="44"/>
  <c r="D242" i="44"/>
  <c r="S290" i="44"/>
  <c r="R279" i="44"/>
  <c r="N279" i="44" s="1"/>
  <c r="D97" i="44" s="1"/>
  <c r="D98" i="44" s="1"/>
  <c r="T279" i="44"/>
  <c r="Q279" i="44"/>
  <c r="M279" i="44" s="1"/>
  <c r="H92" i="44" s="1"/>
  <c r="H93" i="44" s="1"/>
  <c r="F236" i="44"/>
  <c r="F237" i="44" s="1"/>
  <c r="G236" i="44"/>
  <c r="G237" i="44" s="1"/>
  <c r="I236" i="44"/>
  <c r="I237" i="44" s="1"/>
  <c r="H236" i="44"/>
  <c r="H237" i="44" s="1"/>
  <c r="E236" i="44"/>
  <c r="E237" i="44" s="1"/>
  <c r="I242" i="45"/>
  <c r="G237" i="45"/>
  <c r="H29" i="47"/>
  <c r="G8" i="47"/>
  <c r="AN7" i="14" s="1"/>
  <c r="E117" i="34"/>
  <c r="E122" i="43"/>
  <c r="E182" i="43"/>
  <c r="G170" i="43"/>
  <c r="H165" i="34"/>
  <c r="H242" i="45"/>
  <c r="I242" i="34"/>
  <c r="F242" i="45"/>
  <c r="F176" i="45"/>
  <c r="F177" i="45" s="1"/>
  <c r="H176" i="45"/>
  <c r="H177" i="45" s="1"/>
  <c r="E181" i="45"/>
  <c r="E182" i="45" s="1"/>
  <c r="I181" i="45"/>
  <c r="I182" i="45" s="1"/>
  <c r="E145" i="44"/>
  <c r="E146" i="44" s="1"/>
  <c r="F145" i="44"/>
  <c r="F146" i="44" s="1"/>
  <c r="I145" i="44"/>
  <c r="I146" i="44" s="1"/>
  <c r="G145" i="44"/>
  <c r="G146" i="44" s="1"/>
  <c r="D145" i="44"/>
  <c r="D146" i="44" s="1"/>
  <c r="H145" i="44"/>
  <c r="H146" i="44" s="1"/>
  <c r="S292" i="44"/>
  <c r="Q292" i="44"/>
  <c r="M292" i="44" s="1"/>
  <c r="T292" i="44"/>
  <c r="R292" i="44"/>
  <c r="N292" i="44" s="1"/>
  <c r="S288" i="44"/>
  <c r="Q288" i="44"/>
  <c r="M288" i="44" s="1"/>
  <c r="T288" i="44"/>
  <c r="R288" i="44"/>
  <c r="N288" i="44" s="1"/>
  <c r="G205" i="44" s="1"/>
  <c r="G206" i="44" s="1"/>
  <c r="S276" i="44"/>
  <c r="Q276" i="44"/>
  <c r="M276" i="44" s="1"/>
  <c r="T276" i="44"/>
  <c r="R276" i="44"/>
  <c r="N276" i="44" s="1"/>
  <c r="K276" i="45"/>
  <c r="S276" i="45" s="1"/>
  <c r="K278" i="45"/>
  <c r="S278" i="45" s="1"/>
  <c r="S278" i="44"/>
  <c r="Q278" i="44"/>
  <c r="M278" i="44" s="1"/>
  <c r="T278" i="44"/>
  <c r="R278" i="44"/>
  <c r="N278" i="44" s="1"/>
  <c r="E224" i="45"/>
  <c r="E225" i="45" s="1"/>
  <c r="H224" i="45"/>
  <c r="H225" i="45" s="1"/>
  <c r="F224" i="45"/>
  <c r="F225" i="45" s="1"/>
  <c r="G224" i="45"/>
  <c r="G225" i="45" s="1"/>
  <c r="D224" i="45"/>
  <c r="D225" i="45" s="1"/>
  <c r="I224" i="45"/>
  <c r="I225" i="45" s="1"/>
  <c r="E121" i="45"/>
  <c r="E122" i="45" s="1"/>
  <c r="I121" i="45"/>
  <c r="I122" i="45" s="1"/>
  <c r="D121" i="45"/>
  <c r="D122" i="45" s="1"/>
  <c r="H121" i="45"/>
  <c r="H122" i="45" s="1"/>
  <c r="G121" i="45"/>
  <c r="G122" i="45" s="1"/>
  <c r="F121" i="45"/>
  <c r="F122" i="45" s="1"/>
  <c r="E205" i="45"/>
  <c r="E206" i="45" s="1"/>
  <c r="F205" i="45"/>
  <c r="F206" i="45" s="1"/>
  <c r="D205" i="45"/>
  <c r="D206" i="45" s="1"/>
  <c r="G205" i="45"/>
  <c r="G206" i="45" s="1"/>
  <c r="I205" i="45"/>
  <c r="I206" i="45" s="1"/>
  <c r="H205" i="45"/>
  <c r="H206" i="45" s="1"/>
  <c r="S275" i="45"/>
  <c r="R275" i="45"/>
  <c r="M275" i="45" s="1"/>
  <c r="Q275" i="45"/>
  <c r="L275" i="45" s="1"/>
  <c r="T275" i="45"/>
  <c r="T274" i="45"/>
  <c r="S274" i="45"/>
  <c r="R274" i="45"/>
  <c r="M274" i="45" s="1"/>
  <c r="Q274" i="45"/>
  <c r="L274" i="45" s="1"/>
  <c r="S289" i="45"/>
  <c r="R289" i="45"/>
  <c r="M289" i="45" s="1"/>
  <c r="Q289" i="45"/>
  <c r="L289" i="45" s="1"/>
  <c r="T289" i="45"/>
  <c r="L52" i="45"/>
  <c r="S277" i="45"/>
  <c r="R277" i="45"/>
  <c r="M277" i="45" s="1"/>
  <c r="Q277" i="45"/>
  <c r="L277" i="45" s="1"/>
  <c r="T277" i="45"/>
  <c r="E116" i="45"/>
  <c r="E117" i="45" s="1"/>
  <c r="G181" i="45"/>
  <c r="G182" i="45" s="1"/>
  <c r="H181" i="45"/>
  <c r="H182" i="45" s="1"/>
  <c r="D181" i="45"/>
  <c r="D182" i="45" s="1"/>
  <c r="F181" i="45"/>
  <c r="F182" i="45" s="1"/>
  <c r="L76" i="45"/>
  <c r="D212" i="44"/>
  <c r="D213" i="44" s="1"/>
  <c r="D217" i="44"/>
  <c r="D218" i="44" s="1"/>
  <c r="L52" i="44"/>
  <c r="E212" i="44"/>
  <c r="E213" i="44" s="1"/>
  <c r="G217" i="44"/>
  <c r="G218" i="44" s="1"/>
  <c r="H212" i="44"/>
  <c r="H213" i="44" s="1"/>
  <c r="H217" i="44"/>
  <c r="H218" i="44" s="1"/>
  <c r="H116" i="45"/>
  <c r="H117" i="45" s="1"/>
  <c r="I116" i="45"/>
  <c r="I117" i="45" s="1"/>
  <c r="F212" i="44"/>
  <c r="F213" i="44" s="1"/>
  <c r="I217" i="44"/>
  <c r="I218" i="44" s="1"/>
  <c r="I212" i="44"/>
  <c r="I213" i="44" s="1"/>
  <c r="E217" i="44"/>
  <c r="E218" i="44" s="1"/>
  <c r="F201" i="43"/>
  <c r="F116" i="45"/>
  <c r="F117" i="45" s="1"/>
  <c r="G116" i="45"/>
  <c r="G117" i="45" s="1"/>
  <c r="I260" i="15"/>
  <c r="H266" i="15"/>
  <c r="H265" i="15" s="1"/>
  <c r="H264" i="15" s="1"/>
  <c r="L208" i="45"/>
  <c r="G165" i="43"/>
  <c r="E237" i="34"/>
  <c r="S294" i="43"/>
  <c r="H273" i="43" s="1"/>
  <c r="F201" i="34"/>
  <c r="H242" i="43"/>
  <c r="G182" i="34"/>
  <c r="G261" i="43"/>
  <c r="I146" i="43"/>
  <c r="F177" i="34"/>
  <c r="I242" i="43"/>
  <c r="D213" i="34"/>
  <c r="F261" i="43"/>
  <c r="G230" i="43"/>
  <c r="I153" i="43"/>
  <c r="H117" i="43"/>
  <c r="I218" i="34"/>
  <c r="H176" i="38"/>
  <c r="G182" i="38"/>
  <c r="G180" i="38" s="1"/>
  <c r="F22" i="38" s="1"/>
  <c r="G83" i="15" s="1"/>
  <c r="G314" i="38"/>
  <c r="G312" i="38" s="1"/>
  <c r="F33" i="38" s="1"/>
  <c r="G94" i="15" s="1"/>
  <c r="H308" i="38"/>
  <c r="L40" i="45"/>
  <c r="L28" i="45"/>
  <c r="E158" i="34"/>
  <c r="H129" i="34"/>
  <c r="G218" i="43"/>
  <c r="H165" i="43"/>
  <c r="I153" i="34"/>
  <c r="G153" i="34"/>
  <c r="I176" i="44"/>
  <c r="I177" i="44" s="1"/>
  <c r="F170" i="43"/>
  <c r="D206" i="43"/>
  <c r="H254" i="34"/>
  <c r="F176" i="44"/>
  <c r="F177" i="44" s="1"/>
  <c r="I218" i="43"/>
  <c r="H146" i="34"/>
  <c r="D194" i="34"/>
  <c r="F182" i="34"/>
  <c r="H194" i="34"/>
  <c r="E153" i="34"/>
  <c r="F153" i="34"/>
  <c r="I249" i="34"/>
  <c r="F230" i="34"/>
  <c r="F105" i="34"/>
  <c r="G176" i="45"/>
  <c r="G177" i="45" s="1"/>
  <c r="I158" i="43"/>
  <c r="D165" i="34"/>
  <c r="I141" i="34"/>
  <c r="D129" i="34"/>
  <c r="H206" i="34"/>
  <c r="G176" i="44"/>
  <c r="G177" i="44" s="1"/>
  <c r="H206" i="43"/>
  <c r="E261" i="34"/>
  <c r="D177" i="34"/>
  <c r="E170" i="43"/>
  <c r="Z357" i="50"/>
  <c r="K355" i="50"/>
  <c r="K354" i="50"/>
  <c r="K356" i="50"/>
  <c r="G355" i="50"/>
  <c r="Z353" i="50"/>
  <c r="G356" i="50"/>
  <c r="G354" i="50"/>
  <c r="I362" i="50"/>
  <c r="AA355" i="50"/>
  <c r="I363" i="50"/>
  <c r="I364" i="50"/>
  <c r="H356" i="50"/>
  <c r="H355" i="50"/>
  <c r="H354" i="50"/>
  <c r="Z354" i="50"/>
  <c r="K363" i="50"/>
  <c r="K364" i="50"/>
  <c r="AA357" i="50"/>
  <c r="K362" i="50"/>
  <c r="F363" i="50"/>
  <c r="F364" i="50"/>
  <c r="F362" i="50"/>
  <c r="AA352" i="50"/>
  <c r="AC79" i="50"/>
  <c r="F378" i="50"/>
  <c r="F377" i="50" s="1"/>
  <c r="G370" i="50"/>
  <c r="G369" i="50" s="1"/>
  <c r="K370" i="50"/>
  <c r="K369" i="50" s="1"/>
  <c r="J370" i="50"/>
  <c r="J369" i="50" s="1"/>
  <c r="I370" i="50"/>
  <c r="I369" i="50" s="1"/>
  <c r="K378" i="50"/>
  <c r="K377" i="50" s="1"/>
  <c r="G378" i="50"/>
  <c r="G377" i="50" s="1"/>
  <c r="J378" i="50"/>
  <c r="J377" i="50" s="1"/>
  <c r="I378" i="50"/>
  <c r="I377" i="50" s="1"/>
  <c r="H378" i="50"/>
  <c r="H377" i="50" s="1"/>
  <c r="H370" i="50"/>
  <c r="H369" i="50" s="1"/>
  <c r="F370" i="50"/>
  <c r="F369" i="50" s="1"/>
  <c r="Z355" i="50"/>
  <c r="I356" i="50"/>
  <c r="I354" i="50"/>
  <c r="I355" i="50"/>
  <c r="F355" i="50"/>
  <c r="F356" i="50"/>
  <c r="F354" i="50"/>
  <c r="Z352" i="50"/>
  <c r="J362" i="50"/>
  <c r="J363" i="50"/>
  <c r="J364" i="50"/>
  <c r="AA356" i="50"/>
  <c r="AA353" i="50"/>
  <c r="G364" i="50"/>
  <c r="G363" i="50"/>
  <c r="G362" i="50"/>
  <c r="H363" i="50"/>
  <c r="H362" i="50"/>
  <c r="H364" i="50"/>
  <c r="AA354" i="50"/>
  <c r="Z356" i="50"/>
  <c r="J356" i="50"/>
  <c r="J355" i="50"/>
  <c r="J354" i="50"/>
  <c r="G110" i="43"/>
  <c r="D189" i="43"/>
  <c r="D176" i="45"/>
  <c r="D177" i="45" s="1"/>
  <c r="E176" i="45"/>
  <c r="E177" i="45" s="1"/>
  <c r="I176" i="45"/>
  <c r="I177" i="45" s="1"/>
  <c r="G141" i="34"/>
  <c r="H153" i="43"/>
  <c r="D158" i="43"/>
  <c r="D141" i="43"/>
  <c r="I254" i="34"/>
  <c r="G206" i="34"/>
  <c r="G141" i="43"/>
  <c r="E105" i="43"/>
  <c r="I177" i="34"/>
  <c r="I105" i="43"/>
  <c r="D122" i="34"/>
  <c r="F237" i="34"/>
  <c r="G189" i="43"/>
  <c r="D117" i="43"/>
  <c r="G117" i="34"/>
  <c r="H189" i="43"/>
  <c r="G189" i="34"/>
  <c r="F213" i="43"/>
  <c r="H141" i="43"/>
  <c r="G146" i="34"/>
  <c r="E218" i="43"/>
  <c r="E177" i="43"/>
  <c r="H230" i="43"/>
  <c r="E141" i="43"/>
  <c r="D266" i="34"/>
  <c r="D128" i="44"/>
  <c r="D129" i="44" s="1"/>
  <c r="F200" i="45"/>
  <c r="F201" i="45" s="1"/>
  <c r="H194" i="43"/>
  <c r="H134" i="34"/>
  <c r="I140" i="45"/>
  <c r="I141" i="45" s="1"/>
  <c r="N370" i="58"/>
  <c r="M386" i="58"/>
  <c r="N142" i="58"/>
  <c r="M158" i="58"/>
  <c r="N218" i="58"/>
  <c r="M234" i="58"/>
  <c r="N256" i="58"/>
  <c r="M272" i="58"/>
  <c r="N294" i="58"/>
  <c r="M310" i="58"/>
  <c r="N332" i="58"/>
  <c r="M348" i="58"/>
  <c r="O371" i="58"/>
  <c r="N387" i="58"/>
  <c r="N180" i="58"/>
  <c r="M196" i="58"/>
  <c r="O219" i="58"/>
  <c r="N235" i="58"/>
  <c r="N66" i="58"/>
  <c r="M82" i="58"/>
  <c r="O257" i="58"/>
  <c r="N273" i="58"/>
  <c r="O67" i="58"/>
  <c r="N83" i="58"/>
  <c r="O295" i="58"/>
  <c r="N311" i="58"/>
  <c r="O333" i="58"/>
  <c r="N349" i="58"/>
  <c r="O143" i="58"/>
  <c r="N159" i="58"/>
  <c r="O181" i="58"/>
  <c r="N197" i="58"/>
  <c r="M120" i="58"/>
  <c r="N104" i="58"/>
  <c r="N121" i="58"/>
  <c r="O105" i="58"/>
  <c r="P123" i="58"/>
  <c r="Q107" i="58"/>
  <c r="Q123" i="58" s="1"/>
  <c r="K118" i="58"/>
  <c r="L102" i="58"/>
  <c r="L119" i="58"/>
  <c r="M103" i="58"/>
  <c r="O122" i="58"/>
  <c r="P106" i="58"/>
  <c r="L309" i="58"/>
  <c r="M293" i="58"/>
  <c r="O198" i="58"/>
  <c r="P182" i="58"/>
  <c r="L385" i="58"/>
  <c r="M369" i="58"/>
  <c r="K346" i="58"/>
  <c r="L330" i="58"/>
  <c r="K308" i="58"/>
  <c r="L292" i="58"/>
  <c r="O274" i="58"/>
  <c r="P258" i="58"/>
  <c r="L195" i="58"/>
  <c r="M179" i="58"/>
  <c r="P199" i="58"/>
  <c r="Q183" i="58"/>
  <c r="Q199" i="58" s="1"/>
  <c r="P85" i="58"/>
  <c r="Q69" i="58"/>
  <c r="Q85" i="58" s="1"/>
  <c r="P351" i="58"/>
  <c r="Q335" i="58"/>
  <c r="Q351" i="58" s="1"/>
  <c r="L271" i="58"/>
  <c r="M255" i="58"/>
  <c r="K156" i="58"/>
  <c r="L140" i="58"/>
  <c r="O388" i="58"/>
  <c r="P372" i="58"/>
  <c r="L157" i="58"/>
  <c r="M141" i="58"/>
  <c r="K80" i="58"/>
  <c r="L347" i="58"/>
  <c r="M331" i="58"/>
  <c r="P275" i="58"/>
  <c r="Q259" i="58"/>
  <c r="Q275" i="58" s="1"/>
  <c r="L233" i="58"/>
  <c r="M217" i="58"/>
  <c r="K194" i="58"/>
  <c r="L178" i="58"/>
  <c r="O350" i="58"/>
  <c r="P334" i="58"/>
  <c r="O312" i="58"/>
  <c r="P296" i="58"/>
  <c r="K270" i="58"/>
  <c r="L254" i="58"/>
  <c r="O160" i="58"/>
  <c r="P144" i="58"/>
  <c r="K384" i="58"/>
  <c r="L368" i="58"/>
  <c r="P237" i="58"/>
  <c r="Q221" i="58"/>
  <c r="Q237" i="58" s="1"/>
  <c r="P389" i="58"/>
  <c r="Q373" i="58"/>
  <c r="Q389" i="58" s="1"/>
  <c r="P313" i="58"/>
  <c r="Q297" i="58"/>
  <c r="Q313" i="58" s="1"/>
  <c r="K232" i="58"/>
  <c r="L216" i="58"/>
  <c r="L81" i="58"/>
  <c r="M65" i="58"/>
  <c r="P161" i="58"/>
  <c r="Q145" i="58"/>
  <c r="Q161" i="58" s="1"/>
  <c r="O236" i="58"/>
  <c r="P220" i="58"/>
  <c r="O84" i="58"/>
  <c r="P68" i="58"/>
  <c r="F8" i="58"/>
  <c r="AL37" i="14" s="1"/>
  <c r="D200" i="45"/>
  <c r="D201" i="45" s="1"/>
  <c r="G152" i="45"/>
  <c r="G153" i="45" s="1"/>
  <c r="D157" i="45"/>
  <c r="D158" i="45" s="1"/>
  <c r="H141" i="34"/>
  <c r="F249" i="34"/>
  <c r="I129" i="34"/>
  <c r="G110" i="34"/>
  <c r="I110" i="34"/>
  <c r="G201" i="34"/>
  <c r="H158" i="34"/>
  <c r="E254" i="34"/>
  <c r="F97" i="45"/>
  <c r="F98" i="45" s="1"/>
  <c r="G265" i="45"/>
  <c r="G266" i="45" s="1"/>
  <c r="E200" i="45"/>
  <c r="E201" i="45" s="1"/>
  <c r="I117" i="43"/>
  <c r="H146" i="43"/>
  <c r="E242" i="43"/>
  <c r="F146" i="43"/>
  <c r="I266" i="43"/>
  <c r="F218" i="34"/>
  <c r="E165" i="34"/>
  <c r="H218" i="43"/>
  <c r="E213" i="34"/>
  <c r="H266" i="34"/>
  <c r="E182" i="34"/>
  <c r="F218" i="43"/>
  <c r="H153" i="34"/>
  <c r="H249" i="34"/>
  <c r="E129" i="34"/>
  <c r="G225" i="34"/>
  <c r="D225" i="34"/>
  <c r="E225" i="34"/>
  <c r="I201" i="34"/>
  <c r="G158" i="34"/>
  <c r="F158" i="34"/>
  <c r="D254" i="34"/>
  <c r="I134" i="34"/>
  <c r="H230" i="34"/>
  <c r="D230" i="34"/>
  <c r="I206" i="34"/>
  <c r="H176" i="44"/>
  <c r="H177" i="44" s="1"/>
  <c r="D176" i="44"/>
  <c r="D177" i="44" s="1"/>
  <c r="H237" i="34"/>
  <c r="F170" i="34"/>
  <c r="I165" i="34"/>
  <c r="I182" i="34"/>
  <c r="H170" i="43"/>
  <c r="F249" i="43"/>
  <c r="F189" i="43"/>
  <c r="G249" i="34"/>
  <c r="F225" i="34"/>
  <c r="I225" i="34"/>
  <c r="E110" i="34"/>
  <c r="D110" i="34"/>
  <c r="F110" i="34"/>
  <c r="G254" i="34"/>
  <c r="E230" i="34"/>
  <c r="D105" i="34"/>
  <c r="I105" i="34"/>
  <c r="E206" i="34"/>
  <c r="H200" i="45"/>
  <c r="H201" i="45" s="1"/>
  <c r="G200" i="45"/>
  <c r="G201" i="45" s="1"/>
  <c r="H213" i="43"/>
  <c r="F153" i="43"/>
  <c r="F225" i="43"/>
  <c r="G134" i="43"/>
  <c r="H122" i="34"/>
  <c r="G146" i="43"/>
  <c r="I194" i="43"/>
  <c r="D165" i="43"/>
  <c r="I206" i="43"/>
  <c r="G194" i="43"/>
  <c r="F110" i="43"/>
  <c r="H105" i="43"/>
  <c r="F146" i="34"/>
  <c r="F141" i="34"/>
  <c r="E117" i="43"/>
  <c r="G237" i="43"/>
  <c r="D134" i="43"/>
  <c r="D213" i="43"/>
  <c r="E189" i="34"/>
  <c r="I237" i="43"/>
  <c r="D225" i="43"/>
  <c r="F213" i="34"/>
  <c r="F165" i="43"/>
  <c r="D146" i="34"/>
  <c r="H177" i="34"/>
  <c r="F129" i="43"/>
  <c r="E165" i="43"/>
  <c r="D105" i="43"/>
  <c r="E206" i="43"/>
  <c r="G177" i="43"/>
  <c r="E201" i="43"/>
  <c r="G201" i="43"/>
  <c r="I266" i="34"/>
  <c r="D153" i="34"/>
  <c r="D249" i="34"/>
  <c r="F129" i="34"/>
  <c r="G129" i="34"/>
  <c r="H225" i="34"/>
  <c r="H201" i="34"/>
  <c r="F254" i="34"/>
  <c r="E134" i="34"/>
  <c r="I230" i="34"/>
  <c r="H105" i="34"/>
  <c r="G105" i="34"/>
  <c r="D206" i="34"/>
  <c r="D265" i="45"/>
  <c r="D266" i="45" s="1"/>
  <c r="F145" i="45"/>
  <c r="F146" i="45" s="1"/>
  <c r="E229" i="45"/>
  <c r="E230" i="45" s="1"/>
  <c r="F194" i="43"/>
  <c r="I237" i="34"/>
  <c r="I194" i="34"/>
  <c r="F122" i="34"/>
  <c r="F134" i="34"/>
  <c r="G134" i="34"/>
  <c r="D134" i="34"/>
  <c r="M34" i="60"/>
  <c r="E152" i="45"/>
  <c r="E153" i="45" s="1"/>
  <c r="I261" i="34"/>
  <c r="E194" i="34"/>
  <c r="I230" i="43"/>
  <c r="D242" i="34"/>
  <c r="I122" i="34"/>
  <c r="F117" i="34"/>
  <c r="H177" i="43"/>
  <c r="F158" i="43"/>
  <c r="F177" i="43"/>
  <c r="F117" i="43"/>
  <c r="E194" i="43"/>
  <c r="D201" i="43"/>
  <c r="H261" i="34"/>
  <c r="D170" i="43"/>
  <c r="G194" i="34"/>
  <c r="D140" i="45"/>
  <c r="D141" i="45" s="1"/>
  <c r="F140" i="45"/>
  <c r="F141" i="45" s="1"/>
  <c r="G213" i="43"/>
  <c r="G129" i="43"/>
  <c r="G266" i="34"/>
  <c r="I189" i="34"/>
  <c r="F242" i="34"/>
  <c r="D261" i="34"/>
  <c r="G242" i="43"/>
  <c r="G122" i="43"/>
  <c r="G266" i="43"/>
  <c r="D230" i="43"/>
  <c r="H129" i="43"/>
  <c r="F266" i="34"/>
  <c r="I170" i="43"/>
  <c r="F266" i="43"/>
  <c r="H254" i="43"/>
  <c r="D201" i="34"/>
  <c r="I265" i="45"/>
  <c r="I266" i="45" s="1"/>
  <c r="G145" i="45"/>
  <c r="G146" i="45" s="1"/>
  <c r="D152" i="45"/>
  <c r="D153" i="45" s="1"/>
  <c r="D36" i="38"/>
  <c r="F80" i="37" s="1"/>
  <c r="H152" i="45"/>
  <c r="H153" i="45" s="1"/>
  <c r="G229" i="45"/>
  <c r="G230" i="45" s="1"/>
  <c r="D229" i="45"/>
  <c r="D230" i="45" s="1"/>
  <c r="F152" i="45"/>
  <c r="F153" i="45" s="1"/>
  <c r="I110" i="43"/>
  <c r="H182" i="43"/>
  <c r="D266" i="43"/>
  <c r="I213" i="43"/>
  <c r="E266" i="34"/>
  <c r="E266" i="43"/>
  <c r="E129" i="43"/>
  <c r="I122" i="43"/>
  <c r="H261" i="43"/>
  <c r="AW30" i="14"/>
  <c r="D145" i="45"/>
  <c r="D146" i="45" s="1"/>
  <c r="D37" i="38"/>
  <c r="D41" i="38" s="1"/>
  <c r="H229" i="45"/>
  <c r="H230" i="45" s="1"/>
  <c r="I229" i="45"/>
  <c r="I230" i="45" s="1"/>
  <c r="D249" i="43"/>
  <c r="E157" i="45"/>
  <c r="E158" i="45" s="1"/>
  <c r="E97" i="15"/>
  <c r="H338" i="15"/>
  <c r="H337" i="15" s="1"/>
  <c r="H336" i="15" s="1"/>
  <c r="I332" i="15"/>
  <c r="H110" i="34"/>
  <c r="D265" i="44"/>
  <c r="D266" i="44" s="1"/>
  <c r="F265" i="45"/>
  <c r="F266" i="45" s="1"/>
  <c r="H265" i="45"/>
  <c r="H266" i="45" s="1"/>
  <c r="G140" i="45"/>
  <c r="G141" i="45" s="1"/>
  <c r="H140" i="45"/>
  <c r="H141" i="45" s="1"/>
  <c r="H92" i="45"/>
  <c r="H93" i="45" s="1"/>
  <c r="M78" i="15"/>
  <c r="L37" i="38"/>
  <c r="N81" i="37" s="1"/>
  <c r="D158" i="34"/>
  <c r="F206" i="34"/>
  <c r="E128" i="44"/>
  <c r="E129" i="44" s="1"/>
  <c r="D181" i="44"/>
  <c r="D182" i="44" s="1"/>
  <c r="I97" i="45"/>
  <c r="I98" i="45" s="1"/>
  <c r="D182" i="43"/>
  <c r="F81" i="37"/>
  <c r="E146" i="43"/>
  <c r="D218" i="43"/>
  <c r="H110" i="43"/>
  <c r="D237" i="43"/>
  <c r="H225" i="43"/>
  <c r="F206" i="43"/>
  <c r="H181" i="44"/>
  <c r="H182" i="44" s="1"/>
  <c r="F181" i="44"/>
  <c r="F182" i="44" s="1"/>
  <c r="H97" i="45"/>
  <c r="H98" i="45" s="1"/>
  <c r="I92" i="45"/>
  <c r="I93" i="45" s="1"/>
  <c r="E92" i="45"/>
  <c r="E93" i="45" s="1"/>
  <c r="I157" i="45"/>
  <c r="I158" i="45" s="1"/>
  <c r="E260" i="44"/>
  <c r="E261" i="44" s="1"/>
  <c r="G181" i="44"/>
  <c r="G182" i="44" s="1"/>
  <c r="I181" i="44"/>
  <c r="I182" i="44" s="1"/>
  <c r="E265" i="44"/>
  <c r="E266" i="44" s="1"/>
  <c r="G97" i="45"/>
  <c r="G98" i="45" s="1"/>
  <c r="D97" i="45"/>
  <c r="D98" i="45" s="1"/>
  <c r="I145" i="45"/>
  <c r="I146" i="45" s="1"/>
  <c r="E145" i="45"/>
  <c r="E146" i="45" s="1"/>
  <c r="F157" i="45"/>
  <c r="F158" i="45" s="1"/>
  <c r="G157" i="45"/>
  <c r="G158" i="45" s="1"/>
  <c r="G121" i="38"/>
  <c r="M17" i="38" s="1"/>
  <c r="F108" i="38"/>
  <c r="E16" i="38" s="1"/>
  <c r="F77" i="15" s="1"/>
  <c r="G109" i="38"/>
  <c r="M16" i="38" s="1"/>
  <c r="M77" i="15"/>
  <c r="L36" i="38"/>
  <c r="N80" i="37" s="1"/>
  <c r="F120" i="38"/>
  <c r="E17" i="38" s="1"/>
  <c r="F78" i="15" s="1"/>
  <c r="D92" i="45"/>
  <c r="D93" i="45" s="1"/>
  <c r="F92" i="45"/>
  <c r="F93" i="45" s="1"/>
  <c r="H265" i="44"/>
  <c r="H266" i="44" s="1"/>
  <c r="G265" i="44"/>
  <c r="G266" i="44" s="1"/>
  <c r="F265" i="44"/>
  <c r="F266" i="44" s="1"/>
  <c r="E260" i="45"/>
  <c r="E261" i="45" s="1"/>
  <c r="D133" i="44"/>
  <c r="D134" i="44" s="1"/>
  <c r="F260" i="45"/>
  <c r="F261" i="45" s="1"/>
  <c r="G260" i="45"/>
  <c r="G261" i="45" s="1"/>
  <c r="G140" i="44"/>
  <c r="G141" i="44" s="1"/>
  <c r="H140" i="44"/>
  <c r="H141" i="44" s="1"/>
  <c r="E140" i="44"/>
  <c r="E141" i="44" s="1"/>
  <c r="D140" i="44"/>
  <c r="D141" i="44" s="1"/>
  <c r="F140" i="44"/>
  <c r="F141" i="44" s="1"/>
  <c r="I140" i="44"/>
  <c r="I141" i="44" s="1"/>
  <c r="I260" i="44"/>
  <c r="I261" i="44" s="1"/>
  <c r="D260" i="44"/>
  <c r="D261" i="44" s="1"/>
  <c r="G133" i="44"/>
  <c r="G134" i="44" s="1"/>
  <c r="F133" i="44"/>
  <c r="F134" i="44" s="1"/>
  <c r="H260" i="45"/>
  <c r="H261" i="45" s="1"/>
  <c r="D260" i="45"/>
  <c r="D261" i="45" s="1"/>
  <c r="H260" i="44"/>
  <c r="H261" i="44" s="1"/>
  <c r="G260" i="44"/>
  <c r="G261" i="44" s="1"/>
  <c r="I133" i="44"/>
  <c r="I134" i="44" s="1"/>
  <c r="H133" i="44"/>
  <c r="H134" i="44" s="1"/>
  <c r="F128" i="44"/>
  <c r="F129" i="44" s="1"/>
  <c r="I128" i="44"/>
  <c r="I129" i="44" s="1"/>
  <c r="G128" i="44"/>
  <c r="G129" i="44" s="1"/>
  <c r="E128" i="45"/>
  <c r="E129" i="45" s="1"/>
  <c r="D128" i="45"/>
  <c r="D129" i="45" s="1"/>
  <c r="G128" i="45"/>
  <c r="G129" i="45" s="1"/>
  <c r="F128" i="45"/>
  <c r="F129" i="45" s="1"/>
  <c r="I128" i="45"/>
  <c r="I129" i="45" s="1"/>
  <c r="H128" i="45"/>
  <c r="H129" i="45" s="1"/>
  <c r="H133" i="45"/>
  <c r="H134" i="45" s="1"/>
  <c r="I133" i="45"/>
  <c r="I134" i="45" s="1"/>
  <c r="G133" i="45"/>
  <c r="G134" i="45" s="1"/>
  <c r="D133" i="45"/>
  <c r="D134" i="45" s="1"/>
  <c r="E133" i="45"/>
  <c r="E134" i="45" s="1"/>
  <c r="F133" i="45"/>
  <c r="F134" i="45" s="1"/>
  <c r="F193" i="45"/>
  <c r="F194" i="45" s="1"/>
  <c r="I193" i="45"/>
  <c r="I194" i="45" s="1"/>
  <c r="E193" i="45"/>
  <c r="E194" i="45" s="1"/>
  <c r="D193" i="45"/>
  <c r="D194" i="45" s="1"/>
  <c r="H193" i="45"/>
  <c r="H194" i="45" s="1"/>
  <c r="G193" i="45"/>
  <c r="G194" i="45" s="1"/>
  <c r="D253" i="45"/>
  <c r="D254" i="45" s="1"/>
  <c r="H253" i="45"/>
  <c r="H254" i="45" s="1"/>
  <c r="F253" i="45"/>
  <c r="F254" i="45" s="1"/>
  <c r="E253" i="45"/>
  <c r="E254" i="45" s="1"/>
  <c r="I253" i="45"/>
  <c r="I254" i="45" s="1"/>
  <c r="G253" i="45"/>
  <c r="G254" i="45" s="1"/>
  <c r="H140" i="38"/>
  <c r="G146" i="38"/>
  <c r="G144" i="38" s="1"/>
  <c r="F19" i="38" s="1"/>
  <c r="G80" i="15" s="1"/>
  <c r="G338" i="38"/>
  <c r="G336" i="38" s="1"/>
  <c r="F35" i="38" s="1"/>
  <c r="G96" i="15" s="1"/>
  <c r="H332" i="38"/>
  <c r="G188" i="45"/>
  <c r="G189" i="45" s="1"/>
  <c r="E188" i="45"/>
  <c r="E189" i="45" s="1"/>
  <c r="F188" i="45"/>
  <c r="F189" i="45" s="1"/>
  <c r="D188" i="45"/>
  <c r="D189" i="45" s="1"/>
  <c r="H188" i="45"/>
  <c r="H189" i="45" s="1"/>
  <c r="I188" i="45"/>
  <c r="I189" i="45" s="1"/>
  <c r="H248" i="45"/>
  <c r="H249" i="45" s="1"/>
  <c r="G248" i="45"/>
  <c r="G249" i="45" s="1"/>
  <c r="I248" i="45"/>
  <c r="I249" i="45" s="1"/>
  <c r="E248" i="45"/>
  <c r="E249" i="45" s="1"/>
  <c r="D248" i="45"/>
  <c r="D249" i="45" s="1"/>
  <c r="F248" i="45"/>
  <c r="F249" i="45" s="1"/>
  <c r="H248" i="38"/>
  <c r="G254" i="38"/>
  <c r="G252" i="38" s="1"/>
  <c r="F28" i="38" s="1"/>
  <c r="G89" i="15" s="1"/>
  <c r="G104" i="45"/>
  <c r="G105" i="45" s="1"/>
  <c r="F104" i="45"/>
  <c r="F105" i="45" s="1"/>
  <c r="E104" i="45"/>
  <c r="E105" i="45" s="1"/>
  <c r="I104" i="45"/>
  <c r="I105" i="45" s="1"/>
  <c r="H104" i="45"/>
  <c r="H105" i="45" s="1"/>
  <c r="D104" i="45"/>
  <c r="D105" i="45" s="1"/>
  <c r="G188" i="44"/>
  <c r="G189" i="44" s="1"/>
  <c r="I188" i="44"/>
  <c r="I189" i="44" s="1"/>
  <c r="D188" i="44"/>
  <c r="D189" i="44" s="1"/>
  <c r="H188" i="44"/>
  <c r="H189" i="44" s="1"/>
  <c r="F188" i="44"/>
  <c r="F189" i="44" s="1"/>
  <c r="E188" i="44"/>
  <c r="E189" i="44" s="1"/>
  <c r="H109" i="45"/>
  <c r="H110" i="45" s="1"/>
  <c r="D109" i="45"/>
  <c r="D110" i="45" s="1"/>
  <c r="E109" i="45"/>
  <c r="E110" i="45" s="1"/>
  <c r="I109" i="45"/>
  <c r="I110" i="45" s="1"/>
  <c r="F109" i="45"/>
  <c r="F110" i="45" s="1"/>
  <c r="G109" i="45"/>
  <c r="G110" i="45" s="1"/>
  <c r="H200" i="38"/>
  <c r="G206" i="38"/>
  <c r="G204" i="38" s="1"/>
  <c r="F24" i="38" s="1"/>
  <c r="G85" i="15" s="1"/>
  <c r="H260" i="38"/>
  <c r="G266" i="38"/>
  <c r="G264" i="38" s="1"/>
  <c r="F29" i="38" s="1"/>
  <c r="G90" i="15" s="1"/>
  <c r="G134" i="38"/>
  <c r="G132" i="38" s="1"/>
  <c r="F18" i="38" s="1"/>
  <c r="G79" i="15" s="1"/>
  <c r="H128" i="38"/>
  <c r="H284" i="38"/>
  <c r="G290" i="38"/>
  <c r="G288" i="38" s="1"/>
  <c r="F31" i="38" s="1"/>
  <c r="G92" i="15" s="1"/>
  <c r="E193" i="44"/>
  <c r="E194" i="44" s="1"/>
  <c r="H193" i="44"/>
  <c r="H194" i="44" s="1"/>
  <c r="D193" i="44"/>
  <c r="D194" i="44" s="1"/>
  <c r="F193" i="44"/>
  <c r="F194" i="44" s="1"/>
  <c r="I193" i="44"/>
  <c r="I194" i="44" s="1"/>
  <c r="G193" i="44"/>
  <c r="G194" i="44" s="1"/>
  <c r="I272" i="15"/>
  <c r="H278" i="15"/>
  <c r="H277" i="15" s="1"/>
  <c r="H276" i="15" s="1"/>
  <c r="H374" i="15"/>
  <c r="H373" i="15" s="1"/>
  <c r="H372" i="15" s="1"/>
  <c r="I368" i="15"/>
  <c r="J404" i="15"/>
  <c r="I410" i="15"/>
  <c r="I409" i="15" s="1"/>
  <c r="I408" i="15" s="1"/>
  <c r="I398" i="15"/>
  <c r="I397" i="15" s="1"/>
  <c r="I396" i="15" s="1"/>
  <c r="J392" i="15"/>
  <c r="H422" i="15"/>
  <c r="H421" i="15" s="1"/>
  <c r="H420" i="15" s="1"/>
  <c r="I416" i="15"/>
  <c r="I320" i="15"/>
  <c r="H326" i="15"/>
  <c r="H325" i="15" s="1"/>
  <c r="H324" i="15" s="1"/>
  <c r="I248" i="15"/>
  <c r="H254" i="15"/>
  <c r="H253" i="15" s="1"/>
  <c r="H252" i="15" s="1"/>
  <c r="P26" i="58"/>
  <c r="O42" i="58"/>
  <c r="O45" i="58"/>
  <c r="P29" i="58"/>
  <c r="N27" i="58"/>
  <c r="M43" i="58"/>
  <c r="O28" i="58"/>
  <c r="N44" i="58"/>
  <c r="J29" i="51"/>
  <c r="D19" i="51"/>
  <c r="AG7" i="14" s="1"/>
  <c r="H8" i="47"/>
  <c r="AO7" i="14" s="1"/>
  <c r="J31" i="47"/>
  <c r="J33" i="47" s="1"/>
  <c r="D19" i="47"/>
  <c r="AE7" i="14" s="1"/>
  <c r="G157" i="44"/>
  <c r="G158" i="44" s="1"/>
  <c r="I157" i="44"/>
  <c r="I158" i="44" s="1"/>
  <c r="D157" i="44"/>
  <c r="D158" i="44" s="1"/>
  <c r="E157" i="44"/>
  <c r="E158" i="44" s="1"/>
  <c r="F157" i="44"/>
  <c r="F158" i="44" s="1"/>
  <c r="H157" i="44"/>
  <c r="H158" i="44" s="1"/>
  <c r="F229" i="44"/>
  <c r="F230" i="44" s="1"/>
  <c r="E229" i="44"/>
  <c r="E230" i="44" s="1"/>
  <c r="H229" i="44"/>
  <c r="H230" i="44" s="1"/>
  <c r="I229" i="44"/>
  <c r="I230" i="44" s="1"/>
  <c r="G229" i="44"/>
  <c r="G230" i="44" s="1"/>
  <c r="D229" i="44"/>
  <c r="D230" i="44" s="1"/>
  <c r="G152" i="44"/>
  <c r="G153" i="44" s="1"/>
  <c r="H152" i="44"/>
  <c r="H153" i="44" s="1"/>
  <c r="F152" i="44"/>
  <c r="F153" i="44" s="1"/>
  <c r="E152" i="44"/>
  <c r="E153" i="44" s="1"/>
  <c r="D152" i="44"/>
  <c r="D153" i="44" s="1"/>
  <c r="I152" i="44"/>
  <c r="I153" i="44" s="1"/>
  <c r="H302" i="38"/>
  <c r="H300" i="38" s="1"/>
  <c r="G32" i="38" s="1"/>
  <c r="H93" i="15" s="1"/>
  <c r="I296" i="38"/>
  <c r="H302" i="15"/>
  <c r="H301" i="15" s="1"/>
  <c r="H300" i="15" s="1"/>
  <c r="I296" i="15"/>
  <c r="J308" i="15"/>
  <c r="I314" i="15"/>
  <c r="I313" i="15" s="1"/>
  <c r="I312" i="15" s="1"/>
  <c r="I350" i="15"/>
  <c r="J344" i="15"/>
  <c r="H349" i="15"/>
  <c r="H348" i="15" s="1"/>
  <c r="I224" i="15"/>
  <c r="H230" i="15"/>
  <c r="H229" i="15" s="1"/>
  <c r="H228" i="15" s="1"/>
  <c r="H218" i="15"/>
  <c r="I212" i="15"/>
  <c r="K236" i="15"/>
  <c r="K242" i="15" s="1"/>
  <c r="K241" i="15" s="1"/>
  <c r="K240" i="15" s="1"/>
  <c r="J242" i="15"/>
  <c r="J241" i="15" s="1"/>
  <c r="J240" i="15" s="1"/>
  <c r="I386" i="15"/>
  <c r="I385" i="15" s="1"/>
  <c r="I384" i="15" s="1"/>
  <c r="J380" i="15"/>
  <c r="H194" i="15"/>
  <c r="H193" i="15" s="1"/>
  <c r="H192" i="15" s="1"/>
  <c r="I188" i="15"/>
  <c r="G217" i="15"/>
  <c r="G216" i="15" s="1"/>
  <c r="J320" i="38"/>
  <c r="J326" i="38" s="1"/>
  <c r="J324" i="38" s="1"/>
  <c r="I34" i="38" s="1"/>
  <c r="J95" i="15" s="1"/>
  <c r="I326" i="38"/>
  <c r="I324" i="38" s="1"/>
  <c r="H34" i="38" s="1"/>
  <c r="I95" i="15" s="1"/>
  <c r="I212" i="38"/>
  <c r="H218" i="38"/>
  <c r="H216" i="38" s="1"/>
  <c r="G25" i="38" s="1"/>
  <c r="H86" i="15" s="1"/>
  <c r="H122" i="38"/>
  <c r="I116" i="38"/>
  <c r="H194" i="38"/>
  <c r="H192" i="38" s="1"/>
  <c r="G23" i="38" s="1"/>
  <c r="H84" i="15" s="1"/>
  <c r="I188" i="38"/>
  <c r="I104" i="38"/>
  <c r="H110" i="38"/>
  <c r="I224" i="38"/>
  <c r="H230" i="38"/>
  <c r="H228" i="38" s="1"/>
  <c r="G26" i="38" s="1"/>
  <c r="H87" i="15" s="1"/>
  <c r="I152" i="38"/>
  <c r="H158" i="38"/>
  <c r="H156" i="38" s="1"/>
  <c r="G20" i="38" s="1"/>
  <c r="H81" i="15" s="1"/>
  <c r="I170" i="38"/>
  <c r="I168" i="38" s="1"/>
  <c r="H21" i="38" s="1"/>
  <c r="I82" i="15" s="1"/>
  <c r="J164" i="38"/>
  <c r="J170" i="38" s="1"/>
  <c r="J168" i="38" s="1"/>
  <c r="I21" i="38" s="1"/>
  <c r="J82" i="15" s="1"/>
  <c r="J272" i="38"/>
  <c r="J278" i="38" s="1"/>
  <c r="J276" i="38" s="1"/>
  <c r="I30" i="38" s="1"/>
  <c r="J91" i="15" s="1"/>
  <c r="I278" i="38"/>
  <c r="I276" i="38" s="1"/>
  <c r="H30" i="38" s="1"/>
  <c r="I91" i="15" s="1"/>
  <c r="J236" i="38"/>
  <c r="J242" i="38" s="1"/>
  <c r="J240" i="38" s="1"/>
  <c r="I27" i="38" s="1"/>
  <c r="J88" i="15" s="1"/>
  <c r="I242" i="38"/>
  <c r="I240" i="38" s="1"/>
  <c r="H27" i="38" s="1"/>
  <c r="I88" i="15" s="1"/>
  <c r="J273" i="34"/>
  <c r="H272" i="34"/>
  <c r="I273" i="34"/>
  <c r="H273" i="34"/>
  <c r="I32" i="47"/>
  <c r="I33" i="47"/>
  <c r="I34" i="47"/>
  <c r="AO88" i="50" l="1"/>
  <c r="I104" i="44"/>
  <c r="I105" i="44" s="1"/>
  <c r="D104" i="44"/>
  <c r="D105" i="44" s="1"/>
  <c r="G104" i="44"/>
  <c r="G105" i="44" s="1"/>
  <c r="E104" i="44"/>
  <c r="E105" i="44" s="1"/>
  <c r="F104" i="44"/>
  <c r="F105" i="44" s="1"/>
  <c r="AH485" i="50"/>
  <c r="AH509" i="50" s="1"/>
  <c r="F109" i="44"/>
  <c r="F110" i="44" s="1"/>
  <c r="G109" i="44"/>
  <c r="G110" i="44" s="1"/>
  <c r="H109" i="44"/>
  <c r="H110" i="44" s="1"/>
  <c r="D109" i="44"/>
  <c r="D110" i="44" s="1"/>
  <c r="E80" i="37"/>
  <c r="E81" i="37"/>
  <c r="E109" i="44"/>
  <c r="E110" i="44" s="1"/>
  <c r="AF46" i="15"/>
  <c r="AF74" i="15" s="1"/>
  <c r="AF103" i="15" s="1"/>
  <c r="D14" i="3"/>
  <c r="AI46" i="37"/>
  <c r="AI84" i="37" s="1"/>
  <c r="AI115" i="37" s="1"/>
  <c r="AI61" i="50"/>
  <c r="AO112" i="50"/>
  <c r="AP456" i="50" s="1"/>
  <c r="D15" i="56"/>
  <c r="AO485" i="50"/>
  <c r="AO509" i="50" s="1"/>
  <c r="AO46" i="37"/>
  <c r="AO84" i="37" s="1"/>
  <c r="AO115" i="37" s="1"/>
  <c r="AL46" i="15"/>
  <c r="AL103" i="15" s="1"/>
  <c r="AH88" i="50"/>
  <c r="D15" i="3"/>
  <c r="D14" i="56"/>
  <c r="Q276" i="45"/>
  <c r="L276" i="45" s="1"/>
  <c r="H97" i="44"/>
  <c r="H98" i="44" s="1"/>
  <c r="E97" i="44"/>
  <c r="E98" i="44" s="1"/>
  <c r="F97" i="44"/>
  <c r="F98" i="44" s="1"/>
  <c r="D92" i="44"/>
  <c r="D93" i="44" s="1"/>
  <c r="G224" i="44"/>
  <c r="G225" i="44" s="1"/>
  <c r="D224" i="44"/>
  <c r="D225" i="44" s="1"/>
  <c r="I224" i="44"/>
  <c r="I225" i="44" s="1"/>
  <c r="H224" i="44"/>
  <c r="H225" i="44" s="1"/>
  <c r="E224" i="44"/>
  <c r="E225" i="44" s="1"/>
  <c r="F92" i="44"/>
  <c r="F93" i="44" s="1"/>
  <c r="E92" i="44"/>
  <c r="E93" i="44" s="1"/>
  <c r="I92" i="44"/>
  <c r="I93" i="44" s="1"/>
  <c r="G92" i="44"/>
  <c r="G93" i="44" s="1"/>
  <c r="I97" i="44"/>
  <c r="I98" i="44" s="1"/>
  <c r="G97" i="44"/>
  <c r="G98" i="44" s="1"/>
  <c r="I29" i="47"/>
  <c r="T278" i="45"/>
  <c r="Q278" i="45"/>
  <c r="L278" i="45" s="1"/>
  <c r="R278" i="45"/>
  <c r="M278" i="45" s="1"/>
  <c r="J32" i="47"/>
  <c r="T276" i="45"/>
  <c r="R276" i="45"/>
  <c r="M276" i="45" s="1"/>
  <c r="S294" i="45"/>
  <c r="H272" i="45" s="1"/>
  <c r="I266" i="15"/>
  <c r="I265" i="15" s="1"/>
  <c r="I264" i="15" s="1"/>
  <c r="J260" i="15"/>
  <c r="G212" i="45"/>
  <c r="G213" i="45" s="1"/>
  <c r="D212" i="45"/>
  <c r="D213" i="45" s="1"/>
  <c r="H212" i="45"/>
  <c r="H213" i="45" s="1"/>
  <c r="F212" i="45"/>
  <c r="F213" i="45" s="1"/>
  <c r="E212" i="45"/>
  <c r="E213" i="45" s="1"/>
  <c r="I212" i="45"/>
  <c r="I213" i="45" s="1"/>
  <c r="E217" i="45"/>
  <c r="E218" i="45" s="1"/>
  <c r="G217" i="45"/>
  <c r="G218" i="45" s="1"/>
  <c r="I217" i="45"/>
  <c r="I218" i="45" s="1"/>
  <c r="F217" i="45"/>
  <c r="F218" i="45" s="1"/>
  <c r="D217" i="45"/>
  <c r="D218" i="45" s="1"/>
  <c r="H217" i="45"/>
  <c r="H218" i="45" s="1"/>
  <c r="H272" i="43"/>
  <c r="J273" i="43"/>
  <c r="I273" i="43"/>
  <c r="D40" i="38"/>
  <c r="H314" i="38"/>
  <c r="H312" i="38" s="1"/>
  <c r="G33" i="38" s="1"/>
  <c r="H94" i="15" s="1"/>
  <c r="I308" i="38"/>
  <c r="H182" i="38"/>
  <c r="H180" i="38" s="1"/>
  <c r="G22" i="38" s="1"/>
  <c r="H83" i="15" s="1"/>
  <c r="I176" i="38"/>
  <c r="F373" i="50"/>
  <c r="F371" i="50"/>
  <c r="F372" i="50"/>
  <c r="Z369" i="50"/>
  <c r="H380" i="50"/>
  <c r="AA371" i="50"/>
  <c r="H381" i="50"/>
  <c r="H379" i="50"/>
  <c r="AA373" i="50"/>
  <c r="J379" i="50"/>
  <c r="J380" i="50"/>
  <c r="J381" i="50"/>
  <c r="K379" i="50"/>
  <c r="K380" i="50"/>
  <c r="AA374" i="50"/>
  <c r="K381" i="50"/>
  <c r="J372" i="50"/>
  <c r="J371" i="50"/>
  <c r="Z373" i="50"/>
  <c r="J373" i="50"/>
  <c r="G372" i="50"/>
  <c r="Z370" i="50"/>
  <c r="G373" i="50"/>
  <c r="G371" i="50"/>
  <c r="AC80" i="50"/>
  <c r="I395" i="50"/>
  <c r="I394" i="50" s="1"/>
  <c r="H387" i="50"/>
  <c r="H386" i="50" s="1"/>
  <c r="G387" i="50"/>
  <c r="G386" i="50" s="1"/>
  <c r="K387" i="50"/>
  <c r="K386" i="50" s="1"/>
  <c r="J387" i="50"/>
  <c r="J386" i="50" s="1"/>
  <c r="I387" i="50"/>
  <c r="I386" i="50" s="1"/>
  <c r="H395" i="50"/>
  <c r="H394" i="50" s="1"/>
  <c r="K395" i="50"/>
  <c r="K394" i="50" s="1"/>
  <c r="G395" i="50"/>
  <c r="G394" i="50" s="1"/>
  <c r="F395" i="50"/>
  <c r="F394" i="50" s="1"/>
  <c r="J395" i="50"/>
  <c r="J394" i="50" s="1"/>
  <c r="F387" i="50"/>
  <c r="F386" i="50" s="1"/>
  <c r="H373" i="50"/>
  <c r="H372" i="50"/>
  <c r="H371" i="50"/>
  <c r="Z371" i="50"/>
  <c r="I380" i="50"/>
  <c r="I381" i="50"/>
  <c r="AA372" i="50"/>
  <c r="I379" i="50"/>
  <c r="G380" i="50"/>
  <c r="G379" i="50"/>
  <c r="G381" i="50"/>
  <c r="AA370" i="50"/>
  <c r="I372" i="50"/>
  <c r="Z372" i="50"/>
  <c r="I371" i="50"/>
  <c r="I373" i="50"/>
  <c r="Z374" i="50"/>
  <c r="K373" i="50"/>
  <c r="K371" i="50"/>
  <c r="K372" i="50"/>
  <c r="F381" i="50"/>
  <c r="F379" i="50"/>
  <c r="AA369" i="50"/>
  <c r="F380" i="50"/>
  <c r="Q68" i="58"/>
  <c r="Q84" i="58" s="1"/>
  <c r="P84" i="58"/>
  <c r="Q220" i="58"/>
  <c r="Q236" i="58" s="1"/>
  <c r="P236" i="58"/>
  <c r="N65" i="58"/>
  <c r="M81" i="58"/>
  <c r="M216" i="58"/>
  <c r="L232" i="58"/>
  <c r="M368" i="58"/>
  <c r="L384" i="58"/>
  <c r="L396" i="58" s="1"/>
  <c r="F17" i="58" s="1"/>
  <c r="AL46" i="14" s="1"/>
  <c r="Q144" i="58"/>
  <c r="Q160" i="58" s="1"/>
  <c r="P160" i="58"/>
  <c r="M254" i="58"/>
  <c r="L270" i="58"/>
  <c r="Q296" i="58"/>
  <c r="Q312" i="58" s="1"/>
  <c r="P312" i="58"/>
  <c r="Q334" i="58"/>
  <c r="Q350" i="58" s="1"/>
  <c r="P350" i="58"/>
  <c r="M178" i="58"/>
  <c r="L194" i="58"/>
  <c r="N217" i="58"/>
  <c r="M233" i="58"/>
  <c r="N331" i="58"/>
  <c r="M347" i="58"/>
  <c r="L80" i="58"/>
  <c r="N141" i="58"/>
  <c r="M157" i="58"/>
  <c r="Q372" i="58"/>
  <c r="Q388" i="58" s="1"/>
  <c r="P388" i="58"/>
  <c r="M140" i="58"/>
  <c r="L156" i="58"/>
  <c r="N255" i="58"/>
  <c r="M271" i="58"/>
  <c r="N179" i="58"/>
  <c r="M195" i="58"/>
  <c r="Q258" i="58"/>
  <c r="Q274" i="58" s="1"/>
  <c r="P274" i="58"/>
  <c r="M292" i="58"/>
  <c r="L308" i="58"/>
  <c r="M330" i="58"/>
  <c r="L346" i="58"/>
  <c r="N369" i="58"/>
  <c r="M385" i="58"/>
  <c r="Q182" i="58"/>
  <c r="Q198" i="58" s="1"/>
  <c r="P198" i="58"/>
  <c r="N293" i="58"/>
  <c r="M309" i="58"/>
  <c r="P122" i="58"/>
  <c r="Q106" i="58"/>
  <c r="Q122" i="58" s="1"/>
  <c r="M119" i="58"/>
  <c r="N103" i="58"/>
  <c r="L118" i="58"/>
  <c r="M102" i="58"/>
  <c r="O121" i="58"/>
  <c r="P105" i="58"/>
  <c r="N120" i="58"/>
  <c r="O104" i="58"/>
  <c r="O197" i="58"/>
  <c r="P181" i="58"/>
  <c r="O159" i="58"/>
  <c r="P143" i="58"/>
  <c r="O349" i="58"/>
  <c r="P333" i="58"/>
  <c r="O311" i="58"/>
  <c r="P295" i="58"/>
  <c r="O83" i="58"/>
  <c r="P67" i="58"/>
  <c r="O273" i="58"/>
  <c r="P257" i="58"/>
  <c r="N82" i="58"/>
  <c r="O66" i="58"/>
  <c r="O235" i="58"/>
  <c r="P219" i="58"/>
  <c r="N196" i="58"/>
  <c r="O180" i="58"/>
  <c r="O387" i="58"/>
  <c r="P371" i="58"/>
  <c r="N348" i="58"/>
  <c r="O332" i="58"/>
  <c r="N310" i="58"/>
  <c r="O294" i="58"/>
  <c r="N272" i="58"/>
  <c r="O256" i="58"/>
  <c r="N234" i="58"/>
  <c r="O218" i="58"/>
  <c r="N158" i="58"/>
  <c r="O142" i="58"/>
  <c r="N386" i="58"/>
  <c r="O370" i="58"/>
  <c r="M54" i="58"/>
  <c r="G8" i="58" s="1"/>
  <c r="AM37" i="14" s="1"/>
  <c r="D205" i="44"/>
  <c r="D206" i="44" s="1"/>
  <c r="AW31" i="14"/>
  <c r="S294" i="44"/>
  <c r="H272" i="44" s="1"/>
  <c r="I338" i="15"/>
  <c r="I337" i="15" s="1"/>
  <c r="I336" i="15" s="1"/>
  <c r="J332" i="15"/>
  <c r="E205" i="44"/>
  <c r="E206" i="44" s="1"/>
  <c r="I205" i="44"/>
  <c r="I206" i="44" s="1"/>
  <c r="E37" i="38"/>
  <c r="G81" i="37" s="1"/>
  <c r="N78" i="15"/>
  <c r="M37" i="38"/>
  <c r="O81" i="37" s="1"/>
  <c r="F205" i="44"/>
  <c r="F206" i="44" s="1"/>
  <c r="H205" i="44"/>
  <c r="H206" i="44" s="1"/>
  <c r="M36" i="38"/>
  <c r="O80" i="37" s="1"/>
  <c r="N77" i="15"/>
  <c r="F97" i="15"/>
  <c r="M97" i="15"/>
  <c r="E36" i="38"/>
  <c r="G108" i="38"/>
  <c r="F16" i="38" s="1"/>
  <c r="G77" i="15" s="1"/>
  <c r="H121" i="38"/>
  <c r="N17" i="38" s="1"/>
  <c r="H109" i="38"/>
  <c r="N16" i="38" s="1"/>
  <c r="O77" i="15" s="1"/>
  <c r="C100" i="56"/>
  <c r="C101" i="56" s="1"/>
  <c r="C62" i="56"/>
  <c r="C63" i="56" s="1"/>
  <c r="G120" i="38"/>
  <c r="F17" i="38" s="1"/>
  <c r="G78" i="15" s="1"/>
  <c r="I200" i="44"/>
  <c r="I201" i="44" s="1"/>
  <c r="H200" i="44"/>
  <c r="H201" i="44" s="1"/>
  <c r="E200" i="44"/>
  <c r="E201" i="44" s="1"/>
  <c r="G200" i="44"/>
  <c r="G201" i="44" s="1"/>
  <c r="D200" i="44"/>
  <c r="D201" i="44" s="1"/>
  <c r="F200" i="44"/>
  <c r="F201" i="44" s="1"/>
  <c r="I140" i="38"/>
  <c r="H146" i="38"/>
  <c r="H144" i="38" s="1"/>
  <c r="G19" i="38" s="1"/>
  <c r="H80" i="15" s="1"/>
  <c r="H253" i="44"/>
  <c r="H254" i="44" s="1"/>
  <c r="I253" i="44"/>
  <c r="I254" i="44" s="1"/>
  <c r="D253" i="44"/>
  <c r="D254" i="44" s="1"/>
  <c r="G253" i="44"/>
  <c r="G254" i="44" s="1"/>
  <c r="F253" i="44"/>
  <c r="F254" i="44" s="1"/>
  <c r="E253" i="44"/>
  <c r="E254" i="44" s="1"/>
  <c r="I332" i="38"/>
  <c r="H338" i="38"/>
  <c r="H336" i="38" s="1"/>
  <c r="G35" i="38" s="1"/>
  <c r="H96" i="15" s="1"/>
  <c r="F248" i="44"/>
  <c r="F249" i="44" s="1"/>
  <c r="D248" i="44"/>
  <c r="D249" i="44" s="1"/>
  <c r="G248" i="44"/>
  <c r="G249" i="44" s="1"/>
  <c r="I248" i="44"/>
  <c r="I249" i="44" s="1"/>
  <c r="E248" i="44"/>
  <c r="E249" i="44" s="1"/>
  <c r="H248" i="44"/>
  <c r="H249" i="44" s="1"/>
  <c r="I128" i="38"/>
  <c r="H134" i="38"/>
  <c r="H132" i="38" s="1"/>
  <c r="G18" i="38" s="1"/>
  <c r="H79" i="15" s="1"/>
  <c r="H254" i="38"/>
  <c r="H252" i="38" s="1"/>
  <c r="G28" i="38" s="1"/>
  <c r="H89" i="15" s="1"/>
  <c r="I248" i="38"/>
  <c r="H290" i="38"/>
  <c r="H288" i="38" s="1"/>
  <c r="G31" i="38" s="1"/>
  <c r="H92" i="15" s="1"/>
  <c r="I284" i="38"/>
  <c r="I260" i="38"/>
  <c r="H266" i="38"/>
  <c r="H264" i="38" s="1"/>
  <c r="G29" i="38" s="1"/>
  <c r="H90" i="15" s="1"/>
  <c r="I200" i="38"/>
  <c r="H206" i="38"/>
  <c r="H204" i="38" s="1"/>
  <c r="G24" i="38" s="1"/>
  <c r="H85" i="15" s="1"/>
  <c r="J272" i="15"/>
  <c r="I278" i="15"/>
  <c r="I277" i="15" s="1"/>
  <c r="I276" i="15" s="1"/>
  <c r="J34" i="47"/>
  <c r="I374" i="15"/>
  <c r="I373" i="15" s="1"/>
  <c r="I372" i="15" s="1"/>
  <c r="J368" i="15"/>
  <c r="J416" i="15"/>
  <c r="I422" i="15"/>
  <c r="I421" i="15" s="1"/>
  <c r="I420" i="15" s="1"/>
  <c r="K392" i="15"/>
  <c r="K398" i="15" s="1"/>
  <c r="K397" i="15" s="1"/>
  <c r="K396" i="15" s="1"/>
  <c r="J398" i="15"/>
  <c r="J397" i="15" s="1"/>
  <c r="J396" i="15" s="1"/>
  <c r="I254" i="15"/>
  <c r="I253" i="15" s="1"/>
  <c r="I252" i="15" s="1"/>
  <c r="J248" i="15"/>
  <c r="I326" i="15"/>
  <c r="I325" i="15" s="1"/>
  <c r="I324" i="15" s="1"/>
  <c r="J320" i="15"/>
  <c r="J410" i="15"/>
  <c r="J409" i="15" s="1"/>
  <c r="J408" i="15" s="1"/>
  <c r="K404" i="15"/>
  <c r="K410" i="15" s="1"/>
  <c r="K409" i="15" s="1"/>
  <c r="K408" i="15" s="1"/>
  <c r="C62" i="3"/>
  <c r="C63" i="3" s="1"/>
  <c r="C24" i="3"/>
  <c r="C25" i="3" s="1"/>
  <c r="Q29" i="58"/>
  <c r="Q45" i="58" s="1"/>
  <c r="P45" i="58"/>
  <c r="P28" i="58"/>
  <c r="O44" i="58"/>
  <c r="O27" i="58"/>
  <c r="N43" i="58"/>
  <c r="Q26" i="58"/>
  <c r="Q42" i="58" s="1"/>
  <c r="P42" i="58"/>
  <c r="C24" i="56"/>
  <c r="C25" i="56" s="1"/>
  <c r="AE17" i="14"/>
  <c r="C25" i="53"/>
  <c r="C26" i="53" s="1"/>
  <c r="AG17" i="14"/>
  <c r="I302" i="38"/>
  <c r="I300" i="38" s="1"/>
  <c r="H32" i="38" s="1"/>
  <c r="I93" i="15" s="1"/>
  <c r="J296" i="38"/>
  <c r="J302" i="38" s="1"/>
  <c r="J300" i="38" s="1"/>
  <c r="I32" i="38" s="1"/>
  <c r="J93" i="15" s="1"/>
  <c r="I302" i="15"/>
  <c r="I301" i="15" s="1"/>
  <c r="I300" i="15" s="1"/>
  <c r="J296" i="15"/>
  <c r="K308" i="15"/>
  <c r="K314" i="15" s="1"/>
  <c r="K313" i="15" s="1"/>
  <c r="K312" i="15" s="1"/>
  <c r="J314" i="15"/>
  <c r="J313" i="15" s="1"/>
  <c r="J312" i="15" s="1"/>
  <c r="J350" i="15"/>
  <c r="J349" i="15" s="1"/>
  <c r="J348" i="15" s="1"/>
  <c r="K344" i="15"/>
  <c r="K350" i="15" s="1"/>
  <c r="K349" i="15" s="1"/>
  <c r="K348" i="15" s="1"/>
  <c r="I349" i="15"/>
  <c r="I348" i="15" s="1"/>
  <c r="J188" i="15"/>
  <c r="I194" i="15"/>
  <c r="I193" i="15" s="1"/>
  <c r="I192" i="15" s="1"/>
  <c r="K380" i="15"/>
  <c r="K386" i="15" s="1"/>
  <c r="K385" i="15" s="1"/>
  <c r="K384" i="15" s="1"/>
  <c r="J386" i="15"/>
  <c r="J385" i="15" s="1"/>
  <c r="J384" i="15" s="1"/>
  <c r="I218" i="15"/>
  <c r="J212" i="15"/>
  <c r="H217" i="15"/>
  <c r="H216" i="15" s="1"/>
  <c r="I230" i="15"/>
  <c r="I229" i="15" s="1"/>
  <c r="I228" i="15" s="1"/>
  <c r="J224" i="15"/>
  <c r="J212" i="38"/>
  <c r="J218" i="38" s="1"/>
  <c r="J216" i="38" s="1"/>
  <c r="I25" i="38" s="1"/>
  <c r="J86" i="15" s="1"/>
  <c r="I218" i="38"/>
  <c r="I216" i="38" s="1"/>
  <c r="H25" i="38" s="1"/>
  <c r="I86" i="15" s="1"/>
  <c r="J152" i="38"/>
  <c r="J158" i="38" s="1"/>
  <c r="J156" i="38" s="1"/>
  <c r="I20" i="38" s="1"/>
  <c r="J81" i="15" s="1"/>
  <c r="I158" i="38"/>
  <c r="I156" i="38" s="1"/>
  <c r="H20" i="38" s="1"/>
  <c r="I81" i="15" s="1"/>
  <c r="I230" i="38"/>
  <c r="I228" i="38" s="1"/>
  <c r="H26" i="38" s="1"/>
  <c r="I87" i="15" s="1"/>
  <c r="J224" i="38"/>
  <c r="J230" i="38" s="1"/>
  <c r="J228" i="38" s="1"/>
  <c r="I26" i="38" s="1"/>
  <c r="J87" i="15" s="1"/>
  <c r="I110" i="38"/>
  <c r="J104" i="38"/>
  <c r="J110" i="38" s="1"/>
  <c r="J188" i="38"/>
  <c r="J194" i="38" s="1"/>
  <c r="J192" i="38" s="1"/>
  <c r="I23" i="38" s="1"/>
  <c r="J84" i="15" s="1"/>
  <c r="I194" i="38"/>
  <c r="I192" i="38" s="1"/>
  <c r="H23" i="38" s="1"/>
  <c r="I84" i="15" s="1"/>
  <c r="J116" i="38"/>
  <c r="J122" i="38" s="1"/>
  <c r="I122" i="38"/>
  <c r="L358" i="58" l="1"/>
  <c r="F16" i="58" s="1"/>
  <c r="AL45" i="14" s="1"/>
  <c r="L244" i="58"/>
  <c r="F13" i="58" s="1"/>
  <c r="AL42" i="14" s="1"/>
  <c r="F15" i="58"/>
  <c r="AL44" i="14" s="1"/>
  <c r="L320" i="58"/>
  <c r="L206" i="58"/>
  <c r="F12" i="58" s="1"/>
  <c r="AL41" i="14" s="1"/>
  <c r="L282" i="58"/>
  <c r="F14" i="58" s="1"/>
  <c r="AL43" i="14" s="1"/>
  <c r="L168" i="58"/>
  <c r="F11" i="58" s="1"/>
  <c r="AL40" i="14" s="1"/>
  <c r="L130" i="58"/>
  <c r="F10" i="58" s="1"/>
  <c r="AL39" i="14" s="1"/>
  <c r="E104" i="3" s="1"/>
  <c r="E118" i="3" s="1"/>
  <c r="L92" i="58"/>
  <c r="F9" i="58" s="1"/>
  <c r="AL38" i="14" s="1"/>
  <c r="AP61" i="50"/>
  <c r="AL74" i="15"/>
  <c r="I8" i="47"/>
  <c r="AP7" i="14" s="1"/>
  <c r="J29" i="47"/>
  <c r="H273" i="45"/>
  <c r="I273" i="45"/>
  <c r="J273" i="45"/>
  <c r="E128" i="3"/>
  <c r="AL62" i="14" s="1"/>
  <c r="K260" i="15"/>
  <c r="K266" i="15" s="1"/>
  <c r="K265" i="15" s="1"/>
  <c r="K264" i="15" s="1"/>
  <c r="J266" i="15"/>
  <c r="J265" i="15" s="1"/>
  <c r="J264" i="15" s="1"/>
  <c r="E41" i="38"/>
  <c r="I182" i="38"/>
  <c r="I180" i="38" s="1"/>
  <c r="H22" i="38" s="1"/>
  <c r="I83" i="15" s="1"/>
  <c r="J176" i="38"/>
  <c r="J182" i="38" s="1"/>
  <c r="J180" i="38" s="1"/>
  <c r="I22" i="38" s="1"/>
  <c r="J83" i="15" s="1"/>
  <c r="J308" i="38"/>
  <c r="J314" i="38" s="1"/>
  <c r="J312" i="38" s="1"/>
  <c r="I33" i="38" s="1"/>
  <c r="J94" i="15" s="1"/>
  <c r="I314" i="38"/>
  <c r="I312" i="38" s="1"/>
  <c r="H33" i="38" s="1"/>
  <c r="I94" i="15" s="1"/>
  <c r="F37" i="38"/>
  <c r="F41" i="38" s="1"/>
  <c r="F389" i="50"/>
  <c r="F388" i="50"/>
  <c r="F390" i="50"/>
  <c r="Z386" i="50"/>
  <c r="AA386" i="50"/>
  <c r="F397" i="50"/>
  <c r="F398" i="50"/>
  <c r="F396" i="50"/>
  <c r="AA391" i="50"/>
  <c r="K398" i="50"/>
  <c r="K397" i="50"/>
  <c r="K396" i="50"/>
  <c r="I390" i="50"/>
  <c r="I389" i="50"/>
  <c r="Z389" i="50"/>
  <c r="I388" i="50"/>
  <c r="K389" i="50"/>
  <c r="Z391" i="50"/>
  <c r="K390" i="50"/>
  <c r="K388" i="50"/>
  <c r="H389" i="50"/>
  <c r="H388" i="50"/>
  <c r="H390" i="50"/>
  <c r="Z388" i="50"/>
  <c r="AC81" i="50"/>
  <c r="J412" i="50"/>
  <c r="J411" i="50" s="1"/>
  <c r="H404" i="50"/>
  <c r="H403" i="50" s="1"/>
  <c r="I412" i="50"/>
  <c r="I411" i="50" s="1"/>
  <c r="J404" i="50"/>
  <c r="J403" i="50" s="1"/>
  <c r="H412" i="50"/>
  <c r="H411" i="50" s="1"/>
  <c r="K412" i="50"/>
  <c r="K411" i="50" s="1"/>
  <c r="G412" i="50"/>
  <c r="G411" i="50" s="1"/>
  <c r="F412" i="50"/>
  <c r="F411" i="50" s="1"/>
  <c r="G404" i="50"/>
  <c r="G403" i="50" s="1"/>
  <c r="I404" i="50"/>
  <c r="I403" i="50" s="1"/>
  <c r="K404" i="50"/>
  <c r="K403" i="50" s="1"/>
  <c r="F404" i="50"/>
  <c r="F403" i="50" s="1"/>
  <c r="J397" i="50"/>
  <c r="AA390" i="50"/>
  <c r="J398" i="50"/>
  <c r="J396" i="50"/>
  <c r="G396" i="50"/>
  <c r="G397" i="50"/>
  <c r="G398" i="50"/>
  <c r="AA387" i="50"/>
  <c r="H398" i="50"/>
  <c r="AA388" i="50"/>
  <c r="H396" i="50"/>
  <c r="H397" i="50"/>
  <c r="J388" i="50"/>
  <c r="J389" i="50"/>
  <c r="Z390" i="50"/>
  <c r="J390" i="50"/>
  <c r="Z387" i="50"/>
  <c r="G390" i="50"/>
  <c r="G388" i="50"/>
  <c r="G389" i="50"/>
  <c r="I398" i="50"/>
  <c r="I396" i="50"/>
  <c r="AA389" i="50"/>
  <c r="I397" i="50"/>
  <c r="P370" i="58"/>
  <c r="O386" i="58"/>
  <c r="P142" i="58"/>
  <c r="O158" i="58"/>
  <c r="P218" i="58"/>
  <c r="O234" i="58"/>
  <c r="P256" i="58"/>
  <c r="O272" i="58"/>
  <c r="P294" i="58"/>
  <c r="O310" i="58"/>
  <c r="P332" i="58"/>
  <c r="O348" i="58"/>
  <c r="Q371" i="58"/>
  <c r="Q387" i="58" s="1"/>
  <c r="P387" i="58"/>
  <c r="P180" i="58"/>
  <c r="O196" i="58"/>
  <c r="Q219" i="58"/>
  <c r="Q235" i="58" s="1"/>
  <c r="P235" i="58"/>
  <c r="P66" i="58"/>
  <c r="O82" i="58"/>
  <c r="Q257" i="58"/>
  <c r="Q273" i="58" s="1"/>
  <c r="P273" i="58"/>
  <c r="Q67" i="58"/>
  <c r="Q83" i="58" s="1"/>
  <c r="P83" i="58"/>
  <c r="Q295" i="58"/>
  <c r="Q311" i="58" s="1"/>
  <c r="P311" i="58"/>
  <c r="Q333" i="58"/>
  <c r="Q349" i="58" s="1"/>
  <c r="P349" i="58"/>
  <c r="Q143" i="58"/>
  <c r="Q159" i="58" s="1"/>
  <c r="P159" i="58"/>
  <c r="Q181" i="58"/>
  <c r="Q197" i="58" s="1"/>
  <c r="P197" i="58"/>
  <c r="O120" i="58"/>
  <c r="P104" i="58"/>
  <c r="P121" i="58"/>
  <c r="Q105" i="58"/>
  <c r="Q121" i="58" s="1"/>
  <c r="M118" i="58"/>
  <c r="N102" i="58"/>
  <c r="N119" i="58"/>
  <c r="O103" i="58"/>
  <c r="N309" i="58"/>
  <c r="O293" i="58"/>
  <c r="N385" i="58"/>
  <c r="O369" i="58"/>
  <c r="M346" i="58"/>
  <c r="N330" i="58"/>
  <c r="M308" i="58"/>
  <c r="N292" i="58"/>
  <c r="N195" i="58"/>
  <c r="O179" i="58"/>
  <c r="N271" i="58"/>
  <c r="O255" i="58"/>
  <c r="M156" i="58"/>
  <c r="N140" i="58"/>
  <c r="N157" i="58"/>
  <c r="O141" i="58"/>
  <c r="M80" i="58"/>
  <c r="N347" i="58"/>
  <c r="O331" i="58"/>
  <c r="N233" i="58"/>
  <c r="O217" i="58"/>
  <c r="M194" i="58"/>
  <c r="N178" i="58"/>
  <c r="M270" i="58"/>
  <c r="N254" i="58"/>
  <c r="M384" i="58"/>
  <c r="M396" i="58" s="1"/>
  <c r="G17" i="58" s="1"/>
  <c r="AM46" i="14" s="1"/>
  <c r="N368" i="58"/>
  <c r="M232" i="58"/>
  <c r="N216" i="58"/>
  <c r="N81" i="58"/>
  <c r="O65" i="58"/>
  <c r="N54" i="58"/>
  <c r="H8" i="58" s="1"/>
  <c r="AN37" i="14" s="1"/>
  <c r="J273" i="44"/>
  <c r="N97" i="15"/>
  <c r="AW32" i="14"/>
  <c r="I273" i="44"/>
  <c r="H273" i="44"/>
  <c r="J338" i="15"/>
  <c r="J337" i="15" s="1"/>
  <c r="J336" i="15" s="1"/>
  <c r="K332" i="15"/>
  <c r="K338" i="15" s="1"/>
  <c r="K337" i="15" s="1"/>
  <c r="K336" i="15" s="1"/>
  <c r="O78" i="15"/>
  <c r="O97" i="15" s="1"/>
  <c r="N37" i="38"/>
  <c r="P81" i="37" s="1"/>
  <c r="H81" i="37"/>
  <c r="G97" i="15"/>
  <c r="E40" i="38"/>
  <c r="G80" i="37"/>
  <c r="F36" i="38"/>
  <c r="N36" i="38"/>
  <c r="P80" i="37" s="1"/>
  <c r="J121" i="38"/>
  <c r="P17" i="38" s="1"/>
  <c r="I109" i="38"/>
  <c r="O16" i="38" s="1"/>
  <c r="I121" i="38"/>
  <c r="O17" i="38" s="1"/>
  <c r="J109" i="38"/>
  <c r="P16" i="38" s="1"/>
  <c r="Q77" i="15" s="1"/>
  <c r="I66" i="56"/>
  <c r="I80" i="56" s="1"/>
  <c r="I90" i="56" s="1"/>
  <c r="AP51" i="14" s="1"/>
  <c r="F66" i="56"/>
  <c r="F80" i="56" s="1"/>
  <c r="F90" i="56" s="1"/>
  <c r="AM51" i="14" s="1"/>
  <c r="J66" i="56"/>
  <c r="J80" i="56" s="1"/>
  <c r="J90" i="56" s="1"/>
  <c r="AQ51" i="14" s="1"/>
  <c r="H66" i="56"/>
  <c r="H80" i="56" s="1"/>
  <c r="H90" i="56" s="1"/>
  <c r="AO51" i="14" s="1"/>
  <c r="S64" i="56"/>
  <c r="E66" i="56"/>
  <c r="E80" i="56" s="1"/>
  <c r="E90" i="56" s="1"/>
  <c r="AL51" i="14" s="1"/>
  <c r="G66" i="56"/>
  <c r="G80" i="56" s="1"/>
  <c r="G90" i="56" s="1"/>
  <c r="AN51" i="14" s="1"/>
  <c r="S102" i="56"/>
  <c r="J104" i="56"/>
  <c r="J118" i="56" s="1"/>
  <c r="J128" i="56" s="1"/>
  <c r="E104" i="56"/>
  <c r="E118" i="56" s="1"/>
  <c r="E128" i="56" s="1"/>
  <c r="G104" i="56"/>
  <c r="G118" i="56" s="1"/>
  <c r="G128" i="56" s="1"/>
  <c r="I104" i="56"/>
  <c r="I118" i="56" s="1"/>
  <c r="I128" i="56" s="1"/>
  <c r="H104" i="56"/>
  <c r="H118" i="56" s="1"/>
  <c r="H128" i="56" s="1"/>
  <c r="F104" i="56"/>
  <c r="F118" i="56" s="1"/>
  <c r="F128" i="56" s="1"/>
  <c r="H108" i="38"/>
  <c r="G16" i="38" s="1"/>
  <c r="H77" i="15" s="1"/>
  <c r="H120" i="38"/>
  <c r="G17" i="38" s="1"/>
  <c r="H78" i="15" s="1"/>
  <c r="J332" i="38"/>
  <c r="J338" i="38" s="1"/>
  <c r="J336" i="38" s="1"/>
  <c r="I35" i="38" s="1"/>
  <c r="J96" i="15" s="1"/>
  <c r="I338" i="38"/>
  <c r="I336" i="38" s="1"/>
  <c r="H35" i="38" s="1"/>
  <c r="I96" i="15" s="1"/>
  <c r="I146" i="38"/>
  <c r="I144" i="38" s="1"/>
  <c r="H19" i="38" s="1"/>
  <c r="I80" i="15" s="1"/>
  <c r="J140" i="38"/>
  <c r="J146" i="38" s="1"/>
  <c r="J144" i="38" s="1"/>
  <c r="I19" i="38" s="1"/>
  <c r="J80" i="15" s="1"/>
  <c r="I290" i="38"/>
  <c r="I288" i="38" s="1"/>
  <c r="H31" i="38" s="1"/>
  <c r="I92" i="15" s="1"/>
  <c r="J284" i="38"/>
  <c r="J290" i="38" s="1"/>
  <c r="J288" i="38" s="1"/>
  <c r="I31" i="38" s="1"/>
  <c r="J92" i="15" s="1"/>
  <c r="J128" i="38"/>
  <c r="J134" i="38" s="1"/>
  <c r="J132" i="38" s="1"/>
  <c r="I18" i="38" s="1"/>
  <c r="J79" i="15" s="1"/>
  <c r="I134" i="38"/>
  <c r="I132" i="38" s="1"/>
  <c r="H18" i="38" s="1"/>
  <c r="I79" i="15" s="1"/>
  <c r="I206" i="38"/>
  <c r="I204" i="38" s="1"/>
  <c r="H24" i="38" s="1"/>
  <c r="I85" i="15" s="1"/>
  <c r="J200" i="38"/>
  <c r="J206" i="38" s="1"/>
  <c r="J204" i="38" s="1"/>
  <c r="I24" i="38" s="1"/>
  <c r="J85" i="15" s="1"/>
  <c r="I266" i="38"/>
  <c r="I264" i="38" s="1"/>
  <c r="H29" i="38" s="1"/>
  <c r="I90" i="15" s="1"/>
  <c r="J260" i="38"/>
  <c r="J266" i="38" s="1"/>
  <c r="J264" i="38" s="1"/>
  <c r="I29" i="38" s="1"/>
  <c r="J90" i="15" s="1"/>
  <c r="J248" i="38"/>
  <c r="J254" i="38" s="1"/>
  <c r="J252" i="38" s="1"/>
  <c r="I28" i="38" s="1"/>
  <c r="J89" i="15" s="1"/>
  <c r="I254" i="38"/>
  <c r="I252" i="38" s="1"/>
  <c r="H28" i="38" s="1"/>
  <c r="I89" i="15" s="1"/>
  <c r="K272" i="15"/>
  <c r="K278" i="15" s="1"/>
  <c r="K277" i="15" s="1"/>
  <c r="K276" i="15" s="1"/>
  <c r="J278" i="15"/>
  <c r="J277" i="15" s="1"/>
  <c r="J276" i="15" s="1"/>
  <c r="B26" i="53"/>
  <c r="J374" i="15"/>
  <c r="J373" i="15" s="1"/>
  <c r="J372" i="15" s="1"/>
  <c r="K368" i="15"/>
  <c r="K374" i="15" s="1"/>
  <c r="K373" i="15" s="1"/>
  <c r="K372" i="15" s="1"/>
  <c r="K320" i="15"/>
  <c r="K326" i="15" s="1"/>
  <c r="K325" i="15" s="1"/>
  <c r="K324" i="15" s="1"/>
  <c r="J326" i="15"/>
  <c r="J325" i="15" s="1"/>
  <c r="J324" i="15" s="1"/>
  <c r="K248" i="15"/>
  <c r="K254" i="15" s="1"/>
  <c r="K253" i="15" s="1"/>
  <c r="K252" i="15" s="1"/>
  <c r="J254" i="15"/>
  <c r="J253" i="15" s="1"/>
  <c r="J252" i="15" s="1"/>
  <c r="J422" i="15"/>
  <c r="J421" i="15" s="1"/>
  <c r="J420" i="15" s="1"/>
  <c r="K416" i="15"/>
  <c r="K422" i="15" s="1"/>
  <c r="K421" i="15" s="1"/>
  <c r="K420" i="15" s="1"/>
  <c r="F28" i="3"/>
  <c r="F42" i="3" s="1"/>
  <c r="F52" i="3" s="1"/>
  <c r="G28" i="3"/>
  <c r="G42" i="3" s="1"/>
  <c r="G52" i="3" s="1"/>
  <c r="E28" i="3"/>
  <c r="E42" i="3" s="1"/>
  <c r="E52" i="3" s="1"/>
  <c r="S26" i="3"/>
  <c r="S64" i="3"/>
  <c r="E66" i="3"/>
  <c r="E80" i="3" s="1"/>
  <c r="E90" i="3" s="1"/>
  <c r="F66" i="3"/>
  <c r="F80" i="3" s="1"/>
  <c r="F90" i="3" s="1"/>
  <c r="P27" i="58"/>
  <c r="O43" i="58"/>
  <c r="P44" i="58"/>
  <c r="Q28" i="58"/>
  <c r="Q44" i="58" s="1"/>
  <c r="B215" i="56"/>
  <c r="B329" i="3"/>
  <c r="B253" i="56"/>
  <c r="B177" i="3"/>
  <c r="B25" i="56"/>
  <c r="B329" i="56"/>
  <c r="B367" i="3"/>
  <c r="B101" i="56"/>
  <c r="B25" i="3"/>
  <c r="B291" i="3"/>
  <c r="B142" i="53"/>
  <c r="B113" i="53"/>
  <c r="B139" i="56"/>
  <c r="B101" i="3"/>
  <c r="B63" i="56"/>
  <c r="B367" i="56"/>
  <c r="B253" i="3"/>
  <c r="B177" i="56"/>
  <c r="B139" i="3"/>
  <c r="B63" i="3"/>
  <c r="B291" i="56"/>
  <c r="B215" i="3"/>
  <c r="B55" i="53"/>
  <c r="B84" i="53"/>
  <c r="I29" i="53"/>
  <c r="I33" i="53" s="1"/>
  <c r="I43" i="53" s="1"/>
  <c r="G29" i="53"/>
  <c r="G33" i="53" s="1"/>
  <c r="G43" i="53" s="1"/>
  <c r="L27" i="53"/>
  <c r="F29" i="53"/>
  <c r="F33" i="53" s="1"/>
  <c r="F43" i="53" s="1"/>
  <c r="J29" i="53"/>
  <c r="J33" i="53" s="1"/>
  <c r="J43" i="53" s="1"/>
  <c r="H29" i="53"/>
  <c r="H33" i="53" s="1"/>
  <c r="H43" i="53" s="1"/>
  <c r="E29" i="53"/>
  <c r="E33" i="53" s="1"/>
  <c r="E43" i="53" s="1"/>
  <c r="F28" i="56"/>
  <c r="F42" i="56" s="1"/>
  <c r="F52" i="56" s="1"/>
  <c r="G28" i="56"/>
  <c r="G42" i="56" s="1"/>
  <c r="G52" i="56" s="1"/>
  <c r="S26" i="56"/>
  <c r="I28" i="56"/>
  <c r="I42" i="56" s="1"/>
  <c r="I52" i="56" s="1"/>
  <c r="H28" i="56"/>
  <c r="H42" i="56" s="1"/>
  <c r="H52" i="56" s="1"/>
  <c r="J28" i="56"/>
  <c r="J42" i="56" s="1"/>
  <c r="J52" i="56" s="1"/>
  <c r="E28" i="56"/>
  <c r="E42" i="56" s="1"/>
  <c r="E52" i="56" s="1"/>
  <c r="K296" i="15"/>
  <c r="K302" i="15" s="1"/>
  <c r="K301" i="15" s="1"/>
  <c r="K300" i="15" s="1"/>
  <c r="J302" i="15"/>
  <c r="J301" i="15" s="1"/>
  <c r="J300" i="15" s="1"/>
  <c r="K224" i="15"/>
  <c r="K230" i="15" s="1"/>
  <c r="K229" i="15" s="1"/>
  <c r="K228" i="15" s="1"/>
  <c r="J230" i="15"/>
  <c r="J229" i="15" s="1"/>
  <c r="J228" i="15" s="1"/>
  <c r="K212" i="15"/>
  <c r="K218" i="15" s="1"/>
  <c r="K217" i="15" s="1"/>
  <c r="K216" i="15" s="1"/>
  <c r="J218" i="15"/>
  <c r="J217" i="15" s="1"/>
  <c r="J216" i="15" s="1"/>
  <c r="I217" i="15"/>
  <c r="I216" i="15" s="1"/>
  <c r="K188" i="15"/>
  <c r="K194" i="15" s="1"/>
  <c r="K193" i="15" s="1"/>
  <c r="K192" i="15" s="1"/>
  <c r="J194" i="15"/>
  <c r="J193" i="15" s="1"/>
  <c r="J192" i="15" s="1"/>
  <c r="M206" i="58" l="1"/>
  <c r="G12" i="58" s="1"/>
  <c r="AM41" i="14" s="1"/>
  <c r="M320" i="58"/>
  <c r="G15" i="58" s="1"/>
  <c r="AM44" i="14" s="1"/>
  <c r="M358" i="58"/>
  <c r="G16" i="58" s="1"/>
  <c r="AM45" i="14" s="1"/>
  <c r="M282" i="58"/>
  <c r="G14" i="58" s="1"/>
  <c r="AM43" i="14" s="1"/>
  <c r="M244" i="58"/>
  <c r="G13" i="58" s="1"/>
  <c r="AM42" i="14" s="1"/>
  <c r="M168" i="58"/>
  <c r="G11" i="58" s="1"/>
  <c r="AM40" i="14" s="1"/>
  <c r="M130" i="58"/>
  <c r="G10" i="58" s="1"/>
  <c r="AM39" i="14" s="1"/>
  <c r="F104" i="3" s="1"/>
  <c r="F118" i="3" s="1"/>
  <c r="M92" i="58"/>
  <c r="G9" i="58" s="1"/>
  <c r="AM38" i="14" s="1"/>
  <c r="E129" i="3"/>
  <c r="AL101" i="14" s="1"/>
  <c r="J8" i="47"/>
  <c r="AQ7" i="14" s="1"/>
  <c r="F128" i="3"/>
  <c r="AM62" i="14" s="1"/>
  <c r="F407" i="50"/>
  <c r="F405" i="50"/>
  <c r="F406" i="50"/>
  <c r="Z403" i="50"/>
  <c r="Z406" i="50"/>
  <c r="I407" i="50"/>
  <c r="I405" i="50"/>
  <c r="I406" i="50"/>
  <c r="F413" i="50"/>
  <c r="AA403" i="50"/>
  <c r="F415" i="50"/>
  <c r="F414" i="50"/>
  <c r="K413" i="50"/>
  <c r="AA408" i="50"/>
  <c r="K414" i="50"/>
  <c r="K415" i="50"/>
  <c r="Z407" i="50"/>
  <c r="J407" i="50"/>
  <c r="J405" i="50"/>
  <c r="J406" i="50"/>
  <c r="H406" i="50"/>
  <c r="H405" i="50"/>
  <c r="H407" i="50"/>
  <c r="Z405" i="50"/>
  <c r="AC82" i="50"/>
  <c r="F429" i="50"/>
  <c r="F428" i="50" s="1"/>
  <c r="H429" i="50"/>
  <c r="H428" i="50" s="1"/>
  <c r="K429" i="50"/>
  <c r="K428" i="50" s="1"/>
  <c r="G429" i="50"/>
  <c r="G428" i="50" s="1"/>
  <c r="H421" i="50"/>
  <c r="H420" i="50" s="1"/>
  <c r="J429" i="50"/>
  <c r="J428" i="50" s="1"/>
  <c r="I429" i="50"/>
  <c r="I428" i="50" s="1"/>
  <c r="F421" i="50"/>
  <c r="F420" i="50" s="1"/>
  <c r="I421" i="50"/>
  <c r="I420" i="50" s="1"/>
  <c r="J421" i="50"/>
  <c r="J420" i="50" s="1"/>
  <c r="K421" i="50"/>
  <c r="K420" i="50" s="1"/>
  <c r="G421" i="50"/>
  <c r="G420" i="50" s="1"/>
  <c r="K406" i="50"/>
  <c r="Z408" i="50"/>
  <c r="K407" i="50"/>
  <c r="K405" i="50"/>
  <c r="G406" i="50"/>
  <c r="Z404" i="50"/>
  <c r="G407" i="50"/>
  <c r="G405" i="50"/>
  <c r="G414" i="50"/>
  <c r="G415" i="50"/>
  <c r="AA404" i="50"/>
  <c r="G413" i="50"/>
  <c r="H413" i="50"/>
  <c r="H414" i="50"/>
  <c r="H415" i="50"/>
  <c r="AA405" i="50"/>
  <c r="I415" i="50"/>
  <c r="I413" i="50"/>
  <c r="AA406" i="50"/>
  <c r="I414" i="50"/>
  <c r="J415" i="50"/>
  <c r="J413" i="50"/>
  <c r="J414" i="50"/>
  <c r="AA407" i="50"/>
  <c r="P65" i="58"/>
  <c r="O81" i="58"/>
  <c r="O216" i="58"/>
  <c r="N232" i="58"/>
  <c r="O368" i="58"/>
  <c r="N384" i="58"/>
  <c r="N396" i="58" s="1"/>
  <c r="H17" i="58" s="1"/>
  <c r="AN46" i="14" s="1"/>
  <c r="O254" i="58"/>
  <c r="N270" i="58"/>
  <c r="O178" i="58"/>
  <c r="N194" i="58"/>
  <c r="P217" i="58"/>
  <c r="O233" i="58"/>
  <c r="P331" i="58"/>
  <c r="O347" i="58"/>
  <c r="N80" i="58"/>
  <c r="P141" i="58"/>
  <c r="O157" i="58"/>
  <c r="O140" i="58"/>
  <c r="N156" i="58"/>
  <c r="N168" i="58" s="1"/>
  <c r="P255" i="58"/>
  <c r="O271" i="58"/>
  <c r="P179" i="58"/>
  <c r="O195" i="58"/>
  <c r="O292" i="58"/>
  <c r="N308" i="58"/>
  <c r="O330" i="58"/>
  <c r="N346" i="58"/>
  <c r="P369" i="58"/>
  <c r="O385" i="58"/>
  <c r="P293" i="58"/>
  <c r="O309" i="58"/>
  <c r="O119" i="58"/>
  <c r="P103" i="58"/>
  <c r="N118" i="58"/>
  <c r="O102" i="58"/>
  <c r="P120" i="58"/>
  <c r="Q104" i="58"/>
  <c r="Q120" i="58" s="1"/>
  <c r="P82" i="58"/>
  <c r="Q66" i="58"/>
  <c r="Q82" i="58" s="1"/>
  <c r="P196" i="58"/>
  <c r="Q180" i="58"/>
  <c r="Q196" i="58" s="1"/>
  <c r="P348" i="58"/>
  <c r="Q332" i="58"/>
  <c r="Q348" i="58" s="1"/>
  <c r="P310" i="58"/>
  <c r="Q294" i="58"/>
  <c r="Q310" i="58" s="1"/>
  <c r="P272" i="58"/>
  <c r="Q256" i="58"/>
  <c r="Q272" i="58" s="1"/>
  <c r="P234" i="58"/>
  <c r="Q218" i="58"/>
  <c r="Q234" i="58" s="1"/>
  <c r="P158" i="58"/>
  <c r="Q142" i="58"/>
  <c r="Q158" i="58" s="1"/>
  <c r="P386" i="58"/>
  <c r="Q370" i="58"/>
  <c r="Q386" i="58" s="1"/>
  <c r="O54" i="58"/>
  <c r="I8" i="58" s="1"/>
  <c r="AO37" i="14" s="1"/>
  <c r="H28" i="3" s="1"/>
  <c r="H42" i="3" s="1"/>
  <c r="H52" i="3" s="1"/>
  <c r="AO60" i="14" s="1"/>
  <c r="G37" i="38"/>
  <c r="G41" i="38" s="1"/>
  <c r="AW33" i="14"/>
  <c r="AM52" i="14"/>
  <c r="F129" i="56"/>
  <c r="AM91" i="14" s="1"/>
  <c r="AP52" i="14"/>
  <c r="I129" i="56"/>
  <c r="AP91" i="14" s="1"/>
  <c r="AL52" i="14"/>
  <c r="E129" i="56"/>
  <c r="AL91" i="14" s="1"/>
  <c r="AO52" i="14"/>
  <c r="H129" i="56"/>
  <c r="AO91" i="14" s="1"/>
  <c r="AN52" i="14"/>
  <c r="G129" i="56"/>
  <c r="AN91" i="14" s="1"/>
  <c r="AQ52" i="14"/>
  <c r="J129" i="56"/>
  <c r="AQ91" i="14" s="1"/>
  <c r="P78" i="15"/>
  <c r="O37" i="38"/>
  <c r="Q81" i="37" s="1"/>
  <c r="Q78" i="15"/>
  <c r="Q97" i="15" s="1"/>
  <c r="P37" i="38"/>
  <c r="R81" i="37" s="1"/>
  <c r="F40" i="38"/>
  <c r="H80" i="37"/>
  <c r="I81" i="37"/>
  <c r="H97" i="15"/>
  <c r="P36" i="38"/>
  <c r="R80" i="37" s="1"/>
  <c r="G36" i="38"/>
  <c r="P77" i="15"/>
  <c r="O36" i="38"/>
  <c r="Q80" i="37" s="1"/>
  <c r="J108" i="38"/>
  <c r="I16" i="38" s="1"/>
  <c r="J77" i="15" s="1"/>
  <c r="I120" i="38"/>
  <c r="H17" i="38" s="1"/>
  <c r="I78" i="15" s="1"/>
  <c r="I108" i="38"/>
  <c r="H16" i="38" s="1"/>
  <c r="I77" i="15" s="1"/>
  <c r="J120" i="38"/>
  <c r="I17" i="38" s="1"/>
  <c r="J78" i="15" s="1"/>
  <c r="AM61" i="14"/>
  <c r="F91" i="3"/>
  <c r="AM100" i="14" s="1"/>
  <c r="E53" i="3"/>
  <c r="AL60" i="14"/>
  <c r="F51" i="60" s="1"/>
  <c r="E14" i="3"/>
  <c r="G53" i="3"/>
  <c r="AN60" i="14"/>
  <c r="AL61" i="14"/>
  <c r="E91" i="3"/>
  <c r="AL100" i="14" s="1"/>
  <c r="F53" i="3"/>
  <c r="AM60" i="14"/>
  <c r="P43" i="58"/>
  <c r="Q27" i="58"/>
  <c r="Q43" i="58" s="1"/>
  <c r="E53" i="56"/>
  <c r="E14" i="56"/>
  <c r="AL50" i="14"/>
  <c r="F29" i="60" s="1"/>
  <c r="AO50" i="14"/>
  <c r="H53" i="56"/>
  <c r="H14" i="56"/>
  <c r="F14" i="56"/>
  <c r="F53" i="56"/>
  <c r="AM50" i="14"/>
  <c r="AO70" i="14"/>
  <c r="H14" i="53"/>
  <c r="H44" i="53"/>
  <c r="AM70" i="14"/>
  <c r="F14" i="53"/>
  <c r="F44" i="53"/>
  <c r="G44" i="53"/>
  <c r="G14" i="53"/>
  <c r="AN70" i="14"/>
  <c r="AQ50" i="14"/>
  <c r="J53" i="56"/>
  <c r="J14" i="56"/>
  <c r="I53" i="56"/>
  <c r="I14" i="56"/>
  <c r="AP50" i="14"/>
  <c r="G14" i="56"/>
  <c r="AN50" i="14"/>
  <c r="G53" i="56"/>
  <c r="E14" i="53"/>
  <c r="E44" i="53"/>
  <c r="AL70" i="14"/>
  <c r="J44" i="53"/>
  <c r="AQ70" i="14"/>
  <c r="J14" i="53"/>
  <c r="I44" i="53"/>
  <c r="I14" i="53"/>
  <c r="AP70" i="14"/>
  <c r="N358" i="58" l="1"/>
  <c r="H16" i="58" s="1"/>
  <c r="AN45" i="14" s="1"/>
  <c r="N320" i="58"/>
  <c r="H15" i="58" s="1"/>
  <c r="AN44" i="14" s="1"/>
  <c r="H12" i="58"/>
  <c r="AN41" i="14" s="1"/>
  <c r="N206" i="58"/>
  <c r="N244" i="58"/>
  <c r="H13" i="58" s="1"/>
  <c r="AN42" i="14" s="1"/>
  <c r="N282" i="58"/>
  <c r="H14" i="58" s="1"/>
  <c r="AN43" i="14" s="1"/>
  <c r="H11" i="58"/>
  <c r="AN40" i="14" s="1"/>
  <c r="N130" i="58"/>
  <c r="H10" i="58" s="1"/>
  <c r="AN39" i="14" s="1"/>
  <c r="G104" i="3" s="1"/>
  <c r="G118" i="3" s="1"/>
  <c r="N92" i="58"/>
  <c r="H9" i="58" s="1"/>
  <c r="AN38" i="14" s="1"/>
  <c r="G66" i="3" s="1"/>
  <c r="G80" i="3" s="1"/>
  <c r="G90" i="3" s="1"/>
  <c r="AN61" i="14" s="1"/>
  <c r="F129" i="3"/>
  <c r="AM101" i="14" s="1"/>
  <c r="H53" i="3"/>
  <c r="AO99" i="14" s="1"/>
  <c r="G91" i="3"/>
  <c r="AN100" i="14" s="1"/>
  <c r="F14" i="3"/>
  <c r="G128" i="3"/>
  <c r="G129" i="3" s="1"/>
  <c r="AN101" i="14" s="1"/>
  <c r="Z421" i="50"/>
  <c r="G424" i="50"/>
  <c r="G422" i="50"/>
  <c r="G423" i="50"/>
  <c r="Z424" i="50"/>
  <c r="J423" i="50"/>
  <c r="J424" i="50"/>
  <c r="J422" i="50"/>
  <c r="F424" i="50"/>
  <c r="F422" i="50"/>
  <c r="F423" i="50"/>
  <c r="Z420" i="50"/>
  <c r="J431" i="50"/>
  <c r="AA424" i="50"/>
  <c r="J432" i="50"/>
  <c r="J430" i="50"/>
  <c r="G432" i="50"/>
  <c r="G430" i="50"/>
  <c r="AA421" i="50"/>
  <c r="G431" i="50"/>
  <c r="H431" i="50"/>
  <c r="AA422" i="50"/>
  <c r="H432" i="50"/>
  <c r="H430" i="50"/>
  <c r="F446" i="50"/>
  <c r="F445" i="50" s="1"/>
  <c r="J438" i="50"/>
  <c r="J437" i="50" s="1"/>
  <c r="G438" i="50"/>
  <c r="G437" i="50" s="1"/>
  <c r="K438" i="50"/>
  <c r="K437" i="50" s="1"/>
  <c r="H446" i="50"/>
  <c r="H445" i="50" s="1"/>
  <c r="I446" i="50"/>
  <c r="I445" i="50" s="1"/>
  <c r="F438" i="50"/>
  <c r="F437" i="50" s="1"/>
  <c r="J446" i="50"/>
  <c r="J445" i="50" s="1"/>
  <c r="H438" i="50"/>
  <c r="H437" i="50" s="1"/>
  <c r="I438" i="50"/>
  <c r="I437" i="50" s="1"/>
  <c r="K446" i="50"/>
  <c r="K445" i="50" s="1"/>
  <c r="G446" i="50"/>
  <c r="G445" i="50" s="1"/>
  <c r="K423" i="50"/>
  <c r="Z425" i="50"/>
  <c r="K424" i="50"/>
  <c r="K422" i="50"/>
  <c r="I423" i="50"/>
  <c r="Z423" i="50"/>
  <c r="I424" i="50"/>
  <c r="I422" i="50"/>
  <c r="I431" i="50"/>
  <c r="I432" i="50"/>
  <c r="I430" i="50"/>
  <c r="AA423" i="50"/>
  <c r="H423" i="50"/>
  <c r="H422" i="50"/>
  <c r="H424" i="50"/>
  <c r="Z422" i="50"/>
  <c r="K431" i="50"/>
  <c r="K432" i="50"/>
  <c r="K430" i="50"/>
  <c r="AA425" i="50"/>
  <c r="AA420" i="50"/>
  <c r="F431" i="50"/>
  <c r="F432" i="50"/>
  <c r="F430" i="50"/>
  <c r="O118" i="58"/>
  <c r="P102" i="58"/>
  <c r="P119" i="58"/>
  <c r="Q103" i="58"/>
  <c r="Q119" i="58" s="1"/>
  <c r="P309" i="58"/>
  <c r="Q293" i="58"/>
  <c r="Q309" i="58" s="1"/>
  <c r="P385" i="58"/>
  <c r="Q369" i="58"/>
  <c r="Q385" i="58" s="1"/>
  <c r="O346" i="58"/>
  <c r="P330" i="58"/>
  <c r="O308" i="58"/>
  <c r="P292" i="58"/>
  <c r="P195" i="58"/>
  <c r="Q179" i="58"/>
  <c r="Q195" i="58" s="1"/>
  <c r="P271" i="58"/>
  <c r="Q255" i="58"/>
  <c r="Q271" i="58" s="1"/>
  <c r="O156" i="58"/>
  <c r="P140" i="58"/>
  <c r="P157" i="58"/>
  <c r="Q141" i="58"/>
  <c r="Q157" i="58" s="1"/>
  <c r="O80" i="58"/>
  <c r="P347" i="58"/>
  <c r="Q331" i="58"/>
  <c r="Q347" i="58" s="1"/>
  <c r="P233" i="58"/>
  <c r="Q217" i="58"/>
  <c r="Q233" i="58" s="1"/>
  <c r="O194" i="58"/>
  <c r="P178" i="58"/>
  <c r="O270" i="58"/>
  <c r="P254" i="58"/>
  <c r="O384" i="58"/>
  <c r="O396" i="58" s="1"/>
  <c r="I17" i="58" s="1"/>
  <c r="AO46" i="14" s="1"/>
  <c r="P368" i="58"/>
  <c r="O232" i="58"/>
  <c r="P216" i="58"/>
  <c r="P81" i="58"/>
  <c r="Q65" i="58"/>
  <c r="Q81" i="58" s="1"/>
  <c r="Q54" i="58"/>
  <c r="K8" i="58" s="1"/>
  <c r="AQ37" i="14" s="1"/>
  <c r="J28" i="3" s="1"/>
  <c r="J42" i="3" s="1"/>
  <c r="P54" i="58"/>
  <c r="J8" i="58" s="1"/>
  <c r="AP37" i="14" s="1"/>
  <c r="I28" i="3" s="1"/>
  <c r="I42" i="3" s="1"/>
  <c r="H37" i="38"/>
  <c r="H41" i="38" s="1"/>
  <c r="AW34" i="14"/>
  <c r="I37" i="38"/>
  <c r="I41" i="38" s="1"/>
  <c r="J97" i="15"/>
  <c r="I36" i="38"/>
  <c r="K80" i="37" s="1"/>
  <c r="G40" i="38"/>
  <c r="I80" i="37"/>
  <c r="P97" i="15"/>
  <c r="I97" i="15"/>
  <c r="H36" i="38"/>
  <c r="H227" i="60"/>
  <c r="I235" i="60" s="1"/>
  <c r="J227" i="60"/>
  <c r="J237" i="60" s="1"/>
  <c r="I227" i="60"/>
  <c r="J236" i="60" s="1"/>
  <c r="K227" i="60"/>
  <c r="K238" i="60" s="1"/>
  <c r="G227" i="60"/>
  <c r="H234" i="60" s="1"/>
  <c r="F227" i="60"/>
  <c r="G233" i="60" s="1"/>
  <c r="AM81" i="14"/>
  <c r="G447" i="60" s="1"/>
  <c r="G454" i="60" s="1"/>
  <c r="AM99" i="14"/>
  <c r="F15" i="3"/>
  <c r="AN99" i="14"/>
  <c r="AL81" i="14"/>
  <c r="F447" i="60" s="1"/>
  <c r="E15" i="3"/>
  <c r="AL99" i="14"/>
  <c r="AL120" i="14" s="1"/>
  <c r="N447" i="60" s="1"/>
  <c r="J403" i="60"/>
  <c r="J381" i="60"/>
  <c r="J359" i="60"/>
  <c r="J337" i="60"/>
  <c r="J139" i="60"/>
  <c r="J183" i="60"/>
  <c r="J535" i="60"/>
  <c r="AP83" i="14"/>
  <c r="J293" i="60" s="1"/>
  <c r="J513" i="60"/>
  <c r="J557" i="60"/>
  <c r="J117" i="60"/>
  <c r="J161" i="60"/>
  <c r="AP109" i="14"/>
  <c r="I15" i="53"/>
  <c r="K513" i="60"/>
  <c r="K524" i="60" s="1"/>
  <c r="K337" i="60"/>
  <c r="K348" i="60" s="1"/>
  <c r="K183" i="60"/>
  <c r="K194" i="60" s="1"/>
  <c r="K535" i="60"/>
  <c r="K546" i="60" s="1"/>
  <c r="K359" i="60"/>
  <c r="K370" i="60" s="1"/>
  <c r="K117" i="60"/>
  <c r="K128" i="60" s="1"/>
  <c r="K557" i="60"/>
  <c r="K568" i="60" s="1"/>
  <c r="K403" i="60"/>
  <c r="K414" i="60" s="1"/>
  <c r="K381" i="60"/>
  <c r="K392" i="60" s="1"/>
  <c r="K139" i="60"/>
  <c r="K150" i="60" s="1"/>
  <c r="K161" i="60"/>
  <c r="K172" i="60" s="1"/>
  <c r="AQ83" i="14"/>
  <c r="K293" i="60" s="1"/>
  <c r="K304" i="60" s="1"/>
  <c r="F557" i="60"/>
  <c r="F535" i="60"/>
  <c r="F403" i="60"/>
  <c r="F359" i="60"/>
  <c r="F337" i="60"/>
  <c r="F139" i="60"/>
  <c r="F183" i="60"/>
  <c r="F95" i="60"/>
  <c r="F513" i="60"/>
  <c r="F161" i="60"/>
  <c r="F117" i="60"/>
  <c r="F73" i="60"/>
  <c r="AL83" i="14"/>
  <c r="F293" i="60" s="1"/>
  <c r="F381" i="60"/>
  <c r="AN80" i="14"/>
  <c r="H29" i="60" s="1"/>
  <c r="AP80" i="14"/>
  <c r="I15" i="56"/>
  <c r="AP89" i="14"/>
  <c r="J15" i="56"/>
  <c r="AQ89" i="14"/>
  <c r="H513" i="60"/>
  <c r="H161" i="60"/>
  <c r="H73" i="60"/>
  <c r="H51" i="60"/>
  <c r="H535" i="60"/>
  <c r="H403" i="60"/>
  <c r="H337" i="60"/>
  <c r="H381" i="60"/>
  <c r="H139" i="60"/>
  <c r="H557" i="60"/>
  <c r="H359" i="60"/>
  <c r="H117" i="60"/>
  <c r="H183" i="60"/>
  <c r="AN83" i="14"/>
  <c r="H293" i="60" s="1"/>
  <c r="AN109" i="14"/>
  <c r="G15" i="53"/>
  <c r="H15" i="53"/>
  <c r="AO109" i="14"/>
  <c r="I513" i="60"/>
  <c r="I381" i="60"/>
  <c r="I359" i="60"/>
  <c r="I183" i="60"/>
  <c r="I51" i="60"/>
  <c r="I535" i="60"/>
  <c r="I403" i="60"/>
  <c r="I337" i="60"/>
  <c r="I161" i="60"/>
  <c r="I557" i="60"/>
  <c r="I271" i="60"/>
  <c r="I117" i="60"/>
  <c r="I139" i="60"/>
  <c r="AO83" i="14"/>
  <c r="I293" i="60" s="1"/>
  <c r="F15" i="56"/>
  <c r="AM89" i="14"/>
  <c r="AO80" i="14"/>
  <c r="J15" i="53"/>
  <c r="AQ109" i="14"/>
  <c r="E15" i="53"/>
  <c r="AL109" i="14"/>
  <c r="G15" i="56"/>
  <c r="AN89" i="14"/>
  <c r="AQ80" i="14"/>
  <c r="F15" i="53"/>
  <c r="AM109" i="14"/>
  <c r="G557" i="60"/>
  <c r="G535" i="60"/>
  <c r="G403" i="60"/>
  <c r="G359" i="60"/>
  <c r="G337" i="60"/>
  <c r="G139" i="60"/>
  <c r="G183" i="60"/>
  <c r="G73" i="60"/>
  <c r="G51" i="60"/>
  <c r="G117" i="60"/>
  <c r="G161" i="60"/>
  <c r="G95" i="60"/>
  <c r="AM83" i="14"/>
  <c r="G293" i="60" s="1"/>
  <c r="G513" i="60"/>
  <c r="G381" i="60"/>
  <c r="AM80" i="14"/>
  <c r="G29" i="60" s="1"/>
  <c r="H15" i="56"/>
  <c r="AO89" i="14"/>
  <c r="AL80" i="14"/>
  <c r="E15" i="56"/>
  <c r="AL89" i="14"/>
  <c r="O282" i="58" l="1"/>
  <c r="I14" i="58" s="1"/>
  <c r="AO43" i="14" s="1"/>
  <c r="O206" i="58"/>
  <c r="I12" i="58" s="1"/>
  <c r="AO41" i="14" s="1"/>
  <c r="I15" i="58"/>
  <c r="AO44" i="14" s="1"/>
  <c r="O320" i="58"/>
  <c r="I13" i="58"/>
  <c r="AO42" i="14" s="1"/>
  <c r="O244" i="58"/>
  <c r="O358" i="58"/>
  <c r="I16" i="58" s="1"/>
  <c r="AO45" i="14" s="1"/>
  <c r="O168" i="58"/>
  <c r="I11" i="58" s="1"/>
  <c r="AO40" i="14" s="1"/>
  <c r="O130" i="58"/>
  <c r="I10" i="58" s="1"/>
  <c r="AO39" i="14" s="1"/>
  <c r="H104" i="3" s="1"/>
  <c r="H118" i="3" s="1"/>
  <c r="O92" i="58"/>
  <c r="I9" i="58" s="1"/>
  <c r="AO38" i="14" s="1"/>
  <c r="H66" i="3" s="1"/>
  <c r="H80" i="3" s="1"/>
  <c r="AM120" i="14"/>
  <c r="O447" i="60" s="1"/>
  <c r="O459" i="60" s="1"/>
  <c r="AV108" i="14" s="1"/>
  <c r="I40" i="38"/>
  <c r="G15" i="3"/>
  <c r="AN120" i="14"/>
  <c r="P447" i="60" s="1"/>
  <c r="P455" i="60" s="1"/>
  <c r="I52" i="3"/>
  <c r="AP60" i="14" s="1"/>
  <c r="J51" i="60" s="1"/>
  <c r="K61" i="60" s="1"/>
  <c r="J52" i="3"/>
  <c r="AQ60" i="14" s="1"/>
  <c r="K51" i="60" s="1"/>
  <c r="K62" i="60" s="1"/>
  <c r="H90" i="3"/>
  <c r="AO61" i="14" s="1"/>
  <c r="I73" i="60" s="1"/>
  <c r="I82" i="60" s="1"/>
  <c r="H128" i="3"/>
  <c r="H129" i="3" s="1"/>
  <c r="AN62" i="14"/>
  <c r="G14" i="3"/>
  <c r="J81" i="37"/>
  <c r="K81" i="37"/>
  <c r="K449" i="50"/>
  <c r="K448" i="50"/>
  <c r="K447" i="50"/>
  <c r="AA442" i="50"/>
  <c r="H441" i="50"/>
  <c r="H440" i="50"/>
  <c r="H439" i="50"/>
  <c r="Z439" i="50"/>
  <c r="F440" i="50"/>
  <c r="Z437" i="50"/>
  <c r="F441" i="50"/>
  <c r="F439" i="50"/>
  <c r="H449" i="50"/>
  <c r="H447" i="50"/>
  <c r="H448" i="50"/>
  <c r="AA439" i="50"/>
  <c r="G440" i="50"/>
  <c r="Z438" i="50"/>
  <c r="G441" i="50"/>
  <c r="G439" i="50"/>
  <c r="F449" i="50"/>
  <c r="F447" i="50"/>
  <c r="AA437" i="50"/>
  <c r="F448" i="50"/>
  <c r="G448" i="50"/>
  <c r="G447" i="50"/>
  <c r="G449" i="50"/>
  <c r="AA438" i="50"/>
  <c r="Z440" i="50"/>
  <c r="I439" i="50"/>
  <c r="I441" i="50"/>
  <c r="I440" i="50"/>
  <c r="J448" i="50"/>
  <c r="AA441" i="50"/>
  <c r="J449" i="50"/>
  <c r="J447" i="50"/>
  <c r="I449" i="50"/>
  <c r="I447" i="50"/>
  <c r="AA440" i="50"/>
  <c r="I448" i="50"/>
  <c r="Z442" i="50"/>
  <c r="K441" i="50"/>
  <c r="K439" i="50"/>
  <c r="K440" i="50"/>
  <c r="Z441" i="50"/>
  <c r="J440" i="50"/>
  <c r="J441" i="50"/>
  <c r="J439" i="50"/>
  <c r="Q216" i="58"/>
  <c r="Q232" i="58" s="1"/>
  <c r="P232" i="58"/>
  <c r="Q368" i="58"/>
  <c r="Q384" i="58" s="1"/>
  <c r="Q396" i="58" s="1"/>
  <c r="K17" i="58" s="1"/>
  <c r="AQ46" i="14" s="1"/>
  <c r="P384" i="58"/>
  <c r="P396" i="58" s="1"/>
  <c r="J17" i="58" s="1"/>
  <c r="AP46" i="14" s="1"/>
  <c r="Q254" i="58"/>
  <c r="Q270" i="58" s="1"/>
  <c r="P270" i="58"/>
  <c r="Q178" i="58"/>
  <c r="Q194" i="58" s="1"/>
  <c r="P194" i="58"/>
  <c r="Q64" i="58"/>
  <c r="Q80" i="58" s="1"/>
  <c r="P80" i="58"/>
  <c r="Q140" i="58"/>
  <c r="Q156" i="58" s="1"/>
  <c r="P156" i="58"/>
  <c r="Q292" i="58"/>
  <c r="Q308" i="58" s="1"/>
  <c r="P308" i="58"/>
  <c r="Q330" i="58"/>
  <c r="Q346" i="58" s="1"/>
  <c r="P346" i="58"/>
  <c r="P118" i="58"/>
  <c r="Q102" i="58"/>
  <c r="Q118" i="58" s="1"/>
  <c r="J454" i="60"/>
  <c r="AW35" i="14"/>
  <c r="K233" i="60"/>
  <c r="H40" i="38"/>
  <c r="J80" i="37"/>
  <c r="Q227" i="60"/>
  <c r="R236" i="60" s="1"/>
  <c r="N227" i="60"/>
  <c r="R233" i="60" s="1"/>
  <c r="P227" i="60"/>
  <c r="R235" i="60" s="1"/>
  <c r="S227" i="60"/>
  <c r="S238" i="60" s="1"/>
  <c r="R227" i="60"/>
  <c r="S237" i="60" s="1"/>
  <c r="O227" i="60"/>
  <c r="R234" i="60" s="1"/>
  <c r="I234" i="60"/>
  <c r="J239" i="60"/>
  <c r="AY59" i="14" s="1"/>
  <c r="G239" i="60"/>
  <c r="AV59" i="14" s="1"/>
  <c r="I239" i="60"/>
  <c r="AX59" i="14" s="1"/>
  <c r="J235" i="60"/>
  <c r="K234" i="60"/>
  <c r="K239" i="60"/>
  <c r="AZ59" i="14" s="1"/>
  <c r="I236" i="60"/>
  <c r="K237" i="60"/>
  <c r="H235" i="60"/>
  <c r="G234" i="60"/>
  <c r="J234" i="60"/>
  <c r="K236" i="60"/>
  <c r="H239" i="60"/>
  <c r="AW59" i="14" s="1"/>
  <c r="K235" i="60"/>
  <c r="J233" i="60"/>
  <c r="H233" i="60"/>
  <c r="F233" i="60"/>
  <c r="F239" i="60" s="1"/>
  <c r="AU59" i="14" s="1"/>
  <c r="I233" i="60"/>
  <c r="I29" i="60"/>
  <c r="I38" i="60" s="1"/>
  <c r="J29" i="60"/>
  <c r="K39" i="60" s="1"/>
  <c r="K29" i="60"/>
  <c r="K40" i="60" s="1"/>
  <c r="G271" i="60"/>
  <c r="H278" i="60" s="1"/>
  <c r="AM82" i="14"/>
  <c r="G469" i="60" s="1"/>
  <c r="G476" i="60" s="1"/>
  <c r="H454" i="60"/>
  <c r="H271" i="60"/>
  <c r="I279" i="60" s="1"/>
  <c r="K454" i="60"/>
  <c r="G459" i="60"/>
  <c r="AV69" i="14" s="1"/>
  <c r="I454" i="60"/>
  <c r="AL82" i="14"/>
  <c r="F205" i="60" s="1"/>
  <c r="F211" i="60" s="1"/>
  <c r="F217" i="60" s="1"/>
  <c r="AU58" i="14" s="1"/>
  <c r="N459" i="60"/>
  <c r="AU108" i="14" s="1"/>
  <c r="O453" i="60"/>
  <c r="R453" i="60"/>
  <c r="P453" i="60"/>
  <c r="N453" i="60"/>
  <c r="Q453" i="60"/>
  <c r="S453" i="60"/>
  <c r="F453" i="60"/>
  <c r="F459" i="60"/>
  <c r="AU69" i="14" s="1"/>
  <c r="K453" i="60"/>
  <c r="H453" i="60"/>
  <c r="I453" i="60"/>
  <c r="J453" i="60"/>
  <c r="G453" i="60"/>
  <c r="H469" i="60"/>
  <c r="H477" i="60" s="1"/>
  <c r="I491" i="60"/>
  <c r="I500" i="60" s="1"/>
  <c r="G491" i="60"/>
  <c r="I498" i="60" s="1"/>
  <c r="H491" i="60"/>
  <c r="I499" i="60" s="1"/>
  <c r="F491" i="60"/>
  <c r="G497" i="60" s="1"/>
  <c r="K491" i="60"/>
  <c r="K502" i="60" s="1"/>
  <c r="J491" i="60"/>
  <c r="K501" i="60" s="1"/>
  <c r="I469" i="60"/>
  <c r="K478" i="60" s="1"/>
  <c r="K469" i="60"/>
  <c r="K480" i="60" s="1"/>
  <c r="H425" i="60"/>
  <c r="H433" i="60" s="1"/>
  <c r="I425" i="60"/>
  <c r="I434" i="60" s="1"/>
  <c r="F425" i="60"/>
  <c r="I431" i="60" s="1"/>
  <c r="J425" i="60"/>
  <c r="J435" i="60" s="1"/>
  <c r="G425" i="60"/>
  <c r="I432" i="60" s="1"/>
  <c r="K425" i="60"/>
  <c r="K436" i="60" s="1"/>
  <c r="H249" i="60"/>
  <c r="I257" i="60" s="1"/>
  <c r="K271" i="60"/>
  <c r="K282" i="60" s="1"/>
  <c r="F271" i="60"/>
  <c r="I277" i="60" s="1"/>
  <c r="J271" i="60"/>
  <c r="K281" i="60" s="1"/>
  <c r="I249" i="60"/>
  <c r="K258" i="60" s="1"/>
  <c r="F249" i="60"/>
  <c r="F255" i="60" s="1"/>
  <c r="F261" i="60" s="1"/>
  <c r="AU60" i="14" s="1"/>
  <c r="G249" i="60"/>
  <c r="K256" i="60" s="1"/>
  <c r="K249" i="60"/>
  <c r="K260" i="60" s="1"/>
  <c r="J249" i="60"/>
  <c r="J259" i="60" s="1"/>
  <c r="I205" i="60"/>
  <c r="I214" i="60" s="1"/>
  <c r="J205" i="60"/>
  <c r="J215" i="60" s="1"/>
  <c r="A1" i="56"/>
  <c r="C16" i="1" s="1"/>
  <c r="H16" i="1" s="1"/>
  <c r="A1" i="53"/>
  <c r="C18" i="1" s="1"/>
  <c r="H18" i="1" s="1"/>
  <c r="AL119" i="14"/>
  <c r="AL121" i="14" s="1"/>
  <c r="N205" i="60" s="1"/>
  <c r="AO119" i="14"/>
  <c r="J388" i="60"/>
  <c r="K388" i="60"/>
  <c r="I388" i="60"/>
  <c r="H388" i="60"/>
  <c r="G388" i="60"/>
  <c r="J102" i="60"/>
  <c r="K102" i="60"/>
  <c r="I102" i="60"/>
  <c r="G102" i="60"/>
  <c r="H102" i="60"/>
  <c r="H124" i="60"/>
  <c r="J124" i="60"/>
  <c r="G124" i="60"/>
  <c r="K124" i="60"/>
  <c r="I124" i="60"/>
  <c r="J36" i="60"/>
  <c r="H36" i="60"/>
  <c r="G36" i="60"/>
  <c r="I36" i="60"/>
  <c r="K36" i="60"/>
  <c r="H80" i="60"/>
  <c r="J80" i="60"/>
  <c r="G80" i="60"/>
  <c r="I80" i="60"/>
  <c r="K80" i="60"/>
  <c r="K146" i="60"/>
  <c r="G146" i="60"/>
  <c r="H146" i="60"/>
  <c r="J146" i="60"/>
  <c r="I146" i="60"/>
  <c r="K344" i="60"/>
  <c r="G344" i="60"/>
  <c r="H344" i="60"/>
  <c r="J344" i="60"/>
  <c r="I344" i="60"/>
  <c r="K410" i="60"/>
  <c r="G410" i="60"/>
  <c r="H410" i="60"/>
  <c r="J410" i="60"/>
  <c r="I410" i="60"/>
  <c r="H564" i="60"/>
  <c r="G564" i="60"/>
  <c r="J564" i="60"/>
  <c r="I564" i="60"/>
  <c r="K564" i="60"/>
  <c r="K148" i="60"/>
  <c r="J148" i="60"/>
  <c r="I148" i="60"/>
  <c r="K302" i="60"/>
  <c r="J302" i="60"/>
  <c r="I302" i="60"/>
  <c r="K566" i="60"/>
  <c r="J566" i="60"/>
  <c r="I566" i="60"/>
  <c r="I346" i="60"/>
  <c r="K346" i="60"/>
  <c r="J346" i="60"/>
  <c r="I412" i="60"/>
  <c r="K412" i="60"/>
  <c r="J412" i="60"/>
  <c r="J60" i="60"/>
  <c r="I60" i="60"/>
  <c r="K60" i="60"/>
  <c r="K192" i="60"/>
  <c r="I192" i="60"/>
  <c r="J192" i="60"/>
  <c r="J390" i="60"/>
  <c r="K390" i="60"/>
  <c r="I390" i="60"/>
  <c r="K522" i="60"/>
  <c r="J522" i="60"/>
  <c r="I522" i="60"/>
  <c r="P513" i="60"/>
  <c r="P337" i="60"/>
  <c r="P557" i="60"/>
  <c r="P359" i="60"/>
  <c r="P117" i="60"/>
  <c r="P139" i="60"/>
  <c r="P161" i="60"/>
  <c r="P95" i="60"/>
  <c r="P535" i="60"/>
  <c r="P403" i="60"/>
  <c r="P381" i="60"/>
  <c r="P73" i="60"/>
  <c r="P183" i="60"/>
  <c r="P51" i="60"/>
  <c r="AN122" i="14"/>
  <c r="P293" i="60" s="1"/>
  <c r="K191" i="60"/>
  <c r="J191" i="60"/>
  <c r="I191" i="60"/>
  <c r="H191" i="60"/>
  <c r="K367" i="60"/>
  <c r="J367" i="60"/>
  <c r="I367" i="60"/>
  <c r="H367" i="60"/>
  <c r="J565" i="60"/>
  <c r="K565" i="60"/>
  <c r="H565" i="60"/>
  <c r="I565" i="60"/>
  <c r="J147" i="60"/>
  <c r="K147" i="60"/>
  <c r="H147" i="60"/>
  <c r="I147" i="60"/>
  <c r="J345" i="60"/>
  <c r="K345" i="60"/>
  <c r="H345" i="60"/>
  <c r="I345" i="60"/>
  <c r="J543" i="60"/>
  <c r="K543" i="60"/>
  <c r="H543" i="60"/>
  <c r="I543" i="60"/>
  <c r="I81" i="60"/>
  <c r="J81" i="60"/>
  <c r="K81" i="60"/>
  <c r="H81" i="60"/>
  <c r="AQ119" i="14"/>
  <c r="AP119" i="14"/>
  <c r="I35" i="60"/>
  <c r="H35" i="60"/>
  <c r="F35" i="60"/>
  <c r="F41" i="60" s="1"/>
  <c r="AU50" i="14" s="1"/>
  <c r="J35" i="60"/>
  <c r="G35" i="60"/>
  <c r="K35" i="60"/>
  <c r="I123" i="60"/>
  <c r="J123" i="60"/>
  <c r="H123" i="60"/>
  <c r="K123" i="60"/>
  <c r="F123" i="60"/>
  <c r="F129" i="60" s="1"/>
  <c r="AU54" i="14" s="1"/>
  <c r="AI122" i="37" s="1"/>
  <c r="G123" i="60"/>
  <c r="J299" i="60"/>
  <c r="F299" i="60"/>
  <c r="F305" i="60" s="1"/>
  <c r="AU62" i="14" s="1"/>
  <c r="G299" i="60"/>
  <c r="H299" i="60"/>
  <c r="I299" i="60"/>
  <c r="K299" i="60"/>
  <c r="I57" i="60"/>
  <c r="J57" i="60"/>
  <c r="K57" i="60"/>
  <c r="H57" i="60"/>
  <c r="G57" i="60"/>
  <c r="F57" i="60"/>
  <c r="F63" i="60" s="1"/>
  <c r="AU51" i="14" s="1"/>
  <c r="J189" i="60"/>
  <c r="F189" i="60"/>
  <c r="F195" i="60" s="1"/>
  <c r="AU57" i="14" s="1"/>
  <c r="I189" i="60"/>
  <c r="K189" i="60"/>
  <c r="H189" i="60"/>
  <c r="G189" i="60"/>
  <c r="I365" i="60"/>
  <c r="J365" i="60"/>
  <c r="H365" i="60"/>
  <c r="G365" i="60"/>
  <c r="K365" i="60"/>
  <c r="F365" i="60"/>
  <c r="F371" i="60" s="1"/>
  <c r="AU65" i="14" s="1"/>
  <c r="H541" i="60"/>
  <c r="K541" i="60"/>
  <c r="I541" i="60"/>
  <c r="F541" i="60"/>
  <c r="F547" i="60" s="1"/>
  <c r="AU73" i="14" s="1"/>
  <c r="J541" i="60"/>
  <c r="G541" i="60"/>
  <c r="R557" i="60"/>
  <c r="R535" i="60"/>
  <c r="R403" i="60"/>
  <c r="R381" i="60"/>
  <c r="R513" i="60"/>
  <c r="R337" i="60"/>
  <c r="R117" i="60"/>
  <c r="R139" i="60"/>
  <c r="R183" i="60"/>
  <c r="AP122" i="14"/>
  <c r="R293" i="60" s="1"/>
  <c r="R29" i="60"/>
  <c r="R271" i="60"/>
  <c r="R359" i="60"/>
  <c r="R161" i="60"/>
  <c r="J127" i="60"/>
  <c r="K127" i="60"/>
  <c r="K523" i="60"/>
  <c r="J523" i="60"/>
  <c r="J303" i="60"/>
  <c r="K303" i="60"/>
  <c r="J545" i="60"/>
  <c r="K545" i="60"/>
  <c r="K193" i="60"/>
  <c r="J193" i="60"/>
  <c r="J369" i="60"/>
  <c r="K369" i="60"/>
  <c r="J520" i="60"/>
  <c r="K520" i="60"/>
  <c r="I520" i="60"/>
  <c r="G520" i="60"/>
  <c r="H520" i="60"/>
  <c r="J168" i="60"/>
  <c r="K168" i="60"/>
  <c r="G168" i="60"/>
  <c r="H168" i="60"/>
  <c r="I168" i="60"/>
  <c r="I300" i="60"/>
  <c r="J300" i="60"/>
  <c r="K300" i="60"/>
  <c r="H300" i="60"/>
  <c r="G300" i="60"/>
  <c r="H58" i="60"/>
  <c r="I58" i="60"/>
  <c r="K58" i="60"/>
  <c r="J58" i="60"/>
  <c r="G58" i="60"/>
  <c r="I190" i="60"/>
  <c r="J190" i="60"/>
  <c r="K190" i="60"/>
  <c r="H190" i="60"/>
  <c r="G190" i="60"/>
  <c r="H366" i="60"/>
  <c r="K366" i="60"/>
  <c r="J366" i="60"/>
  <c r="G366" i="60"/>
  <c r="I366" i="60"/>
  <c r="K542" i="60"/>
  <c r="G542" i="60"/>
  <c r="H542" i="60"/>
  <c r="I542" i="60"/>
  <c r="J542" i="60"/>
  <c r="O557" i="60"/>
  <c r="O535" i="60"/>
  <c r="O403" i="60"/>
  <c r="O359" i="60"/>
  <c r="O337" i="60"/>
  <c r="O381" i="60"/>
  <c r="O117" i="60"/>
  <c r="O139" i="60"/>
  <c r="O183" i="60"/>
  <c r="O95" i="60"/>
  <c r="AM122" i="14"/>
  <c r="O293" i="60" s="1"/>
  <c r="O513" i="60"/>
  <c r="O51" i="60"/>
  <c r="O161" i="60"/>
  <c r="O73" i="60"/>
  <c r="AN119" i="14"/>
  <c r="N535" i="60"/>
  <c r="N557" i="60"/>
  <c r="N403" i="60"/>
  <c r="N271" i="60"/>
  <c r="N337" i="60"/>
  <c r="N513" i="60"/>
  <c r="N359" i="60"/>
  <c r="N117" i="60"/>
  <c r="N161" i="60"/>
  <c r="N139" i="60"/>
  <c r="N95" i="60"/>
  <c r="N29" i="60"/>
  <c r="AL122" i="14"/>
  <c r="N293" i="60" s="1"/>
  <c r="N381" i="60"/>
  <c r="N183" i="60"/>
  <c r="N51" i="60"/>
  <c r="N73" i="60"/>
  <c r="S513" i="60"/>
  <c r="S524" i="60" s="1"/>
  <c r="S271" i="60"/>
  <c r="S282" i="60" s="1"/>
  <c r="S337" i="60"/>
  <c r="S348" i="60" s="1"/>
  <c r="S359" i="60"/>
  <c r="S370" i="60" s="1"/>
  <c r="S535" i="60"/>
  <c r="S546" i="60" s="1"/>
  <c r="S403" i="60"/>
  <c r="S414" i="60" s="1"/>
  <c r="S381" i="60"/>
  <c r="S392" i="60" s="1"/>
  <c r="S117" i="60"/>
  <c r="S128" i="60" s="1"/>
  <c r="S139" i="60"/>
  <c r="S150" i="60" s="1"/>
  <c r="S183" i="60"/>
  <c r="S194" i="60" s="1"/>
  <c r="S29" i="60"/>
  <c r="S40" i="60" s="1"/>
  <c r="S557" i="60"/>
  <c r="S568" i="60" s="1"/>
  <c r="S161" i="60"/>
  <c r="S172" i="60" s="1"/>
  <c r="AQ122" i="14"/>
  <c r="S293" i="60" s="1"/>
  <c r="S304" i="60" s="1"/>
  <c r="AM119" i="14"/>
  <c r="J126" i="60"/>
  <c r="K126" i="60"/>
  <c r="I126" i="60"/>
  <c r="J280" i="60"/>
  <c r="I280" i="60"/>
  <c r="K280" i="60"/>
  <c r="K170" i="60"/>
  <c r="J170" i="60"/>
  <c r="I170" i="60"/>
  <c r="I544" i="60"/>
  <c r="K544" i="60"/>
  <c r="J544" i="60"/>
  <c r="K368" i="60"/>
  <c r="J368" i="60"/>
  <c r="I368" i="60"/>
  <c r="Q513" i="60"/>
  <c r="Q557" i="60"/>
  <c r="Q359" i="60"/>
  <c r="Q117" i="60"/>
  <c r="Q161" i="60"/>
  <c r="Q29" i="60"/>
  <c r="AO122" i="14"/>
  <c r="Q293" i="60" s="1"/>
  <c r="Q535" i="60"/>
  <c r="Q403" i="60"/>
  <c r="Q381" i="60"/>
  <c r="Q337" i="60"/>
  <c r="Q183" i="60"/>
  <c r="Q139" i="60"/>
  <c r="Q51" i="60"/>
  <c r="I125" i="60"/>
  <c r="K125" i="60"/>
  <c r="J125" i="60"/>
  <c r="H125" i="60"/>
  <c r="J301" i="60"/>
  <c r="K301" i="60"/>
  <c r="H301" i="60"/>
  <c r="I301" i="60"/>
  <c r="J37" i="60"/>
  <c r="H37" i="60"/>
  <c r="K37" i="60"/>
  <c r="I37" i="60"/>
  <c r="K389" i="60"/>
  <c r="H389" i="60"/>
  <c r="I389" i="60"/>
  <c r="J389" i="60"/>
  <c r="J411" i="60"/>
  <c r="K411" i="60"/>
  <c r="H411" i="60"/>
  <c r="I411" i="60"/>
  <c r="K59" i="60"/>
  <c r="J59" i="60"/>
  <c r="H59" i="60"/>
  <c r="I59" i="60"/>
  <c r="K169" i="60"/>
  <c r="J169" i="60"/>
  <c r="H169" i="60"/>
  <c r="I169" i="60"/>
  <c r="I521" i="60"/>
  <c r="H521" i="60"/>
  <c r="J521" i="60"/>
  <c r="K521" i="60"/>
  <c r="K387" i="60"/>
  <c r="G387" i="60"/>
  <c r="F387" i="60"/>
  <c r="F393" i="60" s="1"/>
  <c r="AU66" i="14" s="1"/>
  <c r="H387" i="60"/>
  <c r="I387" i="60"/>
  <c r="J387" i="60"/>
  <c r="I79" i="60"/>
  <c r="J79" i="60"/>
  <c r="H79" i="60"/>
  <c r="K79" i="60"/>
  <c r="F79" i="60"/>
  <c r="F85" i="60" s="1"/>
  <c r="AU52" i="14" s="1"/>
  <c r="G79" i="60"/>
  <c r="K167" i="60"/>
  <c r="G167" i="60"/>
  <c r="H167" i="60"/>
  <c r="I167" i="60"/>
  <c r="F167" i="60"/>
  <c r="F173" i="60" s="1"/>
  <c r="AU56" i="14" s="1"/>
  <c r="J167" i="60"/>
  <c r="J519" i="60"/>
  <c r="F519" i="60"/>
  <c r="F525" i="60" s="1"/>
  <c r="AU72" i="14" s="1"/>
  <c r="I519" i="60"/>
  <c r="H519" i="60"/>
  <c r="G519" i="60"/>
  <c r="K519" i="60"/>
  <c r="I101" i="60"/>
  <c r="K101" i="60"/>
  <c r="H101" i="60"/>
  <c r="F101" i="60"/>
  <c r="F107" i="60" s="1"/>
  <c r="AU53" i="14" s="1"/>
  <c r="G101" i="60"/>
  <c r="J101" i="60"/>
  <c r="J145" i="60"/>
  <c r="F145" i="60"/>
  <c r="F151" i="60" s="1"/>
  <c r="AU55" i="14" s="1"/>
  <c r="G145" i="60"/>
  <c r="H145" i="60"/>
  <c r="I145" i="60"/>
  <c r="K145" i="60"/>
  <c r="H343" i="60"/>
  <c r="K343" i="60"/>
  <c r="I343" i="60"/>
  <c r="J343" i="60"/>
  <c r="G343" i="60"/>
  <c r="F343" i="60"/>
  <c r="F349" i="60" s="1"/>
  <c r="AU64" i="14" s="1"/>
  <c r="H409" i="60"/>
  <c r="K409" i="60"/>
  <c r="I409" i="60"/>
  <c r="J409" i="60"/>
  <c r="G409" i="60"/>
  <c r="F409" i="60"/>
  <c r="F415" i="60" s="1"/>
  <c r="AU67" i="14" s="1"/>
  <c r="I563" i="60"/>
  <c r="H563" i="60"/>
  <c r="J563" i="60"/>
  <c r="K563" i="60"/>
  <c r="F563" i="60"/>
  <c r="F569" i="60" s="1"/>
  <c r="AU74" i="14" s="1"/>
  <c r="G563" i="60"/>
  <c r="K171" i="60"/>
  <c r="J171" i="60"/>
  <c r="J567" i="60"/>
  <c r="K567" i="60"/>
  <c r="J149" i="60"/>
  <c r="K149" i="60"/>
  <c r="K347" i="60"/>
  <c r="J347" i="60"/>
  <c r="J391" i="60"/>
  <c r="K391" i="60"/>
  <c r="K413" i="60"/>
  <c r="J413" i="60"/>
  <c r="AM121" i="14" l="1"/>
  <c r="O205" i="60" s="1"/>
  <c r="P282" i="58"/>
  <c r="J14" i="58" s="1"/>
  <c r="AP43" i="14" s="1"/>
  <c r="Q282" i="58"/>
  <c r="K14" i="58" s="1"/>
  <c r="AQ43" i="14" s="1"/>
  <c r="K12" i="58"/>
  <c r="AQ41" i="14" s="1"/>
  <c r="Q206" i="58"/>
  <c r="O454" i="60"/>
  <c r="P206" i="58"/>
  <c r="J12" i="58" s="1"/>
  <c r="AP41" i="14" s="1"/>
  <c r="P244" i="58"/>
  <c r="J13" i="58" s="1"/>
  <c r="AP42" i="14" s="1"/>
  <c r="Q358" i="58"/>
  <c r="K16" i="58" s="1"/>
  <c r="AQ45" i="14" s="1"/>
  <c r="K13" i="58"/>
  <c r="AQ42" i="14" s="1"/>
  <c r="Q244" i="58"/>
  <c r="P358" i="58"/>
  <c r="J16" i="58" s="1"/>
  <c r="AP45" i="14" s="1"/>
  <c r="P320" i="58"/>
  <c r="J15" i="58" s="1"/>
  <c r="AP44" i="14" s="1"/>
  <c r="Q320" i="58"/>
  <c r="K15" i="58" s="1"/>
  <c r="AQ44" i="14" s="1"/>
  <c r="R454" i="60"/>
  <c r="P168" i="58"/>
  <c r="J11" i="58" s="1"/>
  <c r="AP40" i="14" s="1"/>
  <c r="Q168" i="58"/>
  <c r="K11" i="58" s="1"/>
  <c r="AQ40" i="14" s="1"/>
  <c r="S454" i="60"/>
  <c r="P130" i="58"/>
  <c r="J10" i="58" s="1"/>
  <c r="AP39" i="14" s="1"/>
  <c r="I104" i="3" s="1"/>
  <c r="I118" i="3" s="1"/>
  <c r="Q130" i="58"/>
  <c r="K10" i="58" s="1"/>
  <c r="AQ39" i="14" s="1"/>
  <c r="J104" i="3" s="1"/>
  <c r="J118" i="3" s="1"/>
  <c r="P92" i="58"/>
  <c r="J9" i="58" s="1"/>
  <c r="Q92" i="58"/>
  <c r="K9" i="58" s="1"/>
  <c r="AQ38" i="14" s="1"/>
  <c r="J66" i="3" s="1"/>
  <c r="J80" i="3" s="1"/>
  <c r="Q454" i="60"/>
  <c r="P454" i="60"/>
  <c r="J53" i="3"/>
  <c r="AQ99" i="14" s="1"/>
  <c r="S51" i="60" s="1"/>
  <c r="S62" i="60" s="1"/>
  <c r="I53" i="3"/>
  <c r="AP99" i="14" s="1"/>
  <c r="R51" i="60" s="1"/>
  <c r="R61" i="60" s="1"/>
  <c r="A1" i="38"/>
  <c r="C20" i="1" s="1"/>
  <c r="H20" i="1" s="1"/>
  <c r="H91" i="3"/>
  <c r="AO100" i="14" s="1"/>
  <c r="Q73" i="60" s="1"/>
  <c r="S82" i="60" s="1"/>
  <c r="P459" i="60"/>
  <c r="AW108" i="14" s="1"/>
  <c r="K82" i="60"/>
  <c r="J82" i="60"/>
  <c r="J61" i="60"/>
  <c r="J63" i="60" s="1"/>
  <c r="AY51" i="14" s="1"/>
  <c r="S455" i="60"/>
  <c r="R455" i="60"/>
  <c r="AN121" i="14"/>
  <c r="P205" i="60" s="1"/>
  <c r="Q213" i="60" s="1"/>
  <c r="Q455" i="60"/>
  <c r="I90" i="3"/>
  <c r="AP61" i="14" s="1"/>
  <c r="J73" i="60" s="1"/>
  <c r="J90" i="3"/>
  <c r="AQ61" i="14" s="1"/>
  <c r="K73" i="60" s="1"/>
  <c r="K84" i="60" s="1"/>
  <c r="J128" i="3"/>
  <c r="J129" i="3" s="1"/>
  <c r="H95" i="60"/>
  <c r="AN81" i="14"/>
  <c r="AO62" i="14"/>
  <c r="H14" i="3"/>
  <c r="AO101" i="14"/>
  <c r="AI121" i="37"/>
  <c r="AF109" i="15"/>
  <c r="AI120" i="37"/>
  <c r="AI89" i="37" s="1"/>
  <c r="M51" i="37" s="1"/>
  <c r="M19" i="37" s="1"/>
  <c r="AF108" i="15"/>
  <c r="AF79" i="15" s="1"/>
  <c r="AF51" i="15" s="1"/>
  <c r="AI119" i="37"/>
  <c r="AI88" i="37" s="1"/>
  <c r="M50" i="37" s="1"/>
  <c r="M18" i="37" s="1"/>
  <c r="AF107" i="15"/>
  <c r="AF105" i="15"/>
  <c r="AF106" i="15"/>
  <c r="AF76" i="15"/>
  <c r="L48" i="15" s="1"/>
  <c r="AI91" i="37"/>
  <c r="M53" i="37" s="1"/>
  <c r="M21" i="37" s="1"/>
  <c r="AI90" i="37"/>
  <c r="M52" i="37" s="1"/>
  <c r="M20" i="37" s="1"/>
  <c r="AI458" i="50"/>
  <c r="AI511" i="50" s="1"/>
  <c r="F518" i="50" s="1"/>
  <c r="AI118" i="37"/>
  <c r="AM84" i="14"/>
  <c r="G315" i="60" s="1"/>
  <c r="K322" i="60" s="1"/>
  <c r="AW36" i="14"/>
  <c r="Q234" i="60"/>
  <c r="AI63" i="50"/>
  <c r="AI114" i="50" s="1"/>
  <c r="F123" i="50" s="1"/>
  <c r="AI64" i="50"/>
  <c r="S235" i="60"/>
  <c r="R237" i="60"/>
  <c r="N233" i="60"/>
  <c r="N239" i="60" s="1"/>
  <c r="AU98" i="14" s="1"/>
  <c r="P239" i="60"/>
  <c r="AW98" i="14" s="1"/>
  <c r="S236" i="60"/>
  <c r="P234" i="60"/>
  <c r="J38" i="60"/>
  <c r="S239" i="60"/>
  <c r="AZ98" i="14" s="1"/>
  <c r="Q235" i="60"/>
  <c r="Q236" i="60"/>
  <c r="O233" i="60"/>
  <c r="Q233" i="60"/>
  <c r="S234" i="60"/>
  <c r="R239" i="60"/>
  <c r="AY98" i="14" s="1"/>
  <c r="P235" i="60"/>
  <c r="Q239" i="60"/>
  <c r="AX98" i="14" s="1"/>
  <c r="P233" i="60"/>
  <c r="S233" i="60"/>
  <c r="O239" i="60"/>
  <c r="AV98" i="14" s="1"/>
  <c r="O234" i="60"/>
  <c r="O29" i="60"/>
  <c r="P36" i="60" s="1"/>
  <c r="P29" i="60"/>
  <c r="P37" i="60" s="1"/>
  <c r="J39" i="60"/>
  <c r="J41" i="60" s="1"/>
  <c r="AY50" i="14" s="1"/>
  <c r="K38" i="60"/>
  <c r="K41" i="60" s="1"/>
  <c r="AZ50" i="14" s="1"/>
  <c r="R491" i="60"/>
  <c r="S501" i="60" s="1"/>
  <c r="K278" i="60"/>
  <c r="J211" i="60"/>
  <c r="J278" i="60"/>
  <c r="H476" i="60"/>
  <c r="J476" i="60"/>
  <c r="K476" i="60"/>
  <c r="G278" i="60"/>
  <c r="I278" i="60"/>
  <c r="I283" i="60" s="1"/>
  <c r="AX61" i="14" s="1"/>
  <c r="J279" i="60"/>
  <c r="H211" i="60"/>
  <c r="I476" i="60"/>
  <c r="G205" i="60"/>
  <c r="I212" i="60" s="1"/>
  <c r="H497" i="60"/>
  <c r="H279" i="60"/>
  <c r="I477" i="60"/>
  <c r="K279" i="60"/>
  <c r="K498" i="60"/>
  <c r="I211" i="60"/>
  <c r="G211" i="60"/>
  <c r="K211" i="60"/>
  <c r="AL84" i="14"/>
  <c r="F315" i="60" s="1"/>
  <c r="K321" i="60" s="1"/>
  <c r="F469" i="60"/>
  <c r="F475" i="60" s="1"/>
  <c r="F481" i="60" s="1"/>
  <c r="AU70" i="14" s="1"/>
  <c r="J431" i="60"/>
  <c r="H498" i="60"/>
  <c r="J501" i="60"/>
  <c r="I497" i="60"/>
  <c r="I503" i="60" s="1"/>
  <c r="AX71" i="14" s="1"/>
  <c r="K497" i="60"/>
  <c r="J477" i="60"/>
  <c r="J498" i="60"/>
  <c r="K500" i="60"/>
  <c r="G431" i="60"/>
  <c r="F497" i="60"/>
  <c r="F503" i="60" s="1"/>
  <c r="AU71" i="14" s="1"/>
  <c r="J497" i="60"/>
  <c r="K477" i="60"/>
  <c r="S469" i="60"/>
  <c r="S480" i="60" s="1"/>
  <c r="G498" i="60"/>
  <c r="G503" i="60" s="1"/>
  <c r="AV71" i="14" s="1"/>
  <c r="I433" i="60"/>
  <c r="I437" i="60" s="1"/>
  <c r="AX68" i="14" s="1"/>
  <c r="K432" i="60"/>
  <c r="R469" i="60"/>
  <c r="S479" i="60" s="1"/>
  <c r="K435" i="60"/>
  <c r="J277" i="60"/>
  <c r="K499" i="60"/>
  <c r="J434" i="60"/>
  <c r="J500" i="60"/>
  <c r="J257" i="60"/>
  <c r="Q425" i="60"/>
  <c r="Q434" i="60" s="1"/>
  <c r="J478" i="60"/>
  <c r="K434" i="60"/>
  <c r="H499" i="60"/>
  <c r="Q469" i="60"/>
  <c r="R478" i="60" s="1"/>
  <c r="I478" i="60"/>
  <c r="J499" i="60"/>
  <c r="N491" i="60"/>
  <c r="R497" i="60" s="1"/>
  <c r="P491" i="60"/>
  <c r="S499" i="60" s="1"/>
  <c r="Q491" i="60"/>
  <c r="S500" i="60" s="1"/>
  <c r="S491" i="60"/>
  <c r="S502" i="60" s="1"/>
  <c r="R425" i="60"/>
  <c r="R435" i="60" s="1"/>
  <c r="O491" i="60"/>
  <c r="O498" i="60" s="1"/>
  <c r="K431" i="60"/>
  <c r="N469" i="60"/>
  <c r="Q475" i="60" s="1"/>
  <c r="N425" i="60"/>
  <c r="S431" i="60" s="1"/>
  <c r="K433" i="60"/>
  <c r="G432" i="60"/>
  <c r="J432" i="60"/>
  <c r="O469" i="60"/>
  <c r="P476" i="60" s="1"/>
  <c r="P469" i="60"/>
  <c r="R477" i="60" s="1"/>
  <c r="F431" i="60"/>
  <c r="F437" i="60" s="1"/>
  <c r="AU68" i="14" s="1"/>
  <c r="H431" i="60"/>
  <c r="J433" i="60"/>
  <c r="H432" i="60"/>
  <c r="S425" i="60"/>
  <c r="S436" i="60" s="1"/>
  <c r="O425" i="60"/>
  <c r="S432" i="60" s="1"/>
  <c r="P425" i="60"/>
  <c r="P433" i="60" s="1"/>
  <c r="H257" i="60"/>
  <c r="J256" i="60"/>
  <c r="K257" i="60"/>
  <c r="F277" i="60"/>
  <c r="F283" i="60" s="1"/>
  <c r="AU61" i="14" s="1"/>
  <c r="J255" i="60"/>
  <c r="J281" i="60"/>
  <c r="H255" i="60"/>
  <c r="K259" i="60"/>
  <c r="G256" i="60"/>
  <c r="G277" i="60"/>
  <c r="G283" i="60" s="1"/>
  <c r="AV61" i="14" s="1"/>
  <c r="J258" i="60"/>
  <c r="O271" i="60"/>
  <c r="P278" i="60" s="1"/>
  <c r="Q271" i="60"/>
  <c r="S280" i="60" s="1"/>
  <c r="Q249" i="60"/>
  <c r="S258" i="60" s="1"/>
  <c r="I256" i="60"/>
  <c r="H256" i="60"/>
  <c r="K277" i="60"/>
  <c r="H277" i="60"/>
  <c r="H283" i="60" s="1"/>
  <c r="AW61" i="14" s="1"/>
  <c r="P271" i="60"/>
  <c r="Q279" i="60" s="1"/>
  <c r="I258" i="60"/>
  <c r="G255" i="60"/>
  <c r="S249" i="60"/>
  <c r="S260" i="60" s="1"/>
  <c r="I255" i="60"/>
  <c r="K255" i="60"/>
  <c r="N249" i="60"/>
  <c r="R255" i="60" s="1"/>
  <c r="O249" i="60"/>
  <c r="P256" i="60" s="1"/>
  <c r="K215" i="60"/>
  <c r="R249" i="60"/>
  <c r="R259" i="60" s="1"/>
  <c r="P249" i="60"/>
  <c r="P257" i="60" s="1"/>
  <c r="J214" i="60"/>
  <c r="G569" i="60"/>
  <c r="AV74" i="14" s="1"/>
  <c r="G85" i="60"/>
  <c r="AV52" i="14" s="1"/>
  <c r="G393" i="60"/>
  <c r="AV66" i="14" s="1"/>
  <c r="K214" i="60"/>
  <c r="G415" i="60"/>
  <c r="AV67" i="14" s="1"/>
  <c r="G349" i="60"/>
  <c r="AV64" i="14" s="1"/>
  <c r="I525" i="60"/>
  <c r="AX72" i="14" s="1"/>
  <c r="H173" i="60"/>
  <c r="AW56" i="14" s="1"/>
  <c r="I85" i="60"/>
  <c r="AX52" i="14" s="1"/>
  <c r="G63" i="60"/>
  <c r="AV51" i="14" s="1"/>
  <c r="G173" i="60"/>
  <c r="AV56" i="14" s="1"/>
  <c r="AL123" i="14"/>
  <c r="N315" i="60" s="1"/>
  <c r="S321" i="60" s="1"/>
  <c r="G41" i="60"/>
  <c r="AV50" i="14" s="1"/>
  <c r="AG106" i="15" s="1"/>
  <c r="AI117" i="37"/>
  <c r="I569" i="60"/>
  <c r="AX74" i="14" s="1"/>
  <c r="H415" i="60"/>
  <c r="AW67" i="14" s="1"/>
  <c r="I349" i="60"/>
  <c r="AX64" i="14" s="1"/>
  <c r="H349" i="60"/>
  <c r="AW64" i="14" s="1"/>
  <c r="I151" i="60"/>
  <c r="AX55" i="14" s="1"/>
  <c r="G151" i="60"/>
  <c r="AV55" i="14" s="1"/>
  <c r="G525" i="60"/>
  <c r="AV72" i="14" s="1"/>
  <c r="J525" i="60"/>
  <c r="AY72" i="14" s="1"/>
  <c r="H85" i="60"/>
  <c r="AW52" i="14" s="1"/>
  <c r="I393" i="60"/>
  <c r="AX66" i="14" s="1"/>
  <c r="H569" i="60"/>
  <c r="AW74" i="14" s="1"/>
  <c r="H151" i="60"/>
  <c r="AW55" i="14" s="1"/>
  <c r="K525" i="60"/>
  <c r="AZ72" i="14" s="1"/>
  <c r="H525" i="60"/>
  <c r="AW72" i="14" s="1"/>
  <c r="I173" i="60"/>
  <c r="AX56" i="14" s="1"/>
  <c r="H393" i="60"/>
  <c r="AW66" i="14" s="1"/>
  <c r="AM123" i="14"/>
  <c r="O315" i="60" s="1"/>
  <c r="S322" i="60" s="1"/>
  <c r="G129" i="60"/>
  <c r="AV54" i="14" s="1"/>
  <c r="AJ122" i="37" s="1"/>
  <c r="I415" i="60"/>
  <c r="AX67" i="14" s="1"/>
  <c r="J151" i="60"/>
  <c r="AY55" i="14" s="1"/>
  <c r="K569" i="60"/>
  <c r="AZ74" i="14" s="1"/>
  <c r="J415" i="60"/>
  <c r="AY67" i="14" s="1"/>
  <c r="K415" i="60"/>
  <c r="AZ67" i="14" s="1"/>
  <c r="J349" i="60"/>
  <c r="AY64" i="14" s="1"/>
  <c r="K349" i="60"/>
  <c r="AZ64" i="14" s="1"/>
  <c r="K151" i="60"/>
  <c r="AZ55" i="14" s="1"/>
  <c r="J173" i="60"/>
  <c r="AY56" i="14" s="1"/>
  <c r="J393" i="60"/>
  <c r="AY66" i="14" s="1"/>
  <c r="R148" i="60"/>
  <c r="S148" i="60"/>
  <c r="Q148" i="60"/>
  <c r="R346" i="60"/>
  <c r="S346" i="60"/>
  <c r="Q346" i="60"/>
  <c r="R412" i="60"/>
  <c r="S412" i="60"/>
  <c r="Q412" i="60"/>
  <c r="Q170" i="60"/>
  <c r="S170" i="60"/>
  <c r="R170" i="60"/>
  <c r="Q302" i="60"/>
  <c r="R302" i="60"/>
  <c r="S302" i="60"/>
  <c r="R566" i="60"/>
  <c r="S566" i="60"/>
  <c r="Q566" i="60"/>
  <c r="S79" i="60"/>
  <c r="Q79" i="60"/>
  <c r="N79" i="60"/>
  <c r="N85" i="60" s="1"/>
  <c r="AU91" i="14" s="1"/>
  <c r="R79" i="60"/>
  <c r="O79" i="60"/>
  <c r="P79" i="60"/>
  <c r="Q57" i="60"/>
  <c r="R57" i="60"/>
  <c r="N57" i="60"/>
  <c r="N63" i="60" s="1"/>
  <c r="AU90" i="14" s="1"/>
  <c r="S57" i="60"/>
  <c r="P57" i="60"/>
  <c r="O57" i="60"/>
  <c r="O35" i="60"/>
  <c r="P35" i="60"/>
  <c r="S35" i="60"/>
  <c r="N35" i="60"/>
  <c r="N41" i="60" s="1"/>
  <c r="AU89" i="14" s="1"/>
  <c r="R35" i="60"/>
  <c r="Q35" i="60"/>
  <c r="Q101" i="60"/>
  <c r="R101" i="60"/>
  <c r="P101" i="60"/>
  <c r="O101" i="60"/>
  <c r="S101" i="60"/>
  <c r="N101" i="60"/>
  <c r="N107" i="60" s="1"/>
  <c r="AU92" i="14" s="1"/>
  <c r="Q167" i="60"/>
  <c r="R167" i="60"/>
  <c r="N167" i="60"/>
  <c r="N173" i="60" s="1"/>
  <c r="AU95" i="14" s="1"/>
  <c r="O167" i="60"/>
  <c r="S167" i="60"/>
  <c r="P167" i="60"/>
  <c r="S365" i="60"/>
  <c r="O365" i="60"/>
  <c r="N365" i="60"/>
  <c r="N371" i="60" s="1"/>
  <c r="AU104" i="14" s="1"/>
  <c r="Q365" i="60"/>
  <c r="P365" i="60"/>
  <c r="R365" i="60"/>
  <c r="R343" i="60"/>
  <c r="N343" i="60"/>
  <c r="N349" i="60" s="1"/>
  <c r="AU103" i="14" s="1"/>
  <c r="O343" i="60"/>
  <c r="Q343" i="60"/>
  <c r="P343" i="60"/>
  <c r="S343" i="60"/>
  <c r="R409" i="60"/>
  <c r="N409" i="60"/>
  <c r="N415" i="60" s="1"/>
  <c r="AU106" i="14" s="1"/>
  <c r="S409" i="60"/>
  <c r="Q409" i="60"/>
  <c r="P409" i="60"/>
  <c r="O409" i="60"/>
  <c r="P541" i="60"/>
  <c r="Q541" i="60"/>
  <c r="O541" i="60"/>
  <c r="R541" i="60"/>
  <c r="N541" i="60"/>
  <c r="N547" i="60" s="1"/>
  <c r="AU112" i="14" s="1"/>
  <c r="S541" i="60"/>
  <c r="Q168" i="60"/>
  <c r="R168" i="60"/>
  <c r="S168" i="60"/>
  <c r="P168" i="60"/>
  <c r="O168" i="60"/>
  <c r="R212" i="60"/>
  <c r="S212" i="60"/>
  <c r="O212" i="60"/>
  <c r="Q212" i="60"/>
  <c r="P212" i="60"/>
  <c r="Q520" i="60"/>
  <c r="R520" i="60"/>
  <c r="S520" i="60"/>
  <c r="O520" i="60"/>
  <c r="P520" i="60"/>
  <c r="S102" i="60"/>
  <c r="O102" i="60"/>
  <c r="P102" i="60"/>
  <c r="Q102" i="60"/>
  <c r="R102" i="60"/>
  <c r="R146" i="60"/>
  <c r="Q146" i="60"/>
  <c r="O146" i="60"/>
  <c r="P146" i="60"/>
  <c r="S146" i="60"/>
  <c r="Q366" i="60"/>
  <c r="P366" i="60"/>
  <c r="S366" i="60"/>
  <c r="O366" i="60"/>
  <c r="R366" i="60"/>
  <c r="R542" i="60"/>
  <c r="Q542" i="60"/>
  <c r="O542" i="60"/>
  <c r="P542" i="60"/>
  <c r="S542" i="60"/>
  <c r="R171" i="60"/>
  <c r="S171" i="60"/>
  <c r="R281" i="60"/>
  <c r="S281" i="60"/>
  <c r="R193" i="60"/>
  <c r="S193" i="60"/>
  <c r="R127" i="60"/>
  <c r="S127" i="60"/>
  <c r="S523" i="60"/>
  <c r="R523" i="60"/>
  <c r="S303" i="60"/>
  <c r="R303" i="60"/>
  <c r="R545" i="60"/>
  <c r="S545" i="60"/>
  <c r="G547" i="60"/>
  <c r="AV73" i="14" s="1"/>
  <c r="K547" i="60"/>
  <c r="AZ73" i="14" s="1"/>
  <c r="G371" i="60"/>
  <c r="AV65" i="14" s="1"/>
  <c r="J371" i="60"/>
  <c r="AY65" i="14" s="1"/>
  <c r="G195" i="60"/>
  <c r="AV57" i="14" s="1"/>
  <c r="K195" i="60"/>
  <c r="AZ57" i="14" s="1"/>
  <c r="H63" i="60"/>
  <c r="AW51" i="14" s="1"/>
  <c r="K305" i="60"/>
  <c r="AZ62" i="14" s="1"/>
  <c r="H305" i="60"/>
  <c r="AW62" i="14" s="1"/>
  <c r="K129" i="60"/>
  <c r="AZ54" i="14" s="1"/>
  <c r="AN122" i="37" s="1"/>
  <c r="J129" i="60"/>
  <c r="AY54" i="14" s="1"/>
  <c r="AM122" i="37" s="1"/>
  <c r="I261" i="60"/>
  <c r="AX60" i="14" s="1"/>
  <c r="K261" i="60"/>
  <c r="AZ60" i="14" s="1"/>
  <c r="H41" i="60"/>
  <c r="AW50" i="14" s="1"/>
  <c r="Q191" i="60"/>
  <c r="P191" i="60"/>
  <c r="R191" i="60"/>
  <c r="S191" i="60"/>
  <c r="S81" i="60"/>
  <c r="R81" i="60"/>
  <c r="P81" i="60"/>
  <c r="Q81" i="60"/>
  <c r="R543" i="60"/>
  <c r="S543" i="60"/>
  <c r="P543" i="60"/>
  <c r="Q543" i="60"/>
  <c r="Q169" i="60"/>
  <c r="P169" i="60"/>
  <c r="S169" i="60"/>
  <c r="R169" i="60"/>
  <c r="Q125" i="60"/>
  <c r="S125" i="60"/>
  <c r="R125" i="60"/>
  <c r="P125" i="60"/>
  <c r="Q367" i="60"/>
  <c r="P367" i="60"/>
  <c r="R367" i="60"/>
  <c r="S367" i="60"/>
  <c r="P301" i="60"/>
  <c r="Q301" i="60"/>
  <c r="S301" i="60"/>
  <c r="R301" i="60"/>
  <c r="S521" i="60"/>
  <c r="R521" i="60"/>
  <c r="Q521" i="60"/>
  <c r="P521" i="60"/>
  <c r="J569" i="60"/>
  <c r="AY74" i="14" s="1"/>
  <c r="K173" i="60"/>
  <c r="AZ56" i="14" s="1"/>
  <c r="K393" i="60"/>
  <c r="AZ66" i="14" s="1"/>
  <c r="Q60" i="60"/>
  <c r="R60" i="60"/>
  <c r="S60" i="60"/>
  <c r="Q192" i="60"/>
  <c r="R192" i="60"/>
  <c r="S192" i="60"/>
  <c r="S390" i="60"/>
  <c r="R390" i="60"/>
  <c r="Q390" i="60"/>
  <c r="Q544" i="60"/>
  <c r="R544" i="60"/>
  <c r="S544" i="60"/>
  <c r="Q38" i="60"/>
  <c r="S38" i="60"/>
  <c r="R38" i="60"/>
  <c r="S126" i="60"/>
  <c r="Q126" i="60"/>
  <c r="R126" i="60"/>
  <c r="Q368" i="60"/>
  <c r="S368" i="60"/>
  <c r="R368" i="60"/>
  <c r="Q522" i="60"/>
  <c r="S522" i="60"/>
  <c r="R522" i="60"/>
  <c r="P211" i="60"/>
  <c r="S211" i="60"/>
  <c r="O211" i="60"/>
  <c r="N211" i="60"/>
  <c r="N217" i="60" s="1"/>
  <c r="AU97" i="14" s="1"/>
  <c r="Q211" i="60"/>
  <c r="R211" i="60"/>
  <c r="P189" i="60"/>
  <c r="S189" i="60"/>
  <c r="O189" i="60"/>
  <c r="N189" i="60"/>
  <c r="N195" i="60" s="1"/>
  <c r="AU96" i="14" s="1"/>
  <c r="Q189" i="60"/>
  <c r="R189" i="60"/>
  <c r="S387" i="60"/>
  <c r="O387" i="60"/>
  <c r="N387" i="60"/>
  <c r="N393" i="60" s="1"/>
  <c r="AU105" i="14" s="1"/>
  <c r="Q387" i="60"/>
  <c r="R387" i="60"/>
  <c r="P387" i="60"/>
  <c r="P145" i="60"/>
  <c r="Q145" i="60"/>
  <c r="O145" i="60"/>
  <c r="R145" i="60"/>
  <c r="S145" i="60"/>
  <c r="N145" i="60"/>
  <c r="N151" i="60" s="1"/>
  <c r="AU94" i="14" s="1"/>
  <c r="Q123" i="60"/>
  <c r="R123" i="60"/>
  <c r="N123" i="60"/>
  <c r="N129" i="60" s="1"/>
  <c r="AU93" i="14" s="1"/>
  <c r="AO122" i="37" s="1"/>
  <c r="O123" i="60"/>
  <c r="S123" i="60"/>
  <c r="P123" i="60"/>
  <c r="P519" i="60"/>
  <c r="S519" i="60"/>
  <c r="O519" i="60"/>
  <c r="R519" i="60"/>
  <c r="N519" i="60"/>
  <c r="N525" i="60" s="1"/>
  <c r="AU111" i="14" s="1"/>
  <c r="Q519" i="60"/>
  <c r="R299" i="60"/>
  <c r="N299" i="60"/>
  <c r="N305" i="60" s="1"/>
  <c r="AU101" i="14" s="1"/>
  <c r="S299" i="60"/>
  <c r="P299" i="60"/>
  <c r="Q299" i="60"/>
  <c r="O299" i="60"/>
  <c r="S277" i="60"/>
  <c r="O277" i="60"/>
  <c r="R277" i="60"/>
  <c r="P277" i="60"/>
  <c r="Q277" i="60"/>
  <c r="N277" i="60"/>
  <c r="N283" i="60" s="1"/>
  <c r="AU100" i="14" s="1"/>
  <c r="Q563" i="60"/>
  <c r="R563" i="60"/>
  <c r="P563" i="60"/>
  <c r="S563" i="60"/>
  <c r="O563" i="60"/>
  <c r="N563" i="60"/>
  <c r="N569" i="60" s="1"/>
  <c r="AU113" i="14" s="1"/>
  <c r="S80" i="60"/>
  <c r="Q80" i="60"/>
  <c r="R80" i="60"/>
  <c r="P80" i="60"/>
  <c r="O80" i="60"/>
  <c r="S58" i="60"/>
  <c r="O58" i="60"/>
  <c r="P58" i="60"/>
  <c r="R58" i="60"/>
  <c r="Q58" i="60"/>
  <c r="Q190" i="60"/>
  <c r="R190" i="60"/>
  <c r="P190" i="60"/>
  <c r="S190" i="60"/>
  <c r="O190" i="60"/>
  <c r="Q124" i="60"/>
  <c r="O124" i="60"/>
  <c r="R124" i="60"/>
  <c r="S124" i="60"/>
  <c r="P124" i="60"/>
  <c r="P300" i="60"/>
  <c r="S300" i="60"/>
  <c r="R300" i="60"/>
  <c r="Q300" i="60"/>
  <c r="O300" i="60"/>
  <c r="S388" i="60"/>
  <c r="O388" i="60"/>
  <c r="P388" i="60"/>
  <c r="Q388" i="60"/>
  <c r="R388" i="60"/>
  <c r="R344" i="60"/>
  <c r="Q344" i="60"/>
  <c r="S344" i="60"/>
  <c r="P344" i="60"/>
  <c r="O344" i="60"/>
  <c r="R410" i="60"/>
  <c r="Q410" i="60"/>
  <c r="O410" i="60"/>
  <c r="S410" i="60"/>
  <c r="P410" i="60"/>
  <c r="Q564" i="60"/>
  <c r="R564" i="60"/>
  <c r="S564" i="60"/>
  <c r="O564" i="60"/>
  <c r="P564" i="60"/>
  <c r="S369" i="60"/>
  <c r="R369" i="60"/>
  <c r="R39" i="60"/>
  <c r="S39" i="60"/>
  <c r="S149" i="60"/>
  <c r="R149" i="60"/>
  <c r="S347" i="60"/>
  <c r="R347" i="60"/>
  <c r="R391" i="60"/>
  <c r="S391" i="60"/>
  <c r="S413" i="60"/>
  <c r="R413" i="60"/>
  <c r="R567" i="60"/>
  <c r="S567" i="60"/>
  <c r="J547" i="60"/>
  <c r="AY73" i="14" s="1"/>
  <c r="I547" i="60"/>
  <c r="AX73" i="14" s="1"/>
  <c r="H547" i="60"/>
  <c r="AW73" i="14" s="1"/>
  <c r="K371" i="60"/>
  <c r="AZ65" i="14" s="1"/>
  <c r="H371" i="60"/>
  <c r="AW65" i="14" s="1"/>
  <c r="I371" i="60"/>
  <c r="AX65" i="14" s="1"/>
  <c r="H195" i="60"/>
  <c r="AW57" i="14" s="1"/>
  <c r="I195" i="60"/>
  <c r="AX57" i="14" s="1"/>
  <c r="J195" i="60"/>
  <c r="AY57" i="14" s="1"/>
  <c r="K63" i="60"/>
  <c r="AZ51" i="14" s="1"/>
  <c r="I63" i="60"/>
  <c r="AX51" i="14" s="1"/>
  <c r="I305" i="60"/>
  <c r="AX62" i="14" s="1"/>
  <c r="G305" i="60"/>
  <c r="AV62" i="14" s="1"/>
  <c r="J305" i="60"/>
  <c r="AY62" i="14" s="1"/>
  <c r="H129" i="60"/>
  <c r="AW54" i="14" s="1"/>
  <c r="AK122" i="37" s="1"/>
  <c r="I129" i="60"/>
  <c r="AX54" i="14" s="1"/>
  <c r="AL122" i="37" s="1"/>
  <c r="H261" i="60"/>
  <c r="AW60" i="14" s="1"/>
  <c r="G261" i="60"/>
  <c r="AV60" i="14" s="1"/>
  <c r="J261" i="60"/>
  <c r="AY60" i="14" s="1"/>
  <c r="I41" i="60"/>
  <c r="AX50" i="14" s="1"/>
  <c r="Q59" i="60"/>
  <c r="P59" i="60"/>
  <c r="S59" i="60"/>
  <c r="R59" i="60"/>
  <c r="Q389" i="60"/>
  <c r="R389" i="60"/>
  <c r="S389" i="60"/>
  <c r="P389" i="60"/>
  <c r="P411" i="60"/>
  <c r="Q411" i="60"/>
  <c r="R411" i="60"/>
  <c r="S411" i="60"/>
  <c r="Q103" i="60"/>
  <c r="P103" i="60"/>
  <c r="R103" i="60"/>
  <c r="S103" i="60"/>
  <c r="P147" i="60"/>
  <c r="Q147" i="60"/>
  <c r="R147" i="60"/>
  <c r="S147" i="60"/>
  <c r="R565" i="60"/>
  <c r="S565" i="60"/>
  <c r="P565" i="60"/>
  <c r="Q565" i="60"/>
  <c r="P345" i="60"/>
  <c r="Q345" i="60"/>
  <c r="S345" i="60"/>
  <c r="R345" i="60"/>
  <c r="G107" i="60"/>
  <c r="AV53" i="14" s="1"/>
  <c r="AP38" i="14" l="1"/>
  <c r="I66" i="3" s="1"/>
  <c r="I80" i="3" s="1"/>
  <c r="A1" i="58"/>
  <c r="AB1" i="58" s="1"/>
  <c r="S61" i="60"/>
  <c r="H15" i="3"/>
  <c r="R82" i="60"/>
  <c r="Q82" i="60"/>
  <c r="I91" i="3"/>
  <c r="AP100" i="14" s="1"/>
  <c r="R73" i="60" s="1"/>
  <c r="R83" i="60" s="1"/>
  <c r="J91" i="3"/>
  <c r="AQ100" i="14" s="1"/>
  <c r="S73" i="60" s="1"/>
  <c r="S84" i="60" s="1"/>
  <c r="AN123" i="14"/>
  <c r="P315" i="60" s="1"/>
  <c r="Q323" i="60" s="1"/>
  <c r="AI90" i="50"/>
  <c r="AI487" i="50"/>
  <c r="F510" i="50" s="1"/>
  <c r="AI115" i="50"/>
  <c r="AI91" i="50" s="1"/>
  <c r="P213" i="60"/>
  <c r="K212" i="60"/>
  <c r="S213" i="60"/>
  <c r="R213" i="60"/>
  <c r="H321" i="60"/>
  <c r="I321" i="60"/>
  <c r="K83" i="60"/>
  <c r="K85" i="60" s="1"/>
  <c r="AZ52" i="14" s="1"/>
  <c r="AK108" i="15" s="1"/>
  <c r="J83" i="60"/>
  <c r="J85" i="60" s="1"/>
  <c r="AY52" i="14" s="1"/>
  <c r="AM120" i="37" s="1"/>
  <c r="AM89" i="37" s="1"/>
  <c r="Q51" i="37" s="1"/>
  <c r="Q19" i="37" s="1"/>
  <c r="H475" i="60"/>
  <c r="AO120" i="14"/>
  <c r="Q95" i="60"/>
  <c r="AO81" i="14"/>
  <c r="I95" i="60"/>
  <c r="I103" i="60"/>
  <c r="K103" i="60"/>
  <c r="H103" i="60"/>
  <c r="H107" i="60" s="1"/>
  <c r="AW53" i="14" s="1"/>
  <c r="AH109" i="15" s="1"/>
  <c r="J103" i="60"/>
  <c r="AQ62" i="14"/>
  <c r="J14" i="3"/>
  <c r="I128" i="3"/>
  <c r="I129" i="3" s="1"/>
  <c r="H447" i="60"/>
  <c r="AN82" i="14"/>
  <c r="AQ101" i="14"/>
  <c r="AJ121" i="37"/>
  <c r="AJ90" i="37" s="1"/>
  <c r="N52" i="37" s="1"/>
  <c r="N20" i="37" s="1"/>
  <c r="AG109" i="15"/>
  <c r="AO121" i="37"/>
  <c r="AO90" i="37" s="1"/>
  <c r="AO52" i="37" s="1"/>
  <c r="AL109" i="15"/>
  <c r="AK121" i="37"/>
  <c r="AK90" i="37" s="1"/>
  <c r="O52" i="37" s="1"/>
  <c r="O20" i="37" s="1"/>
  <c r="AF80" i="15"/>
  <c r="AF52" i="15" s="1"/>
  <c r="AJ108" i="15"/>
  <c r="AJ120" i="37"/>
  <c r="AJ89" i="37" s="1"/>
  <c r="N51" i="37" s="1"/>
  <c r="N19" i="37" s="1"/>
  <c r="AG108" i="15"/>
  <c r="AO120" i="37"/>
  <c r="AO89" i="37" s="1"/>
  <c r="AO51" i="37" s="1"/>
  <c r="AL108" i="15"/>
  <c r="AN120" i="37"/>
  <c r="AN89" i="37" s="1"/>
  <c r="R51" i="37" s="1"/>
  <c r="R19" i="37" s="1"/>
  <c r="AK120" i="37"/>
  <c r="AK89" i="37" s="1"/>
  <c r="O51" i="37" s="1"/>
  <c r="O19" i="37" s="1"/>
  <c r="AH108" i="15"/>
  <c r="AL120" i="37"/>
  <c r="AL89" i="37" s="1"/>
  <c r="P51" i="37" s="1"/>
  <c r="P19" i="37" s="1"/>
  <c r="AI108" i="15"/>
  <c r="AN119" i="37"/>
  <c r="AN88" i="37" s="1"/>
  <c r="R50" i="37" s="1"/>
  <c r="R18" i="37" s="1"/>
  <c r="AK107" i="15"/>
  <c r="AK119" i="37"/>
  <c r="AK88" i="37" s="1"/>
  <c r="O50" i="37" s="1"/>
  <c r="O18" i="37" s="1"/>
  <c r="AH107" i="15"/>
  <c r="AF78" i="15"/>
  <c r="AF50" i="15" s="1"/>
  <c r="AL119" i="37"/>
  <c r="AL88" i="37" s="1"/>
  <c r="P50" i="37" s="1"/>
  <c r="P18" i="37" s="1"/>
  <c r="AI107" i="15"/>
  <c r="AM119" i="37"/>
  <c r="AM88" i="37" s="1"/>
  <c r="Q50" i="37" s="1"/>
  <c r="Q18" i="37" s="1"/>
  <c r="AJ107" i="15"/>
  <c r="AO119" i="37"/>
  <c r="AO88" i="37" s="1"/>
  <c r="AO50" i="37" s="1"/>
  <c r="AL107" i="15"/>
  <c r="AJ119" i="37"/>
  <c r="AJ88" i="37" s="1"/>
  <c r="N50" i="37" s="1"/>
  <c r="N18" i="37" s="1"/>
  <c r="AG107" i="15"/>
  <c r="AF48" i="15"/>
  <c r="E48" i="15" s="1"/>
  <c r="E16" i="15" s="1"/>
  <c r="AI105" i="15"/>
  <c r="AI106" i="15"/>
  <c r="AK105" i="15"/>
  <c r="AK106" i="15"/>
  <c r="AJ105" i="15"/>
  <c r="AJ76" i="15" s="1"/>
  <c r="P48" i="15" s="1"/>
  <c r="AJ106" i="15"/>
  <c r="AF77" i="15"/>
  <c r="AF49" i="15" s="1"/>
  <c r="AH105" i="15"/>
  <c r="AH106" i="15"/>
  <c r="AL105" i="15"/>
  <c r="AL76" i="15" s="1"/>
  <c r="AL48" i="15" s="1"/>
  <c r="AL106" i="15"/>
  <c r="AG77" i="15"/>
  <c r="AG49" i="15" s="1"/>
  <c r="AI76" i="15"/>
  <c r="O48" i="15" s="1"/>
  <c r="AH76" i="15"/>
  <c r="N48" i="15" s="1"/>
  <c r="AJ118" i="37"/>
  <c r="AJ87" i="37" s="1"/>
  <c r="AJ49" i="37" s="1"/>
  <c r="AG105" i="15"/>
  <c r="AK76" i="15"/>
  <c r="Q48" i="15" s="1"/>
  <c r="L16" i="15"/>
  <c r="AL91" i="37"/>
  <c r="P53" i="37" s="1"/>
  <c r="P21" i="37" s="1"/>
  <c r="AO91" i="37"/>
  <c r="AO53" i="37" s="1"/>
  <c r="AN91" i="37"/>
  <c r="R53" i="37" s="1"/>
  <c r="R21" i="37" s="1"/>
  <c r="AJ91" i="37"/>
  <c r="N53" i="37" s="1"/>
  <c r="N21" i="37" s="1"/>
  <c r="AI53" i="37"/>
  <c r="F53" i="37" s="1"/>
  <c r="F21" i="37" s="1"/>
  <c r="AK91" i="37"/>
  <c r="O53" i="37" s="1"/>
  <c r="O21" i="37" s="1"/>
  <c r="AM91" i="37"/>
  <c r="Q53" i="37" s="1"/>
  <c r="Q21" i="37" s="1"/>
  <c r="D97" i="34"/>
  <c r="D96" i="34"/>
  <c r="D170" i="7"/>
  <c r="AH109" i="7" s="1"/>
  <c r="D96" i="43"/>
  <c r="D97" i="43"/>
  <c r="AI50" i="37"/>
  <c r="F50" i="37" s="1"/>
  <c r="F18" i="37" s="1"/>
  <c r="D145" i="7" s="1"/>
  <c r="AB106" i="7" s="1"/>
  <c r="AI51" i="37"/>
  <c r="F51" i="37" s="1"/>
  <c r="F19" i="37" s="1"/>
  <c r="D68" i="34" s="1"/>
  <c r="AI52" i="37"/>
  <c r="F52" i="37" s="1"/>
  <c r="F20" i="37" s="1"/>
  <c r="D84" i="43"/>
  <c r="D162" i="7"/>
  <c r="AH108" i="7" s="1"/>
  <c r="D84" i="34"/>
  <c r="D85" i="34"/>
  <c r="D85" i="43"/>
  <c r="D154" i="7"/>
  <c r="AH107" i="7" s="1"/>
  <c r="D73" i="34"/>
  <c r="D72" i="34"/>
  <c r="D72" i="43"/>
  <c r="D73" i="43"/>
  <c r="D60" i="34"/>
  <c r="D146" i="7"/>
  <c r="AH106" i="7" s="1"/>
  <c r="D60" i="43"/>
  <c r="D61" i="34"/>
  <c r="D61" i="43"/>
  <c r="AN458" i="50"/>
  <c r="AN511" i="50" s="1"/>
  <c r="K518" i="50" s="1"/>
  <c r="AN118" i="37"/>
  <c r="AM458" i="50"/>
  <c r="AM511" i="50" s="1"/>
  <c r="J518" i="50" s="1"/>
  <c r="AM118" i="37"/>
  <c r="AI87" i="37"/>
  <c r="AI49" i="37" s="1"/>
  <c r="AL458" i="50"/>
  <c r="AL511" i="50" s="1"/>
  <c r="I518" i="50" s="1"/>
  <c r="AL118" i="37"/>
  <c r="AK458" i="50"/>
  <c r="AK511" i="50" s="1"/>
  <c r="H518" i="50" s="1"/>
  <c r="AK118" i="37"/>
  <c r="AP458" i="50"/>
  <c r="AP511" i="50" s="1"/>
  <c r="AW511" i="50" s="1"/>
  <c r="AO118" i="37"/>
  <c r="AO87" i="37" s="1"/>
  <c r="J322" i="60"/>
  <c r="I322" i="60"/>
  <c r="G322" i="60"/>
  <c r="H322" i="60"/>
  <c r="AW37" i="14"/>
  <c r="AJ64" i="50"/>
  <c r="AJ458" i="50"/>
  <c r="AP63" i="50"/>
  <c r="AP114" i="50" s="1"/>
  <c r="AP90" i="50" s="1"/>
  <c r="AP64" i="50"/>
  <c r="AN63" i="50"/>
  <c r="AN114" i="50" s="1"/>
  <c r="AN64" i="50"/>
  <c r="AM63" i="50"/>
  <c r="AM114" i="50" s="1"/>
  <c r="AM64" i="50"/>
  <c r="AL63" i="50"/>
  <c r="AL64" i="50"/>
  <c r="AK63" i="50"/>
  <c r="AK64" i="50"/>
  <c r="AJ117" i="37"/>
  <c r="AJ86" i="37" s="1"/>
  <c r="AJ63" i="50"/>
  <c r="R37" i="60"/>
  <c r="S36" i="60"/>
  <c r="Q36" i="60"/>
  <c r="Q37" i="60"/>
  <c r="O36" i="60"/>
  <c r="O41" i="60" s="1"/>
  <c r="AV89" i="14" s="1"/>
  <c r="R36" i="60"/>
  <c r="S37" i="60"/>
  <c r="R501" i="60"/>
  <c r="H481" i="60"/>
  <c r="AW70" i="14" s="1"/>
  <c r="S476" i="60"/>
  <c r="H212" i="60"/>
  <c r="I217" i="60"/>
  <c r="AX58" i="14" s="1"/>
  <c r="G321" i="60"/>
  <c r="R479" i="60"/>
  <c r="J283" i="60"/>
  <c r="AY61" i="14" s="1"/>
  <c r="F321" i="60"/>
  <c r="F327" i="60" s="1"/>
  <c r="AU63" i="14" s="1"/>
  <c r="AU80" i="14" s="1"/>
  <c r="F15" i="60" s="1"/>
  <c r="J321" i="60"/>
  <c r="G212" i="60"/>
  <c r="G217" i="60" s="1"/>
  <c r="AV58" i="14" s="1"/>
  <c r="J212" i="60"/>
  <c r="J217" i="60" s="1"/>
  <c r="AY58" i="14" s="1"/>
  <c r="K283" i="60"/>
  <c r="AZ61" i="14" s="1"/>
  <c r="H503" i="60"/>
  <c r="AW71" i="14" s="1"/>
  <c r="K475" i="60"/>
  <c r="G475" i="60"/>
  <c r="G481" i="60" s="1"/>
  <c r="AV70" i="14" s="1"/>
  <c r="J475" i="60"/>
  <c r="I475" i="60"/>
  <c r="I481" i="60" s="1"/>
  <c r="AX70" i="14" s="1"/>
  <c r="R500" i="60"/>
  <c r="C33" i="1"/>
  <c r="H33" i="1" s="1"/>
  <c r="Q431" i="60"/>
  <c r="K481" i="60"/>
  <c r="AZ70" i="14" s="1"/>
  <c r="J503" i="60"/>
  <c r="AY71" i="14" s="1"/>
  <c r="K503" i="60"/>
  <c r="AZ71" i="14" s="1"/>
  <c r="S433" i="60"/>
  <c r="Q478" i="60"/>
  <c r="R498" i="60"/>
  <c r="G437" i="60"/>
  <c r="AV68" i="14" s="1"/>
  <c r="Q432" i="60"/>
  <c r="N497" i="60"/>
  <c r="N503" i="60" s="1"/>
  <c r="AU110" i="14" s="1"/>
  <c r="Q476" i="60"/>
  <c r="N431" i="60"/>
  <c r="N437" i="60" s="1"/>
  <c r="AU107" i="14" s="1"/>
  <c r="O431" i="60"/>
  <c r="S435" i="60"/>
  <c r="O497" i="60"/>
  <c r="O503" i="60" s="1"/>
  <c r="AV110" i="14" s="1"/>
  <c r="Q497" i="60"/>
  <c r="P499" i="60"/>
  <c r="S498" i="60"/>
  <c r="N475" i="60"/>
  <c r="N481" i="60" s="1"/>
  <c r="AU109" i="14" s="1"/>
  <c r="S434" i="60"/>
  <c r="S437" i="60" s="1"/>
  <c r="AZ107" i="14" s="1"/>
  <c r="R499" i="60"/>
  <c r="S478" i="60"/>
  <c r="S477" i="60"/>
  <c r="P498" i="60"/>
  <c r="P475" i="60"/>
  <c r="S259" i="60"/>
  <c r="O476" i="60"/>
  <c r="R476" i="60"/>
  <c r="O432" i="60"/>
  <c r="P431" i="60"/>
  <c r="R431" i="60"/>
  <c r="Q258" i="60"/>
  <c r="P497" i="60"/>
  <c r="S497" i="60"/>
  <c r="Q500" i="60"/>
  <c r="K437" i="60"/>
  <c r="AZ68" i="14" s="1"/>
  <c r="Q499" i="60"/>
  <c r="Q433" i="60"/>
  <c r="Q477" i="60"/>
  <c r="Q498" i="60"/>
  <c r="O321" i="60"/>
  <c r="O475" i="60"/>
  <c r="R434" i="60"/>
  <c r="J437" i="60"/>
  <c r="AY68" i="14" s="1"/>
  <c r="H437" i="60"/>
  <c r="AW68" i="14" s="1"/>
  <c r="R433" i="60"/>
  <c r="P477" i="60"/>
  <c r="S475" i="60"/>
  <c r="R475" i="60"/>
  <c r="P432" i="60"/>
  <c r="P437" i="60" s="1"/>
  <c r="AW107" i="14" s="1"/>
  <c r="R432" i="60"/>
  <c r="O278" i="60"/>
  <c r="O283" i="60" s="1"/>
  <c r="AV100" i="14" s="1"/>
  <c r="G327" i="60"/>
  <c r="AV63" i="14" s="1"/>
  <c r="N321" i="60"/>
  <c r="N327" i="60" s="1"/>
  <c r="AU102" i="14" s="1"/>
  <c r="R258" i="60"/>
  <c r="R278" i="60"/>
  <c r="Q278" i="60"/>
  <c r="Q256" i="60"/>
  <c r="Q322" i="60"/>
  <c r="P321" i="60"/>
  <c r="O322" i="60"/>
  <c r="O327" i="60" s="1"/>
  <c r="AV102" i="14" s="1"/>
  <c r="S278" i="60"/>
  <c r="S256" i="60"/>
  <c r="Q321" i="60"/>
  <c r="R321" i="60"/>
  <c r="P322" i="60"/>
  <c r="R322" i="60"/>
  <c r="R280" i="60"/>
  <c r="P279" i="60"/>
  <c r="P283" i="60" s="1"/>
  <c r="AW100" i="14" s="1"/>
  <c r="S279" i="60"/>
  <c r="Q257" i="60"/>
  <c r="Q280" i="60"/>
  <c r="R279" i="60"/>
  <c r="P255" i="60"/>
  <c r="S257" i="60"/>
  <c r="O255" i="60"/>
  <c r="N255" i="60"/>
  <c r="N261" i="60" s="1"/>
  <c r="AU99" i="14" s="1"/>
  <c r="R257" i="60"/>
  <c r="Q255" i="60"/>
  <c r="S255" i="60"/>
  <c r="O256" i="60"/>
  <c r="R256" i="60"/>
  <c r="O525" i="60"/>
  <c r="AV111" i="14" s="1"/>
  <c r="O151" i="60"/>
  <c r="AV94" i="14" s="1"/>
  <c r="AK117" i="37"/>
  <c r="AN117" i="37"/>
  <c r="AO117" i="37"/>
  <c r="AI86" i="37"/>
  <c r="AL117" i="37"/>
  <c r="AM117" i="37"/>
  <c r="P525" i="60"/>
  <c r="AW111" i="14" s="1"/>
  <c r="Q525" i="60"/>
  <c r="AX111" i="14" s="1"/>
  <c r="R525" i="60"/>
  <c r="AY111" i="14" s="1"/>
  <c r="S525" i="60"/>
  <c r="AZ111" i="14" s="1"/>
  <c r="O217" i="60"/>
  <c r="AV97" i="14" s="1"/>
  <c r="O569" i="60"/>
  <c r="AV113" i="14" s="1"/>
  <c r="P569" i="60"/>
  <c r="AW113" i="14" s="1"/>
  <c r="Q569" i="60"/>
  <c r="AX113" i="14" s="1"/>
  <c r="Q305" i="60"/>
  <c r="AX101" i="14" s="1"/>
  <c r="S305" i="60"/>
  <c r="AZ101" i="14" s="1"/>
  <c r="R305" i="60"/>
  <c r="AY101" i="14" s="1"/>
  <c r="S129" i="60"/>
  <c r="AZ93" i="14" s="1"/>
  <c r="AT122" i="37" s="1"/>
  <c r="S151" i="60"/>
  <c r="AZ94" i="14" s="1"/>
  <c r="P151" i="60"/>
  <c r="AW94" i="14" s="1"/>
  <c r="P393" i="60"/>
  <c r="AW105" i="14" s="1"/>
  <c r="Q393" i="60"/>
  <c r="AX105" i="14" s="1"/>
  <c r="O393" i="60"/>
  <c r="AV105" i="14" s="1"/>
  <c r="R195" i="60"/>
  <c r="AY96" i="14" s="1"/>
  <c r="S195" i="60"/>
  <c r="AZ96" i="14" s="1"/>
  <c r="Q129" i="60"/>
  <c r="AX93" i="14" s="1"/>
  <c r="AR122" i="37" s="1"/>
  <c r="S547" i="60"/>
  <c r="AZ112" i="14" s="1"/>
  <c r="R547" i="60"/>
  <c r="AY112" i="14" s="1"/>
  <c r="Q547" i="60"/>
  <c r="AX112" i="14" s="1"/>
  <c r="O415" i="60"/>
  <c r="AV106" i="14" s="1"/>
  <c r="Q415" i="60"/>
  <c r="AX106" i="14" s="1"/>
  <c r="S349" i="60"/>
  <c r="AZ103" i="14" s="1"/>
  <c r="Q349" i="60"/>
  <c r="AX103" i="14" s="1"/>
  <c r="R371" i="60"/>
  <c r="AY104" i="14" s="1"/>
  <c r="Q371" i="60"/>
  <c r="AX104" i="14" s="1"/>
  <c r="O371" i="60"/>
  <c r="AV104" i="14" s="1"/>
  <c r="P173" i="60"/>
  <c r="AW95" i="14" s="1"/>
  <c r="O173" i="60"/>
  <c r="AV95" i="14" s="1"/>
  <c r="R173" i="60"/>
  <c r="AY95" i="14" s="1"/>
  <c r="O107" i="60"/>
  <c r="AV92" i="14" s="1"/>
  <c r="P41" i="60"/>
  <c r="AW89" i="14" s="1"/>
  <c r="O261" i="60"/>
  <c r="AV99" i="14" s="1"/>
  <c r="P261" i="60"/>
  <c r="AW99" i="14" s="1"/>
  <c r="O63" i="60"/>
  <c r="AV90" i="14" s="1"/>
  <c r="S63" i="60"/>
  <c r="AZ90" i="14" s="1"/>
  <c r="R63" i="60"/>
  <c r="AY90" i="14" s="1"/>
  <c r="P85" i="60"/>
  <c r="AW91" i="14" s="1"/>
  <c r="Q85" i="60"/>
  <c r="AX91" i="14" s="1"/>
  <c r="S569" i="60"/>
  <c r="AZ113" i="14" s="1"/>
  <c r="R569" i="60"/>
  <c r="AY113" i="14" s="1"/>
  <c r="O305" i="60"/>
  <c r="AV101" i="14" s="1"/>
  <c r="P305" i="60"/>
  <c r="AW101" i="14" s="1"/>
  <c r="P129" i="60"/>
  <c r="AW93" i="14" s="1"/>
  <c r="AQ122" i="37" s="1"/>
  <c r="O129" i="60"/>
  <c r="AV93" i="14" s="1"/>
  <c r="AP122" i="37" s="1"/>
  <c r="R129" i="60"/>
  <c r="AY93" i="14" s="1"/>
  <c r="AS122" i="37" s="1"/>
  <c r="R151" i="60"/>
  <c r="AY94" i="14" s="1"/>
  <c r="Q151" i="60"/>
  <c r="AX94" i="14" s="1"/>
  <c r="R393" i="60"/>
  <c r="AY105" i="14" s="1"/>
  <c r="S393" i="60"/>
  <c r="AZ105" i="14" s="1"/>
  <c r="Q195" i="60"/>
  <c r="AX96" i="14" s="1"/>
  <c r="O195" i="60"/>
  <c r="AV96" i="14" s="1"/>
  <c r="P195" i="60"/>
  <c r="AW96" i="14" s="1"/>
  <c r="P217" i="60"/>
  <c r="AW97" i="14" s="1"/>
  <c r="O547" i="60"/>
  <c r="AV112" i="14" s="1"/>
  <c r="P547" i="60"/>
  <c r="AW112" i="14" s="1"/>
  <c r="P415" i="60"/>
  <c r="AW106" i="14" s="1"/>
  <c r="S415" i="60"/>
  <c r="AZ106" i="14" s="1"/>
  <c r="R415" i="60"/>
  <c r="AY106" i="14" s="1"/>
  <c r="P349" i="60"/>
  <c r="AW103" i="14" s="1"/>
  <c r="O349" i="60"/>
  <c r="AV103" i="14" s="1"/>
  <c r="R349" i="60"/>
  <c r="AY103" i="14" s="1"/>
  <c r="P371" i="60"/>
  <c r="AW104" i="14" s="1"/>
  <c r="S371" i="60"/>
  <c r="AZ104" i="14" s="1"/>
  <c r="S173" i="60"/>
  <c r="AZ95" i="14" s="1"/>
  <c r="Q173" i="60"/>
  <c r="AX95" i="14" s="1"/>
  <c r="P107" i="60"/>
  <c r="AW92" i="14" s="1"/>
  <c r="Q261" i="60"/>
  <c r="AX99" i="14" s="1"/>
  <c r="S261" i="60"/>
  <c r="AZ99" i="14" s="1"/>
  <c r="R261" i="60"/>
  <c r="AY99" i="14" s="1"/>
  <c r="P63" i="60"/>
  <c r="AW90" i="14" s="1"/>
  <c r="Q63" i="60"/>
  <c r="AX90" i="14" s="1"/>
  <c r="O85" i="60"/>
  <c r="AV91" i="14" s="1"/>
  <c r="J15" i="3" l="1"/>
  <c r="AW90" i="50"/>
  <c r="R85" i="60"/>
  <c r="AY91" i="14" s="1"/>
  <c r="S83" i="60"/>
  <c r="S85" i="60"/>
  <c r="AZ91" i="14" s="1"/>
  <c r="P323" i="60"/>
  <c r="R323" i="60"/>
  <c r="S323" i="60"/>
  <c r="AP115" i="50"/>
  <c r="AP91" i="50" s="1"/>
  <c r="AW91" i="50" s="1"/>
  <c r="F132" i="50" s="1"/>
  <c r="F131" i="50" s="1"/>
  <c r="AJ115" i="50"/>
  <c r="AJ91" i="50" s="1"/>
  <c r="D86" i="43"/>
  <c r="AQ120" i="14"/>
  <c r="S95" i="60"/>
  <c r="S106" i="60" s="1"/>
  <c r="H455" i="60"/>
  <c r="I455" i="60"/>
  <c r="H459" i="60"/>
  <c r="AW69" i="14" s="1"/>
  <c r="K455" i="60"/>
  <c r="J455" i="60"/>
  <c r="AP101" i="14"/>
  <c r="I15" i="3"/>
  <c r="I104" i="60"/>
  <c r="I107" i="60" s="1"/>
  <c r="AX53" i="14" s="1"/>
  <c r="K104" i="60"/>
  <c r="J104" i="60"/>
  <c r="Q104" i="60"/>
  <c r="Q107" i="60" s="1"/>
  <c r="AX92" i="14" s="1"/>
  <c r="AO109" i="15" s="1"/>
  <c r="R104" i="60"/>
  <c r="S104" i="60"/>
  <c r="H205" i="60"/>
  <c r="H217" i="60" s="1"/>
  <c r="AW58" i="14" s="1"/>
  <c r="AN84" i="14"/>
  <c r="H315" i="60" s="1"/>
  <c r="AP62" i="14"/>
  <c r="I14" i="3"/>
  <c r="AQ81" i="14"/>
  <c r="K95" i="60"/>
  <c r="K106" i="60" s="1"/>
  <c r="I447" i="60"/>
  <c r="AO82" i="14"/>
  <c r="AO84" i="14" s="1"/>
  <c r="I315" i="60" s="1"/>
  <c r="Q447" i="60"/>
  <c r="AO121" i="14"/>
  <c r="AL50" i="37"/>
  <c r="I50" i="37" s="1"/>
  <c r="I18" i="37" s="1"/>
  <c r="G55" i="34" s="1"/>
  <c r="D55" i="34"/>
  <c r="AH80" i="15"/>
  <c r="AH52" i="15" s="1"/>
  <c r="AL80" i="15"/>
  <c r="L52" i="15" s="1"/>
  <c r="L20" i="15" s="1"/>
  <c r="AG80" i="15"/>
  <c r="AG52" i="15" s="1"/>
  <c r="AQ121" i="37"/>
  <c r="AN109" i="15"/>
  <c r="AR121" i="37"/>
  <c r="AR90" i="37" s="1"/>
  <c r="AR52" i="37" s="1"/>
  <c r="AP121" i="37"/>
  <c r="AP90" i="37" s="1"/>
  <c r="AP52" i="37" s="1"/>
  <c r="AM109" i="15"/>
  <c r="AT120" i="37"/>
  <c r="AT89" i="37" s="1"/>
  <c r="AT51" i="37" s="1"/>
  <c r="AQ108" i="15"/>
  <c r="AS120" i="37"/>
  <c r="AS89" i="37" s="1"/>
  <c r="AS51" i="37" s="1"/>
  <c r="AP108" i="15"/>
  <c r="AI79" i="15"/>
  <c r="AI51" i="15" s="1"/>
  <c r="AH79" i="15"/>
  <c r="AH51" i="15" s="1"/>
  <c r="AK79" i="15"/>
  <c r="AK51" i="15" s="1"/>
  <c r="AL79" i="15"/>
  <c r="L51" i="15" s="1"/>
  <c r="L19" i="15" s="1"/>
  <c r="AG79" i="15"/>
  <c r="AG51" i="15" s="1"/>
  <c r="AJ79" i="15"/>
  <c r="AJ51" i="15" s="1"/>
  <c r="AP120" i="37"/>
  <c r="AP89" i="37" s="1"/>
  <c r="AP51" i="37" s="1"/>
  <c r="AM108" i="15"/>
  <c r="AR120" i="37"/>
  <c r="AR89" i="37" s="1"/>
  <c r="AR51" i="37" s="1"/>
  <c r="AO108" i="15"/>
  <c r="AQ120" i="37"/>
  <c r="AQ89" i="37" s="1"/>
  <c r="AQ51" i="37" s="1"/>
  <c r="AN108" i="15"/>
  <c r="AR119" i="37"/>
  <c r="AR88" i="37" s="1"/>
  <c r="AR50" i="37" s="1"/>
  <c r="AO107" i="15"/>
  <c r="AS119" i="37"/>
  <c r="AS88" i="37" s="1"/>
  <c r="AS50" i="37" s="1"/>
  <c r="AP107" i="15"/>
  <c r="AQ119" i="37"/>
  <c r="AQ88" i="37" s="1"/>
  <c r="AQ50" i="37" s="1"/>
  <c r="AN107" i="15"/>
  <c r="AT119" i="37"/>
  <c r="AT88" i="37" s="1"/>
  <c r="AT50" i="37" s="1"/>
  <c r="AQ107" i="15"/>
  <c r="AG78" i="15"/>
  <c r="AG50" i="15" s="1"/>
  <c r="AL78" i="15"/>
  <c r="L50" i="15" s="1"/>
  <c r="L18" i="15" s="1"/>
  <c r="AJ78" i="15"/>
  <c r="AJ50" i="15" s="1"/>
  <c r="AI78" i="15"/>
  <c r="AI50" i="15" s="1"/>
  <c r="AH78" i="15"/>
  <c r="AH50" i="15" s="1"/>
  <c r="AK78" i="15"/>
  <c r="AK50" i="15" s="1"/>
  <c r="AP119" i="37"/>
  <c r="AP88" i="37" s="1"/>
  <c r="AP50" i="37" s="1"/>
  <c r="AM107" i="15"/>
  <c r="D56" i="43"/>
  <c r="AN487" i="50"/>
  <c r="K510" i="50" s="1"/>
  <c r="D56" i="34"/>
  <c r="AK48" i="15"/>
  <c r="J48" i="15" s="1"/>
  <c r="AH48" i="15"/>
  <c r="G48" i="15" s="1"/>
  <c r="G16" i="15" s="1"/>
  <c r="AI48" i="15"/>
  <c r="H48" i="15" s="1"/>
  <c r="H16" i="15" s="1"/>
  <c r="AJ48" i="15"/>
  <c r="I48" i="15" s="1"/>
  <c r="I16" i="15" s="1"/>
  <c r="AL77" i="15"/>
  <c r="L49" i="15" s="1"/>
  <c r="AH77" i="15"/>
  <c r="AH49" i="15" s="1"/>
  <c r="AJ77" i="15"/>
  <c r="AJ49" i="15" s="1"/>
  <c r="AK77" i="15"/>
  <c r="AK49" i="15" s="1"/>
  <c r="AI77" i="15"/>
  <c r="AI49" i="15" s="1"/>
  <c r="AN105" i="15"/>
  <c r="AN76" i="15" s="1"/>
  <c r="AN48" i="15" s="1"/>
  <c r="AN106" i="15"/>
  <c r="AM105" i="15"/>
  <c r="AM106" i="15"/>
  <c r="D36" i="44"/>
  <c r="D364" i="7"/>
  <c r="D36" i="45"/>
  <c r="D37" i="44"/>
  <c r="D37" i="45"/>
  <c r="J16" i="15"/>
  <c r="D31" i="44"/>
  <c r="D32" i="44"/>
  <c r="D32" i="45"/>
  <c r="D31" i="45"/>
  <c r="D363" i="7"/>
  <c r="AG76" i="15"/>
  <c r="M48" i="15" s="1"/>
  <c r="AM76" i="15"/>
  <c r="P16" i="15"/>
  <c r="Q16" i="15"/>
  <c r="N16" i="15"/>
  <c r="O16" i="15"/>
  <c r="D55" i="43"/>
  <c r="D67" i="34"/>
  <c r="D69" i="34" s="1"/>
  <c r="D68" i="43"/>
  <c r="D153" i="7"/>
  <c r="AB107" i="7" s="1"/>
  <c r="D98" i="34"/>
  <c r="AM53" i="37"/>
  <c r="J53" i="37" s="1"/>
  <c r="J21" i="37" s="1"/>
  <c r="H91" i="43" s="1"/>
  <c r="AK53" i="37"/>
  <c r="H53" i="37" s="1"/>
  <c r="H21" i="37" s="1"/>
  <c r="F92" i="34" s="1"/>
  <c r="AJ51" i="37"/>
  <c r="G51" i="37" s="1"/>
  <c r="G19" i="37" s="1"/>
  <c r="E153" i="7" s="1"/>
  <c r="AC107" i="7" s="1"/>
  <c r="AM51" i="37"/>
  <c r="J51" i="37" s="1"/>
  <c r="J19" i="37" s="1"/>
  <c r="H68" i="34" s="1"/>
  <c r="AP91" i="37"/>
  <c r="AP53" i="37" s="1"/>
  <c r="AS91" i="37"/>
  <c r="AS53" i="37" s="1"/>
  <c r="AQ91" i="37"/>
  <c r="AQ53" i="37" s="1"/>
  <c r="AR91" i="37"/>
  <c r="AR53" i="37" s="1"/>
  <c r="AT91" i="37"/>
  <c r="AT53" i="37" s="1"/>
  <c r="D86" i="34"/>
  <c r="AJ52" i="37"/>
  <c r="G52" i="37" s="1"/>
  <c r="G20" i="37" s="1"/>
  <c r="E161" i="7" s="1"/>
  <c r="AC108" i="7" s="1"/>
  <c r="D98" i="43"/>
  <c r="H97" i="34"/>
  <c r="H96" i="34"/>
  <c r="H170" i="7"/>
  <c r="AL109" i="7" s="1"/>
  <c r="H96" i="43"/>
  <c r="H97" i="43"/>
  <c r="F97" i="34"/>
  <c r="F170" i="7"/>
  <c r="AJ109" i="7" s="1"/>
  <c r="F96" i="34"/>
  <c r="F96" i="43"/>
  <c r="F97" i="43"/>
  <c r="AJ53" i="37"/>
  <c r="G53" i="37" s="1"/>
  <c r="G21" i="37" s="1"/>
  <c r="AN53" i="37"/>
  <c r="K53" i="37" s="1"/>
  <c r="K21" i="37" s="1"/>
  <c r="AL53" i="37"/>
  <c r="I53" i="37" s="1"/>
  <c r="I21" i="37" s="1"/>
  <c r="D92" i="34"/>
  <c r="D91" i="43"/>
  <c r="D169" i="7"/>
  <c r="AB109" i="7" s="1"/>
  <c r="D91" i="34"/>
  <c r="D92" i="43"/>
  <c r="E170" i="7"/>
  <c r="AI109" i="7" s="1"/>
  <c r="E97" i="34"/>
  <c r="E96" i="34"/>
  <c r="E96" i="43"/>
  <c r="E97" i="43"/>
  <c r="I97" i="34"/>
  <c r="I96" i="34"/>
  <c r="I96" i="43"/>
  <c r="I170" i="7"/>
  <c r="AM109" i="7" s="1"/>
  <c r="I97" i="43"/>
  <c r="G97" i="34"/>
  <c r="G96" i="34"/>
  <c r="G170" i="7"/>
  <c r="AK109" i="7" s="1"/>
  <c r="G96" i="43"/>
  <c r="G97" i="43"/>
  <c r="F84" i="34"/>
  <c r="F84" i="43"/>
  <c r="F162" i="7"/>
  <c r="AJ108" i="7" s="1"/>
  <c r="F85" i="34"/>
  <c r="F85" i="43"/>
  <c r="AQ90" i="37"/>
  <c r="AK50" i="37"/>
  <c r="H50" i="37" s="1"/>
  <c r="H18" i="37" s="1"/>
  <c r="F55" i="43" s="1"/>
  <c r="AN50" i="37"/>
  <c r="K50" i="37" s="1"/>
  <c r="K18" i="37" s="1"/>
  <c r="I56" i="34" s="1"/>
  <c r="D67" i="43"/>
  <c r="D69" i="43" s="1"/>
  <c r="AN51" i="37"/>
  <c r="K51" i="37" s="1"/>
  <c r="K19" i="37" s="1"/>
  <c r="I153" i="7" s="1"/>
  <c r="AG107" i="7" s="1"/>
  <c r="AK52" i="37"/>
  <c r="H52" i="37" s="1"/>
  <c r="H20" i="37" s="1"/>
  <c r="D79" i="43"/>
  <c r="D80" i="43"/>
  <c r="D161" i="7"/>
  <c r="AB108" i="7" s="1"/>
  <c r="D79" i="34"/>
  <c r="D80" i="34"/>
  <c r="E84" i="34"/>
  <c r="E162" i="7"/>
  <c r="AI108" i="7" s="1"/>
  <c r="E85" i="34"/>
  <c r="E84" i="43"/>
  <c r="E85" i="43"/>
  <c r="AM50" i="37"/>
  <c r="J50" i="37" s="1"/>
  <c r="J18" i="37" s="1"/>
  <c r="H145" i="7" s="1"/>
  <c r="AF106" i="7" s="1"/>
  <c r="D74" i="43"/>
  <c r="D74" i="34"/>
  <c r="E72" i="34"/>
  <c r="E73" i="34"/>
  <c r="E154" i="7"/>
  <c r="AI107" i="7" s="1"/>
  <c r="E72" i="43"/>
  <c r="E73" i="43"/>
  <c r="H73" i="34"/>
  <c r="H73" i="43"/>
  <c r="H154" i="7"/>
  <c r="AL107" i="7" s="1"/>
  <c r="H72" i="34"/>
  <c r="H72" i="43"/>
  <c r="AL51" i="37"/>
  <c r="I51" i="37" s="1"/>
  <c r="I19" i="37" s="1"/>
  <c r="AK51" i="37"/>
  <c r="H51" i="37" s="1"/>
  <c r="H19" i="37" s="1"/>
  <c r="G72" i="34"/>
  <c r="G154" i="7"/>
  <c r="AK107" i="7" s="1"/>
  <c r="G72" i="43"/>
  <c r="G73" i="34"/>
  <c r="G73" i="43"/>
  <c r="F72" i="43"/>
  <c r="F154" i="7"/>
  <c r="AJ107" i="7" s="1"/>
  <c r="F73" i="43"/>
  <c r="F72" i="34"/>
  <c r="F73" i="34"/>
  <c r="I72" i="43"/>
  <c r="I72" i="34"/>
  <c r="I73" i="34"/>
  <c r="I154" i="7"/>
  <c r="AM107" i="7" s="1"/>
  <c r="I73" i="43"/>
  <c r="D62" i="43"/>
  <c r="D62" i="34"/>
  <c r="F60" i="43"/>
  <c r="F146" i="7"/>
  <c r="AJ106" i="7" s="1"/>
  <c r="F61" i="34"/>
  <c r="F60" i="34"/>
  <c r="F61" i="43"/>
  <c r="I60" i="43"/>
  <c r="I60" i="34"/>
  <c r="I61" i="34"/>
  <c r="I146" i="7"/>
  <c r="AM106" i="7" s="1"/>
  <c r="I61" i="43"/>
  <c r="AJ50" i="37"/>
  <c r="G50" i="37" s="1"/>
  <c r="G18" i="37" s="1"/>
  <c r="G60" i="43"/>
  <c r="G61" i="34"/>
  <c r="G60" i="34"/>
  <c r="G146" i="7"/>
  <c r="AK106" i="7" s="1"/>
  <c r="G61" i="43"/>
  <c r="E60" i="43"/>
  <c r="E60" i="34"/>
  <c r="E146" i="7"/>
  <c r="AI106" i="7" s="1"/>
  <c r="E61" i="34"/>
  <c r="E61" i="43"/>
  <c r="H146" i="7"/>
  <c r="AL106" i="7" s="1"/>
  <c r="H60" i="34"/>
  <c r="H60" i="43"/>
  <c r="H61" i="34"/>
  <c r="H61" i="43"/>
  <c r="AM487" i="50"/>
  <c r="J510" i="50" s="1"/>
  <c r="AP487" i="50"/>
  <c r="AW487" i="50" s="1"/>
  <c r="AK487" i="50"/>
  <c r="H510" i="50" s="1"/>
  <c r="AL487" i="50"/>
  <c r="I510" i="50" s="1"/>
  <c r="AR458" i="50"/>
  <c r="AR511" i="50" s="1"/>
  <c r="AY511" i="50" s="1"/>
  <c r="AQ118" i="37"/>
  <c r="AO49" i="37"/>
  <c r="F49" i="37" s="1"/>
  <c r="F17" i="37" s="1"/>
  <c r="M49" i="37"/>
  <c r="M17" i="37" s="1"/>
  <c r="AK87" i="37"/>
  <c r="AK49" i="37" s="1"/>
  <c r="AL87" i="37"/>
  <c r="AL49" i="37" s="1"/>
  <c r="AM87" i="37"/>
  <c r="AM49" i="37" s="1"/>
  <c r="AN87" i="37"/>
  <c r="AN49" i="37" s="1"/>
  <c r="AQ458" i="50"/>
  <c r="AQ511" i="50" s="1"/>
  <c r="AQ487" i="50" s="1"/>
  <c r="AP118" i="37"/>
  <c r="AW38" i="14"/>
  <c r="AW114" i="50"/>
  <c r="S41" i="60"/>
  <c r="AZ89" i="14" s="1"/>
  <c r="AQ106" i="15" s="1"/>
  <c r="Q41" i="60"/>
  <c r="AX89" i="14" s="1"/>
  <c r="AR117" i="37" s="1"/>
  <c r="R41" i="60"/>
  <c r="AY89" i="14" s="1"/>
  <c r="AP106" i="15" s="1"/>
  <c r="AN90" i="50"/>
  <c r="AM90" i="50"/>
  <c r="AJ511" i="50"/>
  <c r="G518" i="50" s="1"/>
  <c r="AQ63" i="50"/>
  <c r="AQ114" i="50" s="1"/>
  <c r="AQ90" i="50" s="1"/>
  <c r="AQ64" i="50"/>
  <c r="AS63" i="50"/>
  <c r="AS114" i="50" s="1"/>
  <c r="AS90" i="50" s="1"/>
  <c r="AU63" i="50"/>
  <c r="AU114" i="50" s="1"/>
  <c r="AU90" i="50" s="1"/>
  <c r="AR63" i="50"/>
  <c r="AR114" i="50" s="1"/>
  <c r="AR90" i="50" s="1"/>
  <c r="AR64" i="50"/>
  <c r="AK115" i="50"/>
  <c r="AK91" i="50" s="1"/>
  <c r="AL115" i="50"/>
  <c r="AL91" i="50" s="1"/>
  <c r="AM115" i="50"/>
  <c r="AM91" i="50" s="1"/>
  <c r="AN115" i="50"/>
  <c r="AN91" i="50" s="1"/>
  <c r="AK114" i="50"/>
  <c r="AL114" i="50"/>
  <c r="AJ114" i="50"/>
  <c r="S283" i="60"/>
  <c r="AZ100" i="14" s="1"/>
  <c r="AV80" i="14"/>
  <c r="G15" i="60" s="1"/>
  <c r="Q437" i="60"/>
  <c r="AX107" i="14" s="1"/>
  <c r="R503" i="60"/>
  <c r="AY110" i="14" s="1"/>
  <c r="AJ48" i="37"/>
  <c r="G48" i="37" s="1"/>
  <c r="N48" i="37"/>
  <c r="AI48" i="37"/>
  <c r="F48" i="37" s="1"/>
  <c r="F16" i="37" s="1"/>
  <c r="M48" i="37"/>
  <c r="AU119" i="14"/>
  <c r="F16" i="60" s="1"/>
  <c r="F17" i="60" s="1"/>
  <c r="R481" i="60"/>
  <c r="AY109" i="14" s="1"/>
  <c r="P481" i="60"/>
  <c r="AW109" i="14" s="1"/>
  <c r="Q481" i="60"/>
  <c r="AX109" i="14" s="1"/>
  <c r="P503" i="60"/>
  <c r="AW110" i="14" s="1"/>
  <c r="O437" i="60"/>
  <c r="AV107" i="14" s="1"/>
  <c r="S503" i="60"/>
  <c r="AZ110" i="14" s="1"/>
  <c r="S481" i="60"/>
  <c r="AZ109" i="14" s="1"/>
  <c r="R437" i="60"/>
  <c r="AY107" i="14" s="1"/>
  <c r="O481" i="60"/>
  <c r="AV109" i="14" s="1"/>
  <c r="Q503" i="60"/>
  <c r="AX110" i="14" s="1"/>
  <c r="Q283" i="60"/>
  <c r="AX100" i="14" s="1"/>
  <c r="P327" i="60"/>
  <c r="AW102" i="14" s="1"/>
  <c r="R283" i="60"/>
  <c r="AY100" i="14" s="1"/>
  <c r="AQ117" i="37"/>
  <c r="AM86" i="37"/>
  <c r="AL86" i="37"/>
  <c r="AO86" i="37"/>
  <c r="AO48" i="37" s="1"/>
  <c r="AN86" i="37"/>
  <c r="AK86" i="37"/>
  <c r="AP117" i="37"/>
  <c r="AW115" i="50" l="1"/>
  <c r="F140" i="50" s="1"/>
  <c r="F139" i="50" s="1"/>
  <c r="A1" i="3"/>
  <c r="C17" i="1" s="1"/>
  <c r="H17" i="1" s="1"/>
  <c r="AR487" i="50"/>
  <c r="AY487" i="50" s="1"/>
  <c r="AM48" i="15"/>
  <c r="AR115" i="50"/>
  <c r="AR91" i="50" s="1"/>
  <c r="AQ115" i="50"/>
  <c r="AQ91" i="50" s="1"/>
  <c r="AX91" i="50" s="1"/>
  <c r="G132" i="50" s="1"/>
  <c r="G131" i="50" s="1"/>
  <c r="G74" i="43"/>
  <c r="H62" i="43"/>
  <c r="I62" i="43"/>
  <c r="F98" i="34"/>
  <c r="G62" i="43"/>
  <c r="I74" i="43"/>
  <c r="E62" i="43"/>
  <c r="AQ52" i="37"/>
  <c r="AX511" i="50"/>
  <c r="H91" i="34"/>
  <c r="F91" i="34"/>
  <c r="F93" i="34" s="1"/>
  <c r="AI109" i="15"/>
  <c r="AI80" i="15" s="1"/>
  <c r="AI52" i="15" s="1"/>
  <c r="AL121" i="37"/>
  <c r="Q456" i="60"/>
  <c r="Q459" i="60"/>
  <c r="AX108" i="14" s="1"/>
  <c r="S456" i="60"/>
  <c r="R456" i="60"/>
  <c r="J456" i="60"/>
  <c r="K456" i="60"/>
  <c r="I456" i="60"/>
  <c r="I459" i="60"/>
  <c r="AX69" i="14" s="1"/>
  <c r="I323" i="60"/>
  <c r="K323" i="60"/>
  <c r="H323" i="60"/>
  <c r="H327" i="60" s="1"/>
  <c r="AW63" i="14" s="1"/>
  <c r="AW80" i="14" s="1"/>
  <c r="H15" i="60" s="1"/>
  <c r="J323" i="60"/>
  <c r="AP120" i="14"/>
  <c r="R95" i="60"/>
  <c r="Q205" i="60"/>
  <c r="AO123" i="14"/>
  <c r="Q315" i="60" s="1"/>
  <c r="K324" i="60"/>
  <c r="I324" i="60"/>
  <c r="J324" i="60"/>
  <c r="I327" i="60"/>
  <c r="AX63" i="14" s="1"/>
  <c r="K447" i="60"/>
  <c r="AQ82" i="14"/>
  <c r="AP81" i="14"/>
  <c r="J95" i="60"/>
  <c r="K213" i="60"/>
  <c r="I213" i="60"/>
  <c r="J213" i="60"/>
  <c r="H213" i="60"/>
  <c r="S447" i="60"/>
  <c r="AQ121" i="14"/>
  <c r="G56" i="34"/>
  <c r="G57" i="34" s="1"/>
  <c r="G55" i="43"/>
  <c r="G56" i="43"/>
  <c r="G145" i="7"/>
  <c r="AE106" i="7" s="1"/>
  <c r="AH338" i="7"/>
  <c r="D303" i="7" s="1"/>
  <c r="D366" i="7"/>
  <c r="T338" i="7" s="1"/>
  <c r="AB338" i="7"/>
  <c r="D296" i="7" s="1"/>
  <c r="D365" i="7"/>
  <c r="N338" i="7" s="1"/>
  <c r="E67" i="34"/>
  <c r="H153" i="7"/>
  <c r="AF107" i="7" s="1"/>
  <c r="D57" i="34"/>
  <c r="I55" i="43"/>
  <c r="I67" i="34"/>
  <c r="AM80" i="15"/>
  <c r="M52" i="15" s="1"/>
  <c r="M20" i="15" s="1"/>
  <c r="AO80" i="15"/>
  <c r="O52" i="15" s="1"/>
  <c r="O20" i="15" s="1"/>
  <c r="AN80" i="15"/>
  <c r="N52" i="15" s="1"/>
  <c r="N20" i="15" s="1"/>
  <c r="AL52" i="15"/>
  <c r="E52" i="15" s="1"/>
  <c r="E20" i="15" s="1"/>
  <c r="D396" i="7"/>
  <c r="D84" i="44"/>
  <c r="D84" i="45"/>
  <c r="D85" i="45"/>
  <c r="D85" i="44"/>
  <c r="AL50" i="15"/>
  <c r="E50" i="15" s="1"/>
  <c r="E18" i="15" s="1"/>
  <c r="D55" i="45" s="1"/>
  <c r="AN79" i="15"/>
  <c r="N51" i="15" s="1"/>
  <c r="N19" i="15" s="1"/>
  <c r="AO79" i="15"/>
  <c r="O51" i="15" s="1"/>
  <c r="O19" i="15" s="1"/>
  <c r="AM79" i="15"/>
  <c r="M51" i="15" s="1"/>
  <c r="M19" i="15" s="1"/>
  <c r="AL51" i="15"/>
  <c r="E51" i="15" s="1"/>
  <c r="E19" i="15" s="1"/>
  <c r="AP79" i="15"/>
  <c r="P51" i="15" s="1"/>
  <c r="P19" i="15" s="1"/>
  <c r="AQ79" i="15"/>
  <c r="Q51" i="15" s="1"/>
  <c r="Q19" i="15" s="1"/>
  <c r="D72" i="45"/>
  <c r="D388" i="7"/>
  <c r="D72" i="44"/>
  <c r="D73" i="45"/>
  <c r="D73" i="44"/>
  <c r="AM78" i="15"/>
  <c r="M50" i="15" s="1"/>
  <c r="M18" i="15" s="1"/>
  <c r="AQ78" i="15"/>
  <c r="Q50" i="15" s="1"/>
  <c r="Q18" i="15" s="1"/>
  <c r="AN78" i="15"/>
  <c r="N50" i="15" s="1"/>
  <c r="N18" i="15" s="1"/>
  <c r="AP78" i="15"/>
  <c r="P50" i="15" s="1"/>
  <c r="P18" i="15" s="1"/>
  <c r="AO78" i="15"/>
  <c r="O50" i="15" s="1"/>
  <c r="O18" i="15" s="1"/>
  <c r="D60" i="44"/>
  <c r="D60" i="45"/>
  <c r="D380" i="7"/>
  <c r="D61" i="44"/>
  <c r="D61" i="45"/>
  <c r="D57" i="43"/>
  <c r="AL49" i="15"/>
  <c r="E49" i="15" s="1"/>
  <c r="E17" i="15" s="1"/>
  <c r="AP77" i="15"/>
  <c r="P49" i="15" s="1"/>
  <c r="AQ77" i="15"/>
  <c r="Q49" i="15" s="1"/>
  <c r="AM77" i="15"/>
  <c r="M49" i="15" s="1"/>
  <c r="M17" i="15" s="1"/>
  <c r="AN77" i="15"/>
  <c r="N49" i="15" s="1"/>
  <c r="AO105" i="15"/>
  <c r="AO76" i="15" s="1"/>
  <c r="AO48" i="15" s="1"/>
  <c r="AO106" i="15"/>
  <c r="L17" i="15"/>
  <c r="L68" i="15"/>
  <c r="G36" i="45"/>
  <c r="G364" i="7"/>
  <c r="G37" i="45"/>
  <c r="G36" i="44"/>
  <c r="G37" i="44"/>
  <c r="F364" i="7"/>
  <c r="F37" i="44"/>
  <c r="F36" i="45"/>
  <c r="F36" i="44"/>
  <c r="F37" i="45"/>
  <c r="I36" i="45"/>
  <c r="I37" i="44"/>
  <c r="I364" i="7"/>
  <c r="I36" i="44"/>
  <c r="I37" i="45"/>
  <c r="H364" i="7"/>
  <c r="H37" i="44"/>
  <c r="H37" i="45"/>
  <c r="H36" i="45"/>
  <c r="H36" i="44"/>
  <c r="G31" i="45"/>
  <c r="G363" i="7"/>
  <c r="G31" i="44"/>
  <c r="G32" i="44"/>
  <c r="G32" i="45"/>
  <c r="F31" i="44"/>
  <c r="F32" i="45"/>
  <c r="F363" i="7"/>
  <c r="F31" i="45"/>
  <c r="F32" i="44"/>
  <c r="AG48" i="15"/>
  <c r="F48" i="15" s="1"/>
  <c r="D33" i="45"/>
  <c r="D33" i="44"/>
  <c r="I31" i="44"/>
  <c r="I31" i="45"/>
  <c r="I32" i="45"/>
  <c r="I363" i="7"/>
  <c r="I32" i="44"/>
  <c r="H31" i="45"/>
  <c r="H363" i="7"/>
  <c r="H32" i="44"/>
  <c r="H31" i="44"/>
  <c r="H32" i="45"/>
  <c r="D38" i="45"/>
  <c r="D38" i="44"/>
  <c r="AS117" i="37"/>
  <c r="AS86" i="37" s="1"/>
  <c r="AS48" i="37" s="1"/>
  <c r="AP105" i="15"/>
  <c r="AT117" i="37"/>
  <c r="AT86" i="37" s="1"/>
  <c r="AT48" i="37" s="1"/>
  <c r="AQ105" i="15"/>
  <c r="M16" i="15"/>
  <c r="F55" i="34"/>
  <c r="I56" i="43"/>
  <c r="H92" i="43"/>
  <c r="H93" i="43" s="1"/>
  <c r="H56" i="34"/>
  <c r="I145" i="7"/>
  <c r="AG106" i="7" s="1"/>
  <c r="I67" i="43"/>
  <c r="E80" i="43"/>
  <c r="I55" i="34"/>
  <c r="I57" i="34" s="1"/>
  <c r="E68" i="43"/>
  <c r="E68" i="34"/>
  <c r="I68" i="43"/>
  <c r="I68" i="34"/>
  <c r="H92" i="34"/>
  <c r="E79" i="43"/>
  <c r="F92" i="43"/>
  <c r="F56" i="43"/>
  <c r="F57" i="43" s="1"/>
  <c r="H55" i="43"/>
  <c r="H67" i="34"/>
  <c r="H69" i="34" s="1"/>
  <c r="E80" i="34"/>
  <c r="F91" i="43"/>
  <c r="F56" i="34"/>
  <c r="H56" i="43"/>
  <c r="H68" i="43"/>
  <c r="H67" i="43"/>
  <c r="E79" i="34"/>
  <c r="G98" i="34"/>
  <c r="E98" i="43"/>
  <c r="D93" i="43"/>
  <c r="F169" i="7"/>
  <c r="AD109" i="7" s="1"/>
  <c r="F98" i="43"/>
  <c r="H98" i="34"/>
  <c r="F145" i="7"/>
  <c r="AD106" i="7" s="1"/>
  <c r="H55" i="34"/>
  <c r="E67" i="43"/>
  <c r="H169" i="7"/>
  <c r="AF109" i="7" s="1"/>
  <c r="F86" i="34"/>
  <c r="H74" i="43"/>
  <c r="E74" i="43"/>
  <c r="E74" i="34"/>
  <c r="E86" i="43"/>
  <c r="D81" i="43"/>
  <c r="I98" i="43"/>
  <c r="I169" i="7"/>
  <c r="AG109" i="7" s="1"/>
  <c r="I92" i="34"/>
  <c r="I91" i="34"/>
  <c r="I91" i="43"/>
  <c r="I92" i="43"/>
  <c r="G98" i="43"/>
  <c r="I98" i="34"/>
  <c r="E98" i="34"/>
  <c r="D93" i="34"/>
  <c r="G91" i="34"/>
  <c r="G92" i="34"/>
  <c r="G169" i="7"/>
  <c r="AE109" i="7" s="1"/>
  <c r="G91" i="43"/>
  <c r="G92" i="43"/>
  <c r="E91" i="43"/>
  <c r="E169" i="7"/>
  <c r="AC109" i="7" s="1"/>
  <c r="E92" i="43"/>
  <c r="E91" i="34"/>
  <c r="E92" i="34"/>
  <c r="H98" i="43"/>
  <c r="G62" i="34"/>
  <c r="F74" i="34"/>
  <c r="D81" i="34"/>
  <c r="E86" i="34"/>
  <c r="F79" i="34"/>
  <c r="F79" i="43"/>
  <c r="F161" i="7"/>
  <c r="AD108" i="7" s="1"/>
  <c r="F80" i="34"/>
  <c r="F80" i="43"/>
  <c r="F86" i="43"/>
  <c r="I62" i="34"/>
  <c r="I74" i="34"/>
  <c r="F74" i="43"/>
  <c r="G74" i="34"/>
  <c r="G67" i="34"/>
  <c r="G67" i="43"/>
  <c r="G153" i="7"/>
  <c r="AE107" i="7" s="1"/>
  <c r="G68" i="34"/>
  <c r="G68" i="43"/>
  <c r="H74" i="34"/>
  <c r="F68" i="34"/>
  <c r="F153" i="7"/>
  <c r="AD107" i="7" s="1"/>
  <c r="F67" i="43"/>
  <c r="F67" i="34"/>
  <c r="F68" i="43"/>
  <c r="H62" i="34"/>
  <c r="F62" i="34"/>
  <c r="E62" i="34"/>
  <c r="E55" i="34"/>
  <c r="E145" i="7"/>
  <c r="AC106" i="7" s="1"/>
  <c r="E55" i="43"/>
  <c r="E56" i="34"/>
  <c r="E56" i="43"/>
  <c r="F62" i="43"/>
  <c r="AS458" i="50"/>
  <c r="AS511" i="50" s="1"/>
  <c r="AS487" i="50" s="1"/>
  <c r="AZ487" i="50" s="1"/>
  <c r="AR118" i="37"/>
  <c r="AP87" i="37"/>
  <c r="N49" i="37" s="1"/>
  <c r="N17" i="37" s="1"/>
  <c r="D48" i="34"/>
  <c r="D138" i="7"/>
  <c r="D48" i="43"/>
  <c r="D49" i="43"/>
  <c r="D49" i="34"/>
  <c r="AQ87" i="37"/>
  <c r="O49" i="37" s="1"/>
  <c r="O17" i="37" s="1"/>
  <c r="AT458" i="50"/>
  <c r="AT511" i="50" s="1"/>
  <c r="BA511" i="50" s="1"/>
  <c r="AS118" i="37"/>
  <c r="AU458" i="50"/>
  <c r="AU511" i="50" s="1"/>
  <c r="BB511" i="50" s="1"/>
  <c r="AT118" i="37"/>
  <c r="D137" i="7"/>
  <c r="D44" i="43"/>
  <c r="D43" i="34"/>
  <c r="D44" i="34"/>
  <c r="D43" i="43"/>
  <c r="AV119" i="14"/>
  <c r="G16" i="60" s="1"/>
  <c r="G17" i="60" s="1"/>
  <c r="F135" i="50"/>
  <c r="F134" i="50"/>
  <c r="Z131" i="50" s="1"/>
  <c r="F133" i="50"/>
  <c r="AT64" i="50"/>
  <c r="AU64" i="50"/>
  <c r="AT63" i="50"/>
  <c r="AT114" i="50" s="1"/>
  <c r="AT90" i="50" s="1"/>
  <c r="BA90" i="50" s="1"/>
  <c r="AS64" i="50"/>
  <c r="AW39" i="14"/>
  <c r="AZ114" i="50"/>
  <c r="BB90" i="50"/>
  <c r="AX114" i="50"/>
  <c r="AJ487" i="50"/>
  <c r="AY114" i="50"/>
  <c r="BB114" i="50"/>
  <c r="AL90" i="50"/>
  <c r="AZ90" i="50" s="1"/>
  <c r="AK90" i="50"/>
  <c r="AY90" i="50" s="1"/>
  <c r="AJ90" i="50"/>
  <c r="AX90" i="50" s="1"/>
  <c r="AM48" i="37"/>
  <c r="J48" i="37" s="1"/>
  <c r="Q48" i="37"/>
  <c r="M16" i="37"/>
  <c r="M68" i="37"/>
  <c r="N16" i="37"/>
  <c r="AK48" i="37"/>
  <c r="H48" i="37" s="1"/>
  <c r="O48" i="37"/>
  <c r="AN48" i="37"/>
  <c r="K48" i="37" s="1"/>
  <c r="R48" i="37"/>
  <c r="AL48" i="37"/>
  <c r="I48" i="37" s="1"/>
  <c r="P48" i="37"/>
  <c r="F68" i="37"/>
  <c r="G16" i="37"/>
  <c r="AW119" i="14"/>
  <c r="H16" i="60" s="1"/>
  <c r="AP86" i="37"/>
  <c r="AP48" i="37" s="1"/>
  <c r="AQ86" i="37"/>
  <c r="AQ48" i="37" s="1"/>
  <c r="AR86" i="37"/>
  <c r="AR48" i="37" s="1"/>
  <c r="F142" i="50" l="1"/>
  <c r="AA131" i="50" s="1"/>
  <c r="F143" i="50"/>
  <c r="AY115" i="50"/>
  <c r="H140" i="50" s="1"/>
  <c r="H139" i="50" s="1"/>
  <c r="F141" i="50"/>
  <c r="AX115" i="50"/>
  <c r="G140" i="50" s="1"/>
  <c r="G139" i="50" s="1"/>
  <c r="AS115" i="50"/>
  <c r="AS91" i="50" s="1"/>
  <c r="AZ91" i="50" s="1"/>
  <c r="I132" i="50" s="1"/>
  <c r="I131" i="50" s="1"/>
  <c r="AU115" i="50"/>
  <c r="AU91" i="50" s="1"/>
  <c r="BB91" i="50" s="1"/>
  <c r="K132" i="50" s="1"/>
  <c r="K131" i="50" s="1"/>
  <c r="AT115" i="50"/>
  <c r="AT91" i="50" s="1"/>
  <c r="BA91" i="50" s="1"/>
  <c r="J132" i="50" s="1"/>
  <c r="E93" i="43"/>
  <c r="H93" i="34"/>
  <c r="D50" i="34"/>
  <c r="AX80" i="14"/>
  <c r="I15" i="60" s="1"/>
  <c r="I57" i="43"/>
  <c r="F69" i="43"/>
  <c r="D74" i="44"/>
  <c r="AX487" i="50"/>
  <c r="G510" i="50"/>
  <c r="E81" i="43"/>
  <c r="S459" i="60"/>
  <c r="AZ108" i="14" s="1"/>
  <c r="S458" i="60"/>
  <c r="J105" i="60"/>
  <c r="J107" i="60" s="1"/>
  <c r="AY53" i="14" s="1"/>
  <c r="K105" i="60"/>
  <c r="K107" i="60" s="1"/>
  <c r="AZ53" i="14" s="1"/>
  <c r="K205" i="60"/>
  <c r="AQ84" i="14"/>
  <c r="K315" i="60" s="1"/>
  <c r="K326" i="60" s="1"/>
  <c r="Q324" i="60"/>
  <c r="S324" i="60"/>
  <c r="R324" i="60"/>
  <c r="Q327" i="60"/>
  <c r="AX102" i="14" s="1"/>
  <c r="S105" i="60"/>
  <c r="S107" i="60" s="1"/>
  <c r="AZ92" i="14" s="1"/>
  <c r="R105" i="60"/>
  <c r="R107" i="60" s="1"/>
  <c r="AY92" i="14" s="1"/>
  <c r="H17" i="60"/>
  <c r="S205" i="60"/>
  <c r="AQ123" i="14"/>
  <c r="S315" i="60" s="1"/>
  <c r="J447" i="60"/>
  <c r="AP82" i="14"/>
  <c r="K458" i="60"/>
  <c r="K459" i="60"/>
  <c r="AZ69" i="14" s="1"/>
  <c r="S214" i="60"/>
  <c r="Q214" i="60"/>
  <c r="R214" i="60"/>
  <c r="Q217" i="60"/>
  <c r="AX97" i="14" s="1"/>
  <c r="R447" i="60"/>
  <c r="AP121" i="14"/>
  <c r="AL90" i="37"/>
  <c r="P52" i="37" s="1"/>
  <c r="P20" i="37" s="1"/>
  <c r="G57" i="43"/>
  <c r="AZ511" i="50"/>
  <c r="D316" i="7"/>
  <c r="D320" i="7"/>
  <c r="D326" i="7"/>
  <c r="D330" i="7"/>
  <c r="AH342" i="7"/>
  <c r="D398" i="7"/>
  <c r="T342" i="7" s="1"/>
  <c r="AH341" i="7"/>
  <c r="D390" i="7"/>
  <c r="T341" i="7" s="1"/>
  <c r="AH340" i="7"/>
  <c r="D382" i="7"/>
  <c r="T340" i="7" s="1"/>
  <c r="AF338" i="7"/>
  <c r="H296" i="7" s="1"/>
  <c r="H365" i="7"/>
  <c r="R338" i="7" s="1"/>
  <c r="AD338" i="7"/>
  <c r="F296" i="7" s="1"/>
  <c r="F365" i="7"/>
  <c r="P338" i="7" s="1"/>
  <c r="AE338" i="7"/>
  <c r="G296" i="7" s="1"/>
  <c r="G365" i="7"/>
  <c r="Q338" i="7" s="1"/>
  <c r="AL338" i="7"/>
  <c r="H303" i="7" s="1"/>
  <c r="H366" i="7"/>
  <c r="X338" i="7" s="1"/>
  <c r="AJ338" i="7"/>
  <c r="F303" i="7" s="1"/>
  <c r="F366" i="7"/>
  <c r="V338" i="7" s="1"/>
  <c r="AK338" i="7"/>
  <c r="G303" i="7" s="1"/>
  <c r="G366" i="7"/>
  <c r="W338" i="7" s="1"/>
  <c r="AG338" i="7"/>
  <c r="I296" i="7" s="1"/>
  <c r="I365" i="7"/>
  <c r="S338" i="7" s="1"/>
  <c r="AM338" i="7"/>
  <c r="I303" i="7" s="1"/>
  <c r="I366" i="7"/>
  <c r="Y338" i="7" s="1"/>
  <c r="AH105" i="7"/>
  <c r="D68" i="7" s="1"/>
  <c r="D140" i="7"/>
  <c r="T105" i="7" s="1"/>
  <c r="AB105" i="7"/>
  <c r="D61" i="7" s="1"/>
  <c r="D139" i="7"/>
  <c r="N105" i="7" s="1"/>
  <c r="E69" i="34"/>
  <c r="I69" i="34"/>
  <c r="D56" i="44"/>
  <c r="D55" i="44"/>
  <c r="D56" i="45"/>
  <c r="D57" i="45" s="1"/>
  <c r="D379" i="7"/>
  <c r="AN51" i="15"/>
  <c r="G51" i="15" s="1"/>
  <c r="G19" i="15" s="1"/>
  <c r="F67" i="44" s="1"/>
  <c r="D86" i="45"/>
  <c r="D62" i="45"/>
  <c r="AQ50" i="15"/>
  <c r="J50" i="15" s="1"/>
  <c r="J18" i="15" s="1"/>
  <c r="I379" i="7" s="1"/>
  <c r="D74" i="45"/>
  <c r="AQ51" i="15"/>
  <c r="J51" i="15" s="1"/>
  <c r="J19" i="15" s="1"/>
  <c r="I67" i="45" s="1"/>
  <c r="AP51" i="15"/>
  <c r="I51" i="15" s="1"/>
  <c r="I19" i="15" s="1"/>
  <c r="H387" i="7" s="1"/>
  <c r="D86" i="44"/>
  <c r="AN52" i="15"/>
  <c r="G52" i="15" s="1"/>
  <c r="G20" i="15" s="1"/>
  <c r="AO52" i="15"/>
  <c r="H52" i="15" s="1"/>
  <c r="H20" i="15" s="1"/>
  <c r="AM52" i="15"/>
  <c r="F52" i="15" s="1"/>
  <c r="F20" i="15" s="1"/>
  <c r="D395" i="7"/>
  <c r="D79" i="45"/>
  <c r="D79" i="44"/>
  <c r="D80" i="44"/>
  <c r="D80" i="45"/>
  <c r="F396" i="7"/>
  <c r="F84" i="44"/>
  <c r="F84" i="45"/>
  <c r="F85" i="44"/>
  <c r="F85" i="45"/>
  <c r="G84" i="45"/>
  <c r="G84" i="44"/>
  <c r="G396" i="7"/>
  <c r="G85" i="44"/>
  <c r="G85" i="45"/>
  <c r="E84" i="45"/>
  <c r="E84" i="44"/>
  <c r="E396" i="7"/>
  <c r="E85" i="45"/>
  <c r="E85" i="44"/>
  <c r="D387" i="7"/>
  <c r="D67" i="45"/>
  <c r="D67" i="44"/>
  <c r="D68" i="44"/>
  <c r="D68" i="45"/>
  <c r="E72" i="45"/>
  <c r="E388" i="7"/>
  <c r="E72" i="44"/>
  <c r="E73" i="45"/>
  <c r="E73" i="44"/>
  <c r="G72" i="45"/>
  <c r="G72" i="44"/>
  <c r="G388" i="7"/>
  <c r="G73" i="45"/>
  <c r="G73" i="44"/>
  <c r="F388" i="7"/>
  <c r="F72" i="45"/>
  <c r="F72" i="44"/>
  <c r="F73" i="45"/>
  <c r="F73" i="44"/>
  <c r="AM50" i="15"/>
  <c r="F50" i="15" s="1"/>
  <c r="F18" i="15" s="1"/>
  <c r="E379" i="7" s="1"/>
  <c r="I388" i="7"/>
  <c r="I72" i="45"/>
  <c r="I72" i="44"/>
  <c r="I73" i="45"/>
  <c r="I73" i="44"/>
  <c r="H72" i="44"/>
  <c r="H72" i="45"/>
  <c r="H388" i="7"/>
  <c r="H73" i="45"/>
  <c r="H73" i="44"/>
  <c r="AM51" i="15"/>
  <c r="F51" i="15" s="1"/>
  <c r="F19" i="15" s="1"/>
  <c r="AO51" i="15"/>
  <c r="H51" i="15" s="1"/>
  <c r="H19" i="15" s="1"/>
  <c r="G380" i="7"/>
  <c r="G60" i="44"/>
  <c r="G60" i="45"/>
  <c r="G61" i="44"/>
  <c r="G61" i="45"/>
  <c r="H60" i="45"/>
  <c r="H60" i="44"/>
  <c r="H380" i="7"/>
  <c r="H61" i="44"/>
  <c r="H61" i="45"/>
  <c r="F60" i="44"/>
  <c r="F60" i="45"/>
  <c r="F380" i="7"/>
  <c r="F61" i="44"/>
  <c r="F61" i="45"/>
  <c r="I380" i="7"/>
  <c r="I60" i="44"/>
  <c r="I60" i="45"/>
  <c r="I61" i="45"/>
  <c r="I61" i="44"/>
  <c r="D62" i="44"/>
  <c r="AO50" i="15"/>
  <c r="H50" i="15" s="1"/>
  <c r="H18" i="15" s="1"/>
  <c r="AP50" i="15"/>
  <c r="I50" i="15" s="1"/>
  <c r="I18" i="15" s="1"/>
  <c r="AN50" i="15"/>
  <c r="G50" i="15" s="1"/>
  <c r="G18" i="15" s="1"/>
  <c r="E380" i="7"/>
  <c r="E60" i="44"/>
  <c r="E60" i="45"/>
  <c r="E61" i="45"/>
  <c r="E61" i="44"/>
  <c r="M68" i="15"/>
  <c r="E68" i="15"/>
  <c r="AQ49" i="15"/>
  <c r="J49" i="15" s="1"/>
  <c r="J17" i="15" s="1"/>
  <c r="AP49" i="15"/>
  <c r="I49" i="15" s="1"/>
  <c r="I17" i="15" s="1"/>
  <c r="H57" i="34"/>
  <c r="F57" i="34"/>
  <c r="D371" i="7"/>
  <c r="D43" i="44"/>
  <c r="D43" i="45"/>
  <c r="D44" i="44"/>
  <c r="D44" i="45"/>
  <c r="E36" i="15"/>
  <c r="N17" i="15"/>
  <c r="N68" i="15"/>
  <c r="E49" i="45"/>
  <c r="E49" i="44"/>
  <c r="E48" i="44"/>
  <c r="E372" i="7"/>
  <c r="E48" i="45"/>
  <c r="D372" i="7"/>
  <c r="D48" i="45"/>
  <c r="D48" i="44"/>
  <c r="D49" i="44"/>
  <c r="D21" i="44" s="1"/>
  <c r="D49" i="45"/>
  <c r="D21" i="45" s="1"/>
  <c r="L36" i="15"/>
  <c r="AO77" i="15"/>
  <c r="O49" i="15" s="1"/>
  <c r="AN49" i="15"/>
  <c r="G49" i="15" s="1"/>
  <c r="AM49" i="15"/>
  <c r="F49" i="15" s="1"/>
  <c r="F17" i="15" s="1"/>
  <c r="Q17" i="15"/>
  <c r="P17" i="15"/>
  <c r="E364" i="7"/>
  <c r="E37" i="44"/>
  <c r="E37" i="45"/>
  <c r="E36" i="45"/>
  <c r="E36" i="44"/>
  <c r="M36" i="15"/>
  <c r="AQ76" i="15"/>
  <c r="AQ48" i="15" s="1"/>
  <c r="AP76" i="15"/>
  <c r="AP48" i="15" s="1"/>
  <c r="H33" i="45"/>
  <c r="I33" i="44"/>
  <c r="F33" i="45"/>
  <c r="G33" i="44"/>
  <c r="H38" i="45"/>
  <c r="I38" i="44"/>
  <c r="F38" i="45"/>
  <c r="G38" i="44"/>
  <c r="H33" i="44"/>
  <c r="I33" i="45"/>
  <c r="F16" i="15"/>
  <c r="F33" i="44"/>
  <c r="G33" i="45"/>
  <c r="H38" i="44"/>
  <c r="I38" i="45"/>
  <c r="F38" i="44"/>
  <c r="G38" i="45"/>
  <c r="H57" i="43"/>
  <c r="I69" i="43"/>
  <c r="F93" i="43"/>
  <c r="E69" i="43"/>
  <c r="E81" i="34"/>
  <c r="G69" i="34"/>
  <c r="F81" i="43"/>
  <c r="H69" i="43"/>
  <c r="G93" i="43"/>
  <c r="F81" i="34"/>
  <c r="E93" i="34"/>
  <c r="G93" i="34"/>
  <c r="I93" i="43"/>
  <c r="I93" i="34"/>
  <c r="G69" i="43"/>
  <c r="F69" i="34"/>
  <c r="E57" i="43"/>
  <c r="E57" i="34"/>
  <c r="N68" i="37"/>
  <c r="AT487" i="50"/>
  <c r="BA487" i="50" s="1"/>
  <c r="AU487" i="50"/>
  <c r="BB487" i="50" s="1"/>
  <c r="D45" i="43"/>
  <c r="D45" i="34"/>
  <c r="AP49" i="37"/>
  <c r="G49" i="37" s="1"/>
  <c r="F138" i="7"/>
  <c r="F49" i="43"/>
  <c r="F48" i="34"/>
  <c r="F49" i="34"/>
  <c r="F48" i="43"/>
  <c r="AR87" i="37"/>
  <c r="P49" i="37" s="1"/>
  <c r="P17" i="37" s="1"/>
  <c r="AT87" i="37"/>
  <c r="R49" i="37" s="1"/>
  <c r="R17" i="37" s="1"/>
  <c r="AS87" i="37"/>
  <c r="Q49" i="37" s="1"/>
  <c r="Q17" i="37" s="1"/>
  <c r="AQ49" i="37"/>
  <c r="H49" i="37" s="1"/>
  <c r="H17" i="37" s="1"/>
  <c r="D50" i="43"/>
  <c r="E49" i="43"/>
  <c r="E48" i="34"/>
  <c r="E138" i="7"/>
  <c r="E49" i="34"/>
  <c r="E48" i="43"/>
  <c r="AY91" i="50"/>
  <c r="H132" i="50" s="1"/>
  <c r="G135" i="50"/>
  <c r="G134" i="50"/>
  <c r="Z132" i="50" s="1"/>
  <c r="G133" i="50"/>
  <c r="BA114" i="50"/>
  <c r="AW40" i="14"/>
  <c r="F71" i="37"/>
  <c r="E37" i="43"/>
  <c r="E36" i="43"/>
  <c r="N36" i="37"/>
  <c r="G585" i="50" s="1"/>
  <c r="E130" i="7"/>
  <c r="E36" i="34"/>
  <c r="E37" i="34"/>
  <c r="P16" i="37"/>
  <c r="R16" i="37"/>
  <c r="O16" i="37"/>
  <c r="O68" i="37"/>
  <c r="Q16" i="37"/>
  <c r="E129" i="7"/>
  <c r="E32" i="43"/>
  <c r="E31" i="34"/>
  <c r="E31" i="43"/>
  <c r="E32" i="34"/>
  <c r="D32" i="43"/>
  <c r="D16" i="43" s="1"/>
  <c r="D129" i="7"/>
  <c r="D31" i="34"/>
  <c r="D15" i="34" s="1"/>
  <c r="D31" i="43"/>
  <c r="F36" i="37"/>
  <c r="D32" i="34"/>
  <c r="I16" i="37"/>
  <c r="K16" i="37"/>
  <c r="H16" i="37"/>
  <c r="D130" i="7"/>
  <c r="D36" i="43"/>
  <c r="D36" i="34"/>
  <c r="D20" i="34" s="1"/>
  <c r="D37" i="43"/>
  <c r="D21" i="43" s="1"/>
  <c r="M36" i="37"/>
  <c r="D37" i="34"/>
  <c r="J16" i="37"/>
  <c r="H142" i="50" l="1"/>
  <c r="AA133" i="50" s="1"/>
  <c r="H141" i="50"/>
  <c r="H143" i="50"/>
  <c r="BA115" i="50"/>
  <c r="J140" i="50" s="1"/>
  <c r="J139" i="50" s="1"/>
  <c r="BB115" i="50"/>
  <c r="K140" i="50" s="1"/>
  <c r="K139" i="50" s="1"/>
  <c r="AZ115" i="50"/>
  <c r="I140" i="50" s="1"/>
  <c r="I139" i="50" s="1"/>
  <c r="G142" i="50"/>
  <c r="AA132" i="50" s="1"/>
  <c r="G141" i="50"/>
  <c r="G143" i="50"/>
  <c r="K327" i="60"/>
  <c r="AZ63" i="14" s="1"/>
  <c r="H62" i="44"/>
  <c r="I74" i="44"/>
  <c r="E74" i="44"/>
  <c r="G86" i="44"/>
  <c r="H62" i="45"/>
  <c r="G86" i="45"/>
  <c r="E50" i="43"/>
  <c r="F74" i="44"/>
  <c r="E50" i="45"/>
  <c r="H74" i="44"/>
  <c r="G62" i="45"/>
  <c r="H74" i="45"/>
  <c r="F86" i="45"/>
  <c r="G62" i="44"/>
  <c r="F86" i="44"/>
  <c r="AL52" i="37"/>
  <c r="I52" i="37" s="1"/>
  <c r="I20" i="37" s="1"/>
  <c r="G79" i="43" s="1"/>
  <c r="R459" i="60"/>
  <c r="AY108" i="14" s="1"/>
  <c r="S457" i="60"/>
  <c r="R457" i="60"/>
  <c r="J459" i="60"/>
  <c r="AY69" i="14" s="1"/>
  <c r="K457" i="60"/>
  <c r="J457" i="60"/>
  <c r="S216" i="60"/>
  <c r="S217" i="60"/>
  <c r="AZ97" i="14" s="1"/>
  <c r="AP109" i="15"/>
  <c r="AS121" i="37"/>
  <c r="AS90" i="37" s="1"/>
  <c r="AS52" i="37" s="1"/>
  <c r="AN121" i="37"/>
  <c r="AK109" i="15"/>
  <c r="AK80" i="15" s="1"/>
  <c r="AK52" i="15" s="1"/>
  <c r="G162" i="7"/>
  <c r="AK108" i="7" s="1"/>
  <c r="G84" i="43"/>
  <c r="G85" i="43"/>
  <c r="G84" i="34"/>
  <c r="G85" i="34"/>
  <c r="R205" i="60"/>
  <c r="AP123" i="14"/>
  <c r="R315" i="60" s="1"/>
  <c r="AX119" i="14"/>
  <c r="I16" i="60" s="1"/>
  <c r="I17" i="60" s="1"/>
  <c r="J469" i="60"/>
  <c r="AP84" i="14"/>
  <c r="J315" i="60" s="1"/>
  <c r="S326" i="60"/>
  <c r="S327" i="60"/>
  <c r="AZ102" i="14" s="1"/>
  <c r="AQ109" i="15"/>
  <c r="AT121" i="37"/>
  <c r="AT90" i="37" s="1"/>
  <c r="AT52" i="37" s="1"/>
  <c r="K216" i="60"/>
  <c r="K217" i="60"/>
  <c r="AZ58" i="14" s="1"/>
  <c r="AJ109" i="15"/>
  <c r="AJ80" i="15" s="1"/>
  <c r="AJ52" i="15" s="1"/>
  <c r="AM121" i="37"/>
  <c r="F74" i="45"/>
  <c r="E20" i="34"/>
  <c r="J134" i="50"/>
  <c r="Z135" i="50" s="1"/>
  <c r="J131" i="50"/>
  <c r="H135" i="50"/>
  <c r="H131" i="50"/>
  <c r="I74" i="45"/>
  <c r="F585" i="50"/>
  <c r="F563" i="50"/>
  <c r="Z560" i="50" s="1"/>
  <c r="F577" i="50"/>
  <c r="G589" i="50"/>
  <c r="G587" i="50"/>
  <c r="AA578" i="50"/>
  <c r="G588" i="50"/>
  <c r="H134" i="50"/>
  <c r="Z133" i="50" s="1"/>
  <c r="G568" i="50"/>
  <c r="F543" i="50"/>
  <c r="F534" i="50"/>
  <c r="F551" i="50"/>
  <c r="F530" i="50"/>
  <c r="G123" i="50"/>
  <c r="G534" i="50"/>
  <c r="F517" i="50"/>
  <c r="F115" i="50"/>
  <c r="F509" i="50"/>
  <c r="G517" i="50"/>
  <c r="I326" i="7"/>
  <c r="I330" i="7"/>
  <c r="I316" i="7"/>
  <c r="I320" i="7"/>
  <c r="G326" i="7"/>
  <c r="G330" i="7"/>
  <c r="F326" i="7"/>
  <c r="F330" i="7"/>
  <c r="H326" i="7"/>
  <c r="H330" i="7"/>
  <c r="G316" i="7"/>
  <c r="G320" i="7"/>
  <c r="F316" i="7"/>
  <c r="F320" i="7"/>
  <c r="H316" i="7"/>
  <c r="H320" i="7"/>
  <c r="AI342" i="7"/>
  <c r="E398" i="7"/>
  <c r="U342" i="7" s="1"/>
  <c r="AK342" i="7"/>
  <c r="G398" i="7"/>
  <c r="W342" i="7" s="1"/>
  <c r="AB342" i="7"/>
  <c r="D397" i="7"/>
  <c r="N342" i="7" s="1"/>
  <c r="AJ342" i="7"/>
  <c r="F398" i="7"/>
  <c r="V342" i="7" s="1"/>
  <c r="AM341" i="7"/>
  <c r="I390" i="7"/>
  <c r="Y341" i="7" s="1"/>
  <c r="AJ341" i="7"/>
  <c r="F390" i="7"/>
  <c r="V341" i="7" s="1"/>
  <c r="AF341" i="7"/>
  <c r="H389" i="7"/>
  <c r="R341" i="7" s="1"/>
  <c r="AL341" i="7"/>
  <c r="H390" i="7"/>
  <c r="X341" i="7" s="1"/>
  <c r="AK341" i="7"/>
  <c r="G390" i="7"/>
  <c r="W341" i="7" s="1"/>
  <c r="AI341" i="7"/>
  <c r="E390" i="7"/>
  <c r="U341" i="7" s="1"/>
  <c r="AB341" i="7"/>
  <c r="D389" i="7"/>
  <c r="N341" i="7" s="1"/>
  <c r="AI340" i="7"/>
  <c r="E382" i="7"/>
  <c r="U340" i="7" s="1"/>
  <c r="AJ340" i="7"/>
  <c r="F382" i="7"/>
  <c r="V340" i="7" s="1"/>
  <c r="AK340" i="7"/>
  <c r="G382" i="7"/>
  <c r="W340" i="7" s="1"/>
  <c r="AB340" i="7"/>
  <c r="D381" i="7"/>
  <c r="N340" i="7" s="1"/>
  <c r="AM340" i="7"/>
  <c r="I382" i="7"/>
  <c r="Y340" i="7" s="1"/>
  <c r="AL340" i="7"/>
  <c r="H382" i="7"/>
  <c r="X340" i="7" s="1"/>
  <c r="AC340" i="7"/>
  <c r="E381" i="7"/>
  <c r="O340" i="7" s="1"/>
  <c r="AG340" i="7"/>
  <c r="I381" i="7"/>
  <c r="S340" i="7" s="1"/>
  <c r="AH339" i="7"/>
  <c r="D374" i="7"/>
  <c r="T339" i="7" s="1"/>
  <c r="AI339" i="7"/>
  <c r="E302" i="7" s="1"/>
  <c r="E374" i="7"/>
  <c r="U339" i="7" s="1"/>
  <c r="AB339" i="7"/>
  <c r="D295" i="7" s="1"/>
  <c r="D16" i="7" s="1"/>
  <c r="D373" i="7"/>
  <c r="N339" i="7" s="1"/>
  <c r="AI338" i="7"/>
  <c r="E303" i="7" s="1"/>
  <c r="E366" i="7"/>
  <c r="U338" i="7" s="1"/>
  <c r="H68" i="45"/>
  <c r="D81" i="7"/>
  <c r="D85" i="7"/>
  <c r="D91" i="7"/>
  <c r="D95" i="7"/>
  <c r="AI105" i="7"/>
  <c r="E68" i="7" s="1"/>
  <c r="E140" i="7"/>
  <c r="U105" i="7" s="1"/>
  <c r="AJ105" i="7"/>
  <c r="F68" i="7" s="1"/>
  <c r="F140" i="7"/>
  <c r="V105" i="7" s="1"/>
  <c r="AH104" i="7"/>
  <c r="D132" i="7"/>
  <c r="T104" i="7" s="1"/>
  <c r="AB104" i="7"/>
  <c r="D131" i="7"/>
  <c r="N104" i="7" s="1"/>
  <c r="AC104" i="7"/>
  <c r="E62" i="7" s="1"/>
  <c r="E131" i="7"/>
  <c r="O104" i="7" s="1"/>
  <c r="AI104" i="7"/>
  <c r="E132" i="7"/>
  <c r="U104" i="7" s="1"/>
  <c r="H67" i="45"/>
  <c r="I56" i="44"/>
  <c r="F387" i="7"/>
  <c r="H68" i="44"/>
  <c r="H67" i="44"/>
  <c r="D57" i="44"/>
  <c r="I387" i="7"/>
  <c r="I55" i="45"/>
  <c r="F68" i="44"/>
  <c r="F69" i="44" s="1"/>
  <c r="I68" i="45"/>
  <c r="I69" i="45" s="1"/>
  <c r="D16" i="45"/>
  <c r="I56" i="45"/>
  <c r="I55" i="44"/>
  <c r="F68" i="45"/>
  <c r="F67" i="45"/>
  <c r="I67" i="44"/>
  <c r="I62" i="45"/>
  <c r="F62" i="45"/>
  <c r="E56" i="44"/>
  <c r="G74" i="44"/>
  <c r="E74" i="45"/>
  <c r="D69" i="45"/>
  <c r="E86" i="45"/>
  <c r="D81" i="44"/>
  <c r="E55" i="44"/>
  <c r="F79" i="44"/>
  <c r="F395" i="7"/>
  <c r="F79" i="45"/>
  <c r="F80" i="45"/>
  <c r="F80" i="44"/>
  <c r="D16" i="44"/>
  <c r="E56" i="45"/>
  <c r="E55" i="45"/>
  <c r="I68" i="44"/>
  <c r="E86" i="44"/>
  <c r="D81" i="45"/>
  <c r="E79" i="45"/>
  <c r="E395" i="7"/>
  <c r="E79" i="44"/>
  <c r="E80" i="44"/>
  <c r="E80" i="45"/>
  <c r="G79" i="44"/>
  <c r="G79" i="45"/>
  <c r="G395" i="7"/>
  <c r="G80" i="45"/>
  <c r="G80" i="44"/>
  <c r="E62" i="44"/>
  <c r="I62" i="44"/>
  <c r="F62" i="44"/>
  <c r="E67" i="44"/>
  <c r="E387" i="7"/>
  <c r="E67" i="45"/>
  <c r="E68" i="44"/>
  <c r="E68" i="45"/>
  <c r="G74" i="45"/>
  <c r="D69" i="44"/>
  <c r="G67" i="45"/>
  <c r="G387" i="7"/>
  <c r="G67" i="44"/>
  <c r="G68" i="45"/>
  <c r="G68" i="44"/>
  <c r="F55" i="45"/>
  <c r="F379" i="7"/>
  <c r="F55" i="44"/>
  <c r="F56" i="45"/>
  <c r="F56" i="44"/>
  <c r="G55" i="45"/>
  <c r="G379" i="7"/>
  <c r="G55" i="44"/>
  <c r="G56" i="44"/>
  <c r="G56" i="45"/>
  <c r="E62" i="45"/>
  <c r="H55" i="45"/>
  <c r="H55" i="44"/>
  <c r="H379" i="7"/>
  <c r="H56" i="44"/>
  <c r="H56" i="45"/>
  <c r="E21" i="45"/>
  <c r="F68" i="15"/>
  <c r="E21" i="44"/>
  <c r="AO49" i="15"/>
  <c r="H49" i="15" s="1"/>
  <c r="H17" i="15" s="1"/>
  <c r="H48" i="45"/>
  <c r="H48" i="44"/>
  <c r="H49" i="45"/>
  <c r="H372" i="7"/>
  <c r="H49" i="44"/>
  <c r="I48" i="44"/>
  <c r="I48" i="45"/>
  <c r="I49" i="45"/>
  <c r="I49" i="44"/>
  <c r="I372" i="7"/>
  <c r="G17" i="15"/>
  <c r="G68" i="15"/>
  <c r="O17" i="15"/>
  <c r="O68" i="15"/>
  <c r="D50" i="44"/>
  <c r="D20" i="44"/>
  <c r="D22" i="44" s="1"/>
  <c r="E50" i="44"/>
  <c r="F48" i="45"/>
  <c r="F49" i="44"/>
  <c r="F21" i="44" s="1"/>
  <c r="F372" i="7"/>
  <c r="F48" i="44"/>
  <c r="F49" i="45"/>
  <c r="F21" i="45" s="1"/>
  <c r="N36" i="15"/>
  <c r="D45" i="45"/>
  <c r="D15" i="45"/>
  <c r="E371" i="7"/>
  <c r="E43" i="45"/>
  <c r="E44" i="45"/>
  <c r="E43" i="44"/>
  <c r="E44" i="44"/>
  <c r="D50" i="45"/>
  <c r="D20" i="45"/>
  <c r="D22" i="45" s="1"/>
  <c r="H371" i="7"/>
  <c r="H43" i="44"/>
  <c r="H44" i="45"/>
  <c r="H43" i="45"/>
  <c r="H44" i="44"/>
  <c r="I371" i="7"/>
  <c r="I44" i="44"/>
  <c r="I43" i="44"/>
  <c r="I43" i="45"/>
  <c r="I44" i="45"/>
  <c r="E39" i="15"/>
  <c r="B24" i="1" s="1"/>
  <c r="G24" i="1" s="1"/>
  <c r="D45" i="44"/>
  <c r="D15" i="44"/>
  <c r="E20" i="45"/>
  <c r="E38" i="45"/>
  <c r="E31" i="44"/>
  <c r="E32" i="44"/>
  <c r="F36" i="15"/>
  <c r="F39" i="15" s="1"/>
  <c r="E363" i="7"/>
  <c r="E31" i="45"/>
  <c r="E32" i="45"/>
  <c r="E20" i="44"/>
  <c r="E38" i="44"/>
  <c r="P68" i="37"/>
  <c r="H68" i="37"/>
  <c r="H71" i="37" s="1"/>
  <c r="E21" i="43"/>
  <c r="F50" i="43"/>
  <c r="G17" i="37"/>
  <c r="G68" i="37"/>
  <c r="G71" i="37" s="1"/>
  <c r="E50" i="34"/>
  <c r="AS49" i="37"/>
  <c r="J49" i="37" s="1"/>
  <c r="AT49" i="37"/>
  <c r="K49" i="37" s="1"/>
  <c r="AR49" i="37"/>
  <c r="I49" i="37" s="1"/>
  <c r="F43" i="34"/>
  <c r="F44" i="43"/>
  <c r="F43" i="43"/>
  <c r="F44" i="34"/>
  <c r="F137" i="7"/>
  <c r="H48" i="43"/>
  <c r="H138" i="7"/>
  <c r="H49" i="43"/>
  <c r="H48" i="34"/>
  <c r="H49" i="34"/>
  <c r="I48" i="43"/>
  <c r="I49" i="43"/>
  <c r="I48" i="34"/>
  <c r="I138" i="7"/>
  <c r="I49" i="34"/>
  <c r="G138" i="7"/>
  <c r="G49" i="43"/>
  <c r="G48" i="43"/>
  <c r="G48" i="34"/>
  <c r="G49" i="34"/>
  <c r="F50" i="34"/>
  <c r="J135" i="50"/>
  <c r="G115" i="50"/>
  <c r="G116" i="50" s="1"/>
  <c r="I133" i="50"/>
  <c r="J133" i="50"/>
  <c r="I135" i="50"/>
  <c r="H133" i="50"/>
  <c r="I134" i="50"/>
  <c r="Z134" i="50" s="1"/>
  <c r="K135" i="50"/>
  <c r="K134" i="50"/>
  <c r="Z136" i="50" s="1"/>
  <c r="K133" i="50"/>
  <c r="AW41" i="14"/>
  <c r="H32" i="43"/>
  <c r="H31" i="34"/>
  <c r="H129" i="7"/>
  <c r="H31" i="43"/>
  <c r="H32" i="34"/>
  <c r="F129" i="7"/>
  <c r="F31" i="34"/>
  <c r="F32" i="43"/>
  <c r="F31" i="43"/>
  <c r="H36" i="37"/>
  <c r="F32" i="34"/>
  <c r="G32" i="43"/>
  <c r="G31" i="43"/>
  <c r="G129" i="7"/>
  <c r="G31" i="34"/>
  <c r="G32" i="34"/>
  <c r="H37" i="43"/>
  <c r="H36" i="34"/>
  <c r="H36" i="43"/>
  <c r="H130" i="7"/>
  <c r="H37" i="34"/>
  <c r="D38" i="34"/>
  <c r="D21" i="34"/>
  <c r="D22" i="34" s="1"/>
  <c r="D38" i="43"/>
  <c r="D20" i="43"/>
  <c r="D22" i="43" s="1"/>
  <c r="D33" i="34"/>
  <c r="D16" i="34"/>
  <c r="D17" i="34" s="1"/>
  <c r="C15" i="46" s="1"/>
  <c r="D33" i="43"/>
  <c r="D15" i="43"/>
  <c r="D17" i="43" s="1"/>
  <c r="C32" i="46" s="1"/>
  <c r="E33" i="34"/>
  <c r="E33" i="43"/>
  <c r="E38" i="34"/>
  <c r="E21" i="34"/>
  <c r="E38" i="43"/>
  <c r="E20" i="43"/>
  <c r="I129" i="7"/>
  <c r="I31" i="34"/>
  <c r="I31" i="43"/>
  <c r="I32" i="43"/>
  <c r="I32" i="34"/>
  <c r="F39" i="37"/>
  <c r="F37" i="43"/>
  <c r="F21" i="43" s="1"/>
  <c r="F36" i="43"/>
  <c r="F36" i="34"/>
  <c r="F20" i="34" s="1"/>
  <c r="F130" i="7"/>
  <c r="O36" i="37"/>
  <c r="F37" i="34"/>
  <c r="I36" i="43"/>
  <c r="I130" i="7"/>
  <c r="I37" i="43"/>
  <c r="I36" i="34"/>
  <c r="I37" i="34"/>
  <c r="G36" i="43"/>
  <c r="G37" i="43"/>
  <c r="P36" i="37"/>
  <c r="G130" i="7"/>
  <c r="G36" i="34"/>
  <c r="G37" i="34"/>
  <c r="J141" i="50" l="1"/>
  <c r="J142" i="50"/>
  <c r="AA135" i="50" s="1"/>
  <c r="J143" i="50"/>
  <c r="I143" i="50"/>
  <c r="K142" i="50"/>
  <c r="AA136" i="50" s="1"/>
  <c r="I141" i="50"/>
  <c r="I142" i="50"/>
  <c r="AA134" i="50" s="1"/>
  <c r="K141" i="50"/>
  <c r="K143" i="50"/>
  <c r="H57" i="45"/>
  <c r="G57" i="45"/>
  <c r="AZ80" i="14"/>
  <c r="K15" i="60" s="1"/>
  <c r="E81" i="45"/>
  <c r="AZ119" i="14"/>
  <c r="K16" i="60" s="1"/>
  <c r="G69" i="44"/>
  <c r="G81" i="45"/>
  <c r="E23" i="7"/>
  <c r="H50" i="43"/>
  <c r="E69" i="45"/>
  <c r="F81" i="44"/>
  <c r="E300" i="7"/>
  <c r="E304" i="7" s="1"/>
  <c r="D293" i="7"/>
  <c r="D297" i="7" s="1"/>
  <c r="E22" i="34"/>
  <c r="D20" i="46" s="1"/>
  <c r="G80" i="34"/>
  <c r="G161" i="7"/>
  <c r="AE108" i="7" s="1"/>
  <c r="G79" i="34"/>
  <c r="G80" i="43"/>
  <c r="G81" i="43" s="1"/>
  <c r="I57" i="45"/>
  <c r="AM90" i="37"/>
  <c r="Q52" i="37" s="1"/>
  <c r="AQ80" i="15"/>
  <c r="Q52" i="15" s="1"/>
  <c r="K479" i="60"/>
  <c r="J479" i="60"/>
  <c r="J481" i="60"/>
  <c r="AY70" i="14" s="1"/>
  <c r="S325" i="60"/>
  <c r="R325" i="60"/>
  <c r="R327" i="60"/>
  <c r="AY102" i="14" s="1"/>
  <c r="AP80" i="15"/>
  <c r="P52" i="15" s="1"/>
  <c r="K325" i="60"/>
  <c r="J325" i="60"/>
  <c r="J327" i="60"/>
  <c r="AY63" i="14" s="1"/>
  <c r="R215" i="60"/>
  <c r="S215" i="60"/>
  <c r="R217" i="60"/>
  <c r="AY97" i="14" s="1"/>
  <c r="G86" i="34"/>
  <c r="G86" i="43"/>
  <c r="AN90" i="37"/>
  <c r="R52" i="37" s="1"/>
  <c r="G122" i="50"/>
  <c r="G22" i="50" s="1"/>
  <c r="F126" i="50"/>
  <c r="F122" i="50"/>
  <c r="F22" i="50" s="1"/>
  <c r="G114" i="50"/>
  <c r="G16" i="50" s="1"/>
  <c r="F118" i="50"/>
  <c r="F114" i="50"/>
  <c r="F16" i="50" s="1"/>
  <c r="F571" i="50"/>
  <c r="F568" i="50"/>
  <c r="G555" i="50"/>
  <c r="G551" i="50"/>
  <c r="F564" i="50"/>
  <c r="F560" i="50"/>
  <c r="F528" i="50"/>
  <c r="F526" i="50"/>
  <c r="AA510" i="50"/>
  <c r="F570" i="50"/>
  <c r="AA560" i="50"/>
  <c r="F125" i="50"/>
  <c r="AA114" i="50" s="1"/>
  <c r="F116" i="50"/>
  <c r="F562" i="50"/>
  <c r="F572" i="50"/>
  <c r="F15" i="34"/>
  <c r="G117" i="50"/>
  <c r="Z115" i="50" s="1"/>
  <c r="G52" i="50" s="1"/>
  <c r="F16" i="43"/>
  <c r="G126" i="50"/>
  <c r="G124" i="50"/>
  <c r="G125" i="50"/>
  <c r="AA115" i="50" s="1"/>
  <c r="F124" i="50"/>
  <c r="F117" i="50"/>
  <c r="Z114" i="50" s="1"/>
  <c r="F52" i="50" s="1"/>
  <c r="F529" i="50"/>
  <c r="Z526" i="50" s="1"/>
  <c r="G554" i="50"/>
  <c r="AA526" i="50"/>
  <c r="F538" i="50"/>
  <c r="G553" i="50"/>
  <c r="F537" i="50"/>
  <c r="F536" i="50"/>
  <c r="AA544" i="50"/>
  <c r="I585" i="50"/>
  <c r="H585" i="50"/>
  <c r="F581" i="50"/>
  <c r="F579" i="50"/>
  <c r="F580" i="50"/>
  <c r="Z577" i="50" s="1"/>
  <c r="AA577" i="50"/>
  <c r="F588" i="50"/>
  <c r="F589" i="50"/>
  <c r="F587" i="50"/>
  <c r="H577" i="50"/>
  <c r="G572" i="50"/>
  <c r="G570" i="50"/>
  <c r="AA561" i="50"/>
  <c r="G571" i="50"/>
  <c r="H543" i="50"/>
  <c r="I551" i="50"/>
  <c r="H551" i="50"/>
  <c r="F546" i="50"/>
  <c r="Z543" i="50" s="1"/>
  <c r="F547" i="50"/>
  <c r="F545" i="50"/>
  <c r="AA543" i="50"/>
  <c r="F554" i="50"/>
  <c r="F555" i="50"/>
  <c r="F553" i="50"/>
  <c r="G537" i="50"/>
  <c r="G538" i="50"/>
  <c r="G536" i="50"/>
  <c r="AA527" i="50"/>
  <c r="J123" i="50"/>
  <c r="J126" i="50" s="1"/>
  <c r="K123" i="50"/>
  <c r="G520" i="50"/>
  <c r="G521" i="50"/>
  <c r="G519" i="50"/>
  <c r="F512" i="50"/>
  <c r="Z509" i="50" s="1"/>
  <c r="F513" i="50"/>
  <c r="F511" i="50"/>
  <c r="F520" i="50"/>
  <c r="F521" i="50"/>
  <c r="F519" i="50"/>
  <c r="AA509" i="50"/>
  <c r="H115" i="50"/>
  <c r="H509" i="50"/>
  <c r="I123" i="50"/>
  <c r="I517" i="50"/>
  <c r="H123" i="50"/>
  <c r="H517" i="50"/>
  <c r="D315" i="7"/>
  <c r="D317" i="7" s="1"/>
  <c r="D319" i="7"/>
  <c r="D40" i="7" s="1"/>
  <c r="E325" i="7"/>
  <c r="E329" i="7"/>
  <c r="D325" i="7"/>
  <c r="D327" i="7" s="1"/>
  <c r="D329" i="7"/>
  <c r="D50" i="7" s="1"/>
  <c r="E326" i="7"/>
  <c r="E330" i="7"/>
  <c r="AD342" i="7"/>
  <c r="F397" i="7"/>
  <c r="P342" i="7" s="1"/>
  <c r="AE342" i="7"/>
  <c r="G397" i="7"/>
  <c r="Q342" i="7" s="1"/>
  <c r="AC342" i="7"/>
  <c r="E397" i="7"/>
  <c r="O342" i="7" s="1"/>
  <c r="AE341" i="7"/>
  <c r="G389" i="7"/>
  <c r="Q341" i="7" s="1"/>
  <c r="AC341" i="7"/>
  <c r="E389" i="7"/>
  <c r="O341" i="7" s="1"/>
  <c r="AG341" i="7"/>
  <c r="I389" i="7"/>
  <c r="S341" i="7" s="1"/>
  <c r="AD341" i="7"/>
  <c r="F389" i="7"/>
  <c r="P341" i="7" s="1"/>
  <c r="AE340" i="7"/>
  <c r="G381" i="7"/>
  <c r="Q340" i="7" s="1"/>
  <c r="AF340" i="7"/>
  <c r="H381" i="7"/>
  <c r="R340" i="7" s="1"/>
  <c r="AD340" i="7"/>
  <c r="F381" i="7"/>
  <c r="P340" i="7" s="1"/>
  <c r="H69" i="45"/>
  <c r="AC339" i="7"/>
  <c r="E373" i="7"/>
  <c r="O339" i="7" s="1"/>
  <c r="AJ339" i="7"/>
  <c r="F374" i="7"/>
  <c r="V339" i="7" s="1"/>
  <c r="AL339" i="7"/>
  <c r="H374" i="7"/>
  <c r="X339" i="7" s="1"/>
  <c r="AG339" i="7"/>
  <c r="I373" i="7"/>
  <c r="S339" i="7" s="1"/>
  <c r="AF339" i="7"/>
  <c r="H373" i="7"/>
  <c r="R339" i="7" s="1"/>
  <c r="AM339" i="7"/>
  <c r="I374" i="7"/>
  <c r="Y339" i="7" s="1"/>
  <c r="D300" i="7"/>
  <c r="D302" i="7"/>
  <c r="D23" i="7" s="1"/>
  <c r="AC338" i="7"/>
  <c r="E296" i="7" s="1"/>
  <c r="E17" i="7" s="1"/>
  <c r="E365" i="7"/>
  <c r="O338" i="7" s="1"/>
  <c r="F91" i="7"/>
  <c r="F95" i="7"/>
  <c r="E91" i="7"/>
  <c r="E95" i="7"/>
  <c r="AL105" i="7"/>
  <c r="H68" i="7" s="1"/>
  <c r="H140" i="7"/>
  <c r="X105" i="7" s="1"/>
  <c r="AD105" i="7"/>
  <c r="F61" i="7" s="1"/>
  <c r="F139" i="7"/>
  <c r="P105" i="7" s="1"/>
  <c r="AK105" i="7"/>
  <c r="G68" i="7" s="1"/>
  <c r="G140" i="7"/>
  <c r="W105" i="7" s="1"/>
  <c r="AM105" i="7"/>
  <c r="I68" i="7" s="1"/>
  <c r="I140" i="7"/>
  <c r="Y105" i="7" s="1"/>
  <c r="E92" i="7"/>
  <c r="E96" i="7"/>
  <c r="E82" i="7"/>
  <c r="E86" i="7"/>
  <c r="D82" i="7"/>
  <c r="D83" i="7" s="1"/>
  <c r="D86" i="7"/>
  <c r="D41" i="7" s="1"/>
  <c r="D92" i="7"/>
  <c r="D47" i="7" s="1"/>
  <c r="D96" i="7"/>
  <c r="D51" i="7" s="1"/>
  <c r="AK104" i="7"/>
  <c r="G69" i="7" s="1"/>
  <c r="G24" i="7" s="1"/>
  <c r="G132" i="7"/>
  <c r="W104" i="7" s="1"/>
  <c r="AJ104" i="7"/>
  <c r="F132" i="7"/>
  <c r="V104" i="7" s="1"/>
  <c r="AF104" i="7"/>
  <c r="H62" i="7" s="1"/>
  <c r="H17" i="7" s="1"/>
  <c r="H131" i="7"/>
  <c r="R104" i="7" s="1"/>
  <c r="AM104" i="7"/>
  <c r="I69" i="7" s="1"/>
  <c r="I24" i="7" s="1"/>
  <c r="I132" i="7"/>
  <c r="Y104" i="7" s="1"/>
  <c r="AG104" i="7"/>
  <c r="I62" i="7" s="1"/>
  <c r="I17" i="7" s="1"/>
  <c r="I131" i="7"/>
  <c r="S104" i="7" s="1"/>
  <c r="AL104" i="7"/>
  <c r="H69" i="7" s="1"/>
  <c r="H24" i="7" s="1"/>
  <c r="H132" i="7"/>
  <c r="X104" i="7" s="1"/>
  <c r="AE104" i="7"/>
  <c r="G62" i="7" s="1"/>
  <c r="G17" i="7" s="1"/>
  <c r="G131" i="7"/>
  <c r="Q104" i="7" s="1"/>
  <c r="AD104" i="7"/>
  <c r="F62" i="7" s="1"/>
  <c r="F17" i="7" s="1"/>
  <c r="F131" i="7"/>
  <c r="P104" i="7" s="1"/>
  <c r="I57" i="44"/>
  <c r="E66" i="7"/>
  <c r="E69" i="7"/>
  <c r="E24" i="7" s="1"/>
  <c r="D59" i="7"/>
  <c r="D62" i="7"/>
  <c r="D17" i="7" s="1"/>
  <c r="D66" i="7"/>
  <c r="D69" i="7"/>
  <c r="D24" i="7" s="1"/>
  <c r="H69" i="44"/>
  <c r="E57" i="44"/>
  <c r="F69" i="45"/>
  <c r="G81" i="44"/>
  <c r="I69" i="44"/>
  <c r="H68" i="15"/>
  <c r="D17" i="45"/>
  <c r="C33" i="46" s="1"/>
  <c r="C34" i="46" s="1"/>
  <c r="D17" i="44"/>
  <c r="C16" i="46" s="1"/>
  <c r="C17" i="46" s="1"/>
  <c r="E57" i="45"/>
  <c r="F81" i="45"/>
  <c r="F57" i="45"/>
  <c r="E81" i="44"/>
  <c r="G69" i="45"/>
  <c r="E69" i="44"/>
  <c r="H57" i="44"/>
  <c r="G57" i="44"/>
  <c r="F57" i="44"/>
  <c r="E22" i="45"/>
  <c r="D39" i="46" s="1"/>
  <c r="E22" i="44"/>
  <c r="D21" i="46" s="1"/>
  <c r="G20" i="34"/>
  <c r="E15" i="45"/>
  <c r="E15" i="44"/>
  <c r="E45" i="44"/>
  <c r="I45" i="45"/>
  <c r="H45" i="45"/>
  <c r="H45" i="44"/>
  <c r="C39" i="46"/>
  <c r="F50" i="45"/>
  <c r="F20" i="45"/>
  <c r="F22" i="45" s="1"/>
  <c r="C21" i="46"/>
  <c r="I50" i="45"/>
  <c r="I45" i="44"/>
  <c r="G43" i="44"/>
  <c r="G371" i="7"/>
  <c r="G44" i="45"/>
  <c r="G16" i="45" s="1"/>
  <c r="G43" i="45"/>
  <c r="G44" i="44"/>
  <c r="G16" i="44" s="1"/>
  <c r="H36" i="15"/>
  <c r="E45" i="45"/>
  <c r="F50" i="44"/>
  <c r="F20" i="44"/>
  <c r="F22" i="44" s="1"/>
  <c r="G48" i="44"/>
  <c r="G372" i="7"/>
  <c r="G48" i="45"/>
  <c r="G49" i="44"/>
  <c r="G21" i="44" s="1"/>
  <c r="G49" i="45"/>
  <c r="G21" i="45" s="1"/>
  <c r="O36" i="15"/>
  <c r="F371" i="7"/>
  <c r="F43" i="45"/>
  <c r="F44" i="45"/>
  <c r="F16" i="45" s="1"/>
  <c r="F43" i="44"/>
  <c r="F44" i="44"/>
  <c r="F16" i="44" s="1"/>
  <c r="G36" i="15"/>
  <c r="G39" i="15" s="1"/>
  <c r="I50" i="44"/>
  <c r="H50" i="44"/>
  <c r="H50" i="45"/>
  <c r="E33" i="45"/>
  <c r="E16" i="45"/>
  <c r="E33" i="44"/>
  <c r="E16" i="44"/>
  <c r="G20" i="43"/>
  <c r="E22" i="43"/>
  <c r="D38" i="46" s="1"/>
  <c r="F45" i="43"/>
  <c r="E43" i="34"/>
  <c r="E15" i="34" s="1"/>
  <c r="E43" i="43"/>
  <c r="E137" i="7"/>
  <c r="E44" i="43"/>
  <c r="E16" i="43" s="1"/>
  <c r="E44" i="34"/>
  <c r="G36" i="37"/>
  <c r="G50" i="43"/>
  <c r="I50" i="43"/>
  <c r="F45" i="34"/>
  <c r="I17" i="37"/>
  <c r="I68" i="37"/>
  <c r="I71" i="37" s="1"/>
  <c r="J17" i="37"/>
  <c r="G50" i="34"/>
  <c r="I50" i="34"/>
  <c r="H50" i="34"/>
  <c r="K17" i="37"/>
  <c r="G118" i="50"/>
  <c r="AW42" i="14"/>
  <c r="D24" i="43"/>
  <c r="C38" i="46"/>
  <c r="G38" i="34"/>
  <c r="G21" i="34"/>
  <c r="G38" i="43"/>
  <c r="G21" i="43"/>
  <c r="I38" i="34"/>
  <c r="I38" i="43"/>
  <c r="F38" i="34"/>
  <c r="F21" i="34"/>
  <c r="F22" i="34" s="1"/>
  <c r="F38" i="43"/>
  <c r="F20" i="43"/>
  <c r="F22" i="43" s="1"/>
  <c r="I33" i="34"/>
  <c r="I33" i="43"/>
  <c r="H38" i="43"/>
  <c r="G33" i="34"/>
  <c r="G33" i="43"/>
  <c r="F33" i="34"/>
  <c r="F16" i="34"/>
  <c r="F33" i="43"/>
  <c r="F15" i="43"/>
  <c r="H33" i="34"/>
  <c r="H33" i="43"/>
  <c r="D24" i="34"/>
  <c r="C20" i="46"/>
  <c r="H38" i="34"/>
  <c r="H39" i="37"/>
  <c r="E93" i="7" l="1"/>
  <c r="K17" i="60"/>
  <c r="G81" i="34"/>
  <c r="F59" i="7"/>
  <c r="F63" i="7" s="1"/>
  <c r="C35" i="46"/>
  <c r="G66" i="7"/>
  <c r="G70" i="7" s="1"/>
  <c r="E21" i="7"/>
  <c r="E25" i="7" s="1"/>
  <c r="D14" i="7"/>
  <c r="D18" i="7" s="1"/>
  <c r="E293" i="7"/>
  <c r="D21" i="7"/>
  <c r="D25" i="7" s="1"/>
  <c r="AY119" i="14"/>
  <c r="J16" i="60" s="1"/>
  <c r="AY80" i="14"/>
  <c r="J15" i="60" s="1"/>
  <c r="R20" i="37"/>
  <c r="R68" i="37"/>
  <c r="P20" i="15"/>
  <c r="P68" i="15"/>
  <c r="Q20" i="15"/>
  <c r="Q68" i="15"/>
  <c r="Q20" i="37"/>
  <c r="Q68" i="37"/>
  <c r="AN52" i="37"/>
  <c r="K52" i="37" s="1"/>
  <c r="AP52" i="15"/>
  <c r="I52" i="15" s="1"/>
  <c r="AQ52" i="15"/>
  <c r="J52" i="15" s="1"/>
  <c r="AM52" i="37"/>
  <c r="J52" i="37" s="1"/>
  <c r="H122" i="50"/>
  <c r="H22" i="50" s="1"/>
  <c r="I122" i="50"/>
  <c r="I22" i="50" s="1"/>
  <c r="K122" i="50"/>
  <c r="K22" i="50" s="1"/>
  <c r="J125" i="50"/>
  <c r="J122" i="50"/>
  <c r="J22" i="50" s="1"/>
  <c r="H117" i="50"/>
  <c r="Z116" i="50" s="1"/>
  <c r="H52" i="50" s="1"/>
  <c r="H114" i="50"/>
  <c r="H16" i="50" s="1"/>
  <c r="H572" i="50"/>
  <c r="H568" i="50"/>
  <c r="I570" i="50"/>
  <c r="I568" i="50"/>
  <c r="H537" i="50"/>
  <c r="H534" i="50"/>
  <c r="I538" i="50"/>
  <c r="I534" i="50"/>
  <c r="I572" i="50"/>
  <c r="H563" i="50"/>
  <c r="Z562" i="50" s="1"/>
  <c r="H560" i="50"/>
  <c r="H528" i="50"/>
  <c r="H526" i="50"/>
  <c r="F17" i="43"/>
  <c r="E32" i="46" s="1"/>
  <c r="F17" i="34"/>
  <c r="E15" i="46" s="1"/>
  <c r="E51" i="7"/>
  <c r="E50" i="7"/>
  <c r="F23" i="50"/>
  <c r="F24" i="50" s="1"/>
  <c r="H118" i="50"/>
  <c r="H571" i="50"/>
  <c r="H126" i="50"/>
  <c r="K124" i="50"/>
  <c r="J124" i="50"/>
  <c r="I125" i="50"/>
  <c r="AA117" i="50" s="1"/>
  <c r="K126" i="50"/>
  <c r="I126" i="50"/>
  <c r="H570" i="50"/>
  <c r="AA563" i="50"/>
  <c r="AA118" i="50"/>
  <c r="I124" i="50"/>
  <c r="K125" i="50"/>
  <c r="AA119" i="50" s="1"/>
  <c r="H125" i="50"/>
  <c r="AA116" i="50" s="1"/>
  <c r="H124" i="50"/>
  <c r="H116" i="50"/>
  <c r="I537" i="50"/>
  <c r="H529" i="50"/>
  <c r="Z528" i="50" s="1"/>
  <c r="AA562" i="50"/>
  <c r="I571" i="50"/>
  <c r="H538" i="50"/>
  <c r="I536" i="50"/>
  <c r="H530" i="50"/>
  <c r="H562" i="50"/>
  <c r="F17" i="50"/>
  <c r="F18" i="50" s="1"/>
  <c r="G23" i="50"/>
  <c r="G24" i="50" s="1"/>
  <c r="AA528" i="50"/>
  <c r="H536" i="50"/>
  <c r="AA529" i="50"/>
  <c r="H564" i="50"/>
  <c r="F53" i="50"/>
  <c r="F54" i="50" s="1"/>
  <c r="G577" i="50"/>
  <c r="H589" i="50"/>
  <c r="H587" i="50"/>
  <c r="H588" i="50"/>
  <c r="AA579" i="50"/>
  <c r="I589" i="50"/>
  <c r="I587" i="50"/>
  <c r="AA580" i="50"/>
  <c r="I588" i="50"/>
  <c r="H581" i="50"/>
  <c r="H580" i="50"/>
  <c r="Z579" i="50" s="1"/>
  <c r="H579" i="50"/>
  <c r="E47" i="7"/>
  <c r="E46" i="7"/>
  <c r="E295" i="7"/>
  <c r="G526" i="50"/>
  <c r="G543" i="50"/>
  <c r="D93" i="7"/>
  <c r="D36" i="7"/>
  <c r="H555" i="50"/>
  <c r="H553" i="50"/>
  <c r="H554" i="50"/>
  <c r="AA545" i="50"/>
  <c r="I555" i="50"/>
  <c r="I553" i="50"/>
  <c r="AA546" i="50"/>
  <c r="I554" i="50"/>
  <c r="H546" i="50"/>
  <c r="Z545" i="50" s="1"/>
  <c r="H545" i="50"/>
  <c r="H547" i="50"/>
  <c r="E327" i="7"/>
  <c r="D37" i="7"/>
  <c r="D46" i="7"/>
  <c r="D48" i="7" s="1"/>
  <c r="G39" i="37"/>
  <c r="G509" i="50"/>
  <c r="H520" i="50"/>
  <c r="H521" i="50"/>
  <c r="H519" i="50"/>
  <c r="AA511" i="50"/>
  <c r="I520" i="50"/>
  <c r="I521" i="50"/>
  <c r="I519" i="50"/>
  <c r="AA512" i="50"/>
  <c r="H513" i="50"/>
  <c r="H511" i="50"/>
  <c r="H512" i="50"/>
  <c r="Z511" i="50" s="1"/>
  <c r="F325" i="7"/>
  <c r="F327" i="7" s="1"/>
  <c r="F329" i="7"/>
  <c r="F50" i="7" s="1"/>
  <c r="E315" i="7"/>
  <c r="E319" i="7"/>
  <c r="E316" i="7"/>
  <c r="E320" i="7"/>
  <c r="E41" i="7" s="1"/>
  <c r="D304" i="7"/>
  <c r="D306" i="7" s="1"/>
  <c r="AD339" i="7"/>
  <c r="F373" i="7"/>
  <c r="P339" i="7" s="1"/>
  <c r="AE339" i="7"/>
  <c r="G373" i="7"/>
  <c r="Q339" i="7" s="1"/>
  <c r="AK339" i="7"/>
  <c r="G374" i="7"/>
  <c r="W339" i="7" s="1"/>
  <c r="G95" i="7" s="1"/>
  <c r="F300" i="7"/>
  <c r="F302" i="7"/>
  <c r="F23" i="7" s="1"/>
  <c r="D63" i="7"/>
  <c r="D70" i="7"/>
  <c r="E70" i="7"/>
  <c r="I91" i="7"/>
  <c r="G91" i="7"/>
  <c r="F81" i="7"/>
  <c r="F85" i="7"/>
  <c r="H91" i="7"/>
  <c r="AC105" i="7"/>
  <c r="E139" i="7"/>
  <c r="O105" i="7" s="1"/>
  <c r="F82" i="7"/>
  <c r="F37" i="7" s="1"/>
  <c r="F86" i="7"/>
  <c r="F41" i="7" s="1"/>
  <c r="G82" i="7"/>
  <c r="G37" i="7" s="1"/>
  <c r="G86" i="7"/>
  <c r="G41" i="7" s="1"/>
  <c r="H92" i="7"/>
  <c r="H47" i="7" s="1"/>
  <c r="H96" i="7"/>
  <c r="H51" i="7" s="1"/>
  <c r="I82" i="7"/>
  <c r="I37" i="7" s="1"/>
  <c r="I86" i="7"/>
  <c r="I41" i="7" s="1"/>
  <c r="I92" i="7"/>
  <c r="I47" i="7" s="1"/>
  <c r="I96" i="7"/>
  <c r="I51" i="7" s="1"/>
  <c r="H82" i="7"/>
  <c r="H37" i="7" s="1"/>
  <c r="H86" i="7"/>
  <c r="H41" i="7" s="1"/>
  <c r="F92" i="7"/>
  <c r="F93" i="7" s="1"/>
  <c r="F96" i="7"/>
  <c r="F51" i="7" s="1"/>
  <c r="G92" i="7"/>
  <c r="G47" i="7" s="1"/>
  <c r="G96" i="7"/>
  <c r="G51" i="7" s="1"/>
  <c r="F66" i="7"/>
  <c r="F69" i="7"/>
  <c r="F24" i="7" s="1"/>
  <c r="D24" i="45"/>
  <c r="C22" i="46"/>
  <c r="C24" i="46" s="1"/>
  <c r="G22" i="34"/>
  <c r="F20" i="46" s="1"/>
  <c r="C40" i="46"/>
  <c r="C43" i="46" s="1"/>
  <c r="E17" i="45"/>
  <c r="E24" i="45" s="1"/>
  <c r="D24" i="44"/>
  <c r="G22" i="43"/>
  <c r="F38" i="46" s="1"/>
  <c r="D22" i="46"/>
  <c r="D40" i="46"/>
  <c r="E17" i="44"/>
  <c r="D16" i="46" s="1"/>
  <c r="E39" i="46"/>
  <c r="G50" i="45"/>
  <c r="G20" i="45"/>
  <c r="G22" i="45" s="1"/>
  <c r="G50" i="44"/>
  <c r="G20" i="44"/>
  <c r="G22" i="44" s="1"/>
  <c r="H39" i="15"/>
  <c r="G45" i="45"/>
  <c r="G15" i="45"/>
  <c r="G17" i="45" s="1"/>
  <c r="F33" i="46" s="1"/>
  <c r="F45" i="44"/>
  <c r="F15" i="44"/>
  <c r="F17" i="44" s="1"/>
  <c r="E16" i="46" s="1"/>
  <c r="F45" i="45"/>
  <c r="F15" i="45"/>
  <c r="F17" i="45" s="1"/>
  <c r="E33" i="46" s="1"/>
  <c r="E21" i="46"/>
  <c r="G45" i="44"/>
  <c r="G15" i="44"/>
  <c r="G17" i="44" s="1"/>
  <c r="F16" i="46" s="1"/>
  <c r="E45" i="43"/>
  <c r="E15" i="43"/>
  <c r="E17" i="43" s="1"/>
  <c r="E45" i="34"/>
  <c r="E16" i="34"/>
  <c r="E17" i="34" s="1"/>
  <c r="I43" i="34"/>
  <c r="I43" i="43"/>
  <c r="I137" i="7"/>
  <c r="I44" i="43"/>
  <c r="I44" i="34"/>
  <c r="H43" i="34"/>
  <c r="H137" i="7"/>
  <c r="H43" i="43"/>
  <c r="H44" i="34"/>
  <c r="H44" i="43"/>
  <c r="G43" i="34"/>
  <c r="G44" i="43"/>
  <c r="G16" i="43" s="1"/>
  <c r="G137" i="7"/>
  <c r="G43" i="43"/>
  <c r="G44" i="34"/>
  <c r="G16" i="34" s="1"/>
  <c r="I36" i="37"/>
  <c r="I577" i="50" s="1"/>
  <c r="AW43" i="14"/>
  <c r="E38" i="46"/>
  <c r="E20" i="46"/>
  <c r="E297" i="7" l="1"/>
  <c r="E306" i="7" s="1"/>
  <c r="D41" i="46"/>
  <c r="F21" i="7"/>
  <c r="F25" i="7" s="1"/>
  <c r="J17" i="60"/>
  <c r="A1" i="60"/>
  <c r="C19" i="1" s="1"/>
  <c r="H19" i="1" s="1"/>
  <c r="E317" i="7"/>
  <c r="J20" i="15"/>
  <c r="J68" i="15"/>
  <c r="J20" i="37"/>
  <c r="J68" i="37"/>
  <c r="J71" i="37" s="1"/>
  <c r="I20" i="15"/>
  <c r="I68" i="15"/>
  <c r="K20" i="37"/>
  <c r="K68" i="37"/>
  <c r="K71" i="37" s="1"/>
  <c r="H162" i="7"/>
  <c r="AL108" i="7" s="1"/>
  <c r="H66" i="7" s="1"/>
  <c r="H84" i="43"/>
  <c r="H20" i="43" s="1"/>
  <c r="H85" i="43"/>
  <c r="H84" i="34"/>
  <c r="H85" i="34"/>
  <c r="H21" i="34" s="1"/>
  <c r="Q36" i="37"/>
  <c r="I396" i="7"/>
  <c r="I84" i="44"/>
  <c r="I85" i="45"/>
  <c r="I21" i="45" s="1"/>
  <c r="I84" i="45"/>
  <c r="I85" i="44"/>
  <c r="I21" i="44" s="1"/>
  <c r="Q36" i="15"/>
  <c r="H84" i="45"/>
  <c r="H85" i="44"/>
  <c r="H21" i="44" s="1"/>
  <c r="H84" i="44"/>
  <c r="H396" i="7"/>
  <c r="H85" i="45"/>
  <c r="H21" i="45" s="1"/>
  <c r="P36" i="15"/>
  <c r="I162" i="7"/>
  <c r="AM108" i="7" s="1"/>
  <c r="I66" i="7" s="1"/>
  <c r="I84" i="34"/>
  <c r="I85" i="34"/>
  <c r="I21" i="34" s="1"/>
  <c r="I84" i="43"/>
  <c r="I85" i="43"/>
  <c r="I21" i="43" s="1"/>
  <c r="R36" i="37"/>
  <c r="F24" i="44"/>
  <c r="G530" i="50"/>
  <c r="G563" i="50"/>
  <c r="Z561" i="50" s="1"/>
  <c r="G560" i="50"/>
  <c r="E17" i="46"/>
  <c r="F26" i="50"/>
  <c r="F24" i="43"/>
  <c r="E34" i="46"/>
  <c r="F24" i="34"/>
  <c r="D27" i="7"/>
  <c r="F46" i="7"/>
  <c r="G564" i="50"/>
  <c r="D38" i="7"/>
  <c r="E37" i="7"/>
  <c r="G562" i="50"/>
  <c r="G529" i="50"/>
  <c r="H53" i="50"/>
  <c r="H54" i="50" s="1"/>
  <c r="I23" i="50"/>
  <c r="I24" i="50" s="1"/>
  <c r="I581" i="50"/>
  <c r="I579" i="50"/>
  <c r="I580" i="50"/>
  <c r="Z580" i="50" s="1"/>
  <c r="G580" i="50"/>
  <c r="Z578" i="50" s="1"/>
  <c r="G581" i="50"/>
  <c r="G579" i="50"/>
  <c r="I547" i="50"/>
  <c r="I560" i="50"/>
  <c r="H17" i="50"/>
  <c r="H18" i="50" s="1"/>
  <c r="H23" i="50"/>
  <c r="H24" i="50" s="1"/>
  <c r="G528" i="50"/>
  <c r="Z527" i="50"/>
  <c r="E48" i="7"/>
  <c r="G547" i="50"/>
  <c r="G545" i="50"/>
  <c r="G546" i="50"/>
  <c r="Z544" i="50" s="1"/>
  <c r="I513" i="50"/>
  <c r="I526" i="50"/>
  <c r="G512" i="50"/>
  <c r="Z510" i="50" s="1"/>
  <c r="G513" i="50"/>
  <c r="G511" i="50"/>
  <c r="G325" i="7"/>
  <c r="G327" i="7" s="1"/>
  <c r="G329" i="7"/>
  <c r="G50" i="7" s="1"/>
  <c r="G315" i="7"/>
  <c r="G317" i="7" s="1"/>
  <c r="G319" i="7"/>
  <c r="F315" i="7"/>
  <c r="F317" i="7" s="1"/>
  <c r="F319" i="7"/>
  <c r="F40" i="7" s="1"/>
  <c r="F304" i="7"/>
  <c r="G300" i="7"/>
  <c r="G302" i="7"/>
  <c r="G23" i="7" s="1"/>
  <c r="G293" i="7"/>
  <c r="G295" i="7"/>
  <c r="F293" i="7"/>
  <c r="F295" i="7"/>
  <c r="F16" i="7" s="1"/>
  <c r="D72" i="7"/>
  <c r="F47" i="7"/>
  <c r="I93" i="7"/>
  <c r="G93" i="7"/>
  <c r="H93" i="7"/>
  <c r="F83" i="7"/>
  <c r="E81" i="7"/>
  <c r="E83" i="7" s="1"/>
  <c r="E85" i="7"/>
  <c r="E40" i="7" s="1"/>
  <c r="AF105" i="7"/>
  <c r="H139" i="7"/>
  <c r="R105" i="7" s="1"/>
  <c r="AE105" i="7"/>
  <c r="G139" i="7"/>
  <c r="Q105" i="7" s="1"/>
  <c r="AG105" i="7"/>
  <c r="I139" i="7"/>
  <c r="S105" i="7" s="1"/>
  <c r="E59" i="7"/>
  <c r="E61" i="7"/>
  <c r="E16" i="7" s="1"/>
  <c r="F70" i="7"/>
  <c r="F72" i="7" s="1"/>
  <c r="C41" i="46"/>
  <c r="D33" i="46"/>
  <c r="E22" i="46"/>
  <c r="E40" i="46"/>
  <c r="E24" i="44"/>
  <c r="F39" i="46"/>
  <c r="F40" i="46" s="1"/>
  <c r="G24" i="45"/>
  <c r="F21" i="46"/>
  <c r="F22" i="46" s="1"/>
  <c r="G24" i="44"/>
  <c r="F24" i="45"/>
  <c r="D15" i="46"/>
  <c r="D17" i="46" s="1"/>
  <c r="D24" i="46" s="1"/>
  <c r="E24" i="34"/>
  <c r="D32" i="46"/>
  <c r="E24" i="43"/>
  <c r="I115" i="50"/>
  <c r="I114" i="50" s="1"/>
  <c r="I39" i="37"/>
  <c r="G45" i="43"/>
  <c r="G15" i="43"/>
  <c r="G17" i="43" s="1"/>
  <c r="J115" i="50"/>
  <c r="J114" i="50" s="1"/>
  <c r="H45" i="34"/>
  <c r="K115" i="50"/>
  <c r="K114" i="50" s="1"/>
  <c r="I45" i="43"/>
  <c r="G45" i="34"/>
  <c r="G15" i="34"/>
  <c r="G17" i="34" s="1"/>
  <c r="H45" i="43"/>
  <c r="I45" i="34"/>
  <c r="AW44" i="14"/>
  <c r="G46" i="7" l="1"/>
  <c r="G48" i="7" s="1"/>
  <c r="F41" i="46"/>
  <c r="E35" i="46"/>
  <c r="I70" i="7"/>
  <c r="H86" i="44"/>
  <c r="H20" i="44"/>
  <c r="H22" i="44" s="1"/>
  <c r="H86" i="45"/>
  <c r="H20" i="45"/>
  <c r="H22" i="45" s="1"/>
  <c r="AM342" i="7"/>
  <c r="I398" i="7"/>
  <c r="Y342" i="7" s="1"/>
  <c r="H86" i="43"/>
  <c r="H21" i="43"/>
  <c r="H22" i="43" s="1"/>
  <c r="G38" i="46" s="1"/>
  <c r="H70" i="7"/>
  <c r="I79" i="43"/>
  <c r="I15" i="43" s="1"/>
  <c r="I80" i="43"/>
  <c r="I80" i="34"/>
  <c r="I16" i="34" s="1"/>
  <c r="I79" i="34"/>
  <c r="I161" i="7"/>
  <c r="AG108" i="7" s="1"/>
  <c r="I59" i="7" s="1"/>
  <c r="K36" i="37"/>
  <c r="H79" i="44"/>
  <c r="H15" i="44" s="1"/>
  <c r="H395" i="7"/>
  <c r="I36" i="15"/>
  <c r="I39" i="15" s="1"/>
  <c r="H80" i="45"/>
  <c r="H16" i="45" s="1"/>
  <c r="H79" i="45"/>
  <c r="H80" i="44"/>
  <c r="H79" i="43"/>
  <c r="H80" i="34"/>
  <c r="H16" i="34" s="1"/>
  <c r="H161" i="7"/>
  <c r="AF108" i="7" s="1"/>
  <c r="H59" i="7" s="1"/>
  <c r="H79" i="34"/>
  <c r="H80" i="43"/>
  <c r="H16" i="43" s="1"/>
  <c r="J36" i="37"/>
  <c r="I395" i="7"/>
  <c r="I80" i="45"/>
  <c r="I16" i="45" s="1"/>
  <c r="J36" i="15"/>
  <c r="J39" i="15" s="1"/>
  <c r="I79" i="45"/>
  <c r="I79" i="44"/>
  <c r="I15" i="44" s="1"/>
  <c r="I80" i="44"/>
  <c r="I86" i="43"/>
  <c r="I20" i="43"/>
  <c r="I22" i="43" s="1"/>
  <c r="H38" i="46" s="1"/>
  <c r="I86" i="34"/>
  <c r="I20" i="34"/>
  <c r="I22" i="34" s="1"/>
  <c r="H20" i="46" s="1"/>
  <c r="AL342" i="7"/>
  <c r="H398" i="7"/>
  <c r="X342" i="7" s="1"/>
  <c r="I86" i="45"/>
  <c r="I20" i="45"/>
  <c r="I22" i="45" s="1"/>
  <c r="I86" i="44"/>
  <c r="I20" i="44"/>
  <c r="I22" i="44" s="1"/>
  <c r="H86" i="34"/>
  <c r="H20" i="34"/>
  <c r="H22" i="34" s="1"/>
  <c r="G20" i="46" s="1"/>
  <c r="E24" i="46"/>
  <c r="I545" i="50"/>
  <c r="I543" i="50"/>
  <c r="I511" i="50"/>
  <c r="I509" i="50"/>
  <c r="E43" i="46"/>
  <c r="F48" i="7"/>
  <c r="I546" i="50"/>
  <c r="Z546" i="50" s="1"/>
  <c r="G53" i="50"/>
  <c r="G54" i="50" s="1"/>
  <c r="I512" i="50"/>
  <c r="Z512" i="50" s="1"/>
  <c r="G17" i="50"/>
  <c r="G18" i="50" s="1"/>
  <c r="G26" i="50" s="1"/>
  <c r="H26" i="50"/>
  <c r="I564" i="50"/>
  <c r="I562" i="50"/>
  <c r="I563" i="50"/>
  <c r="Z563" i="50" s="1"/>
  <c r="I530" i="50"/>
  <c r="I529" i="50"/>
  <c r="Z529" i="50" s="1"/>
  <c r="I528" i="50"/>
  <c r="E36" i="7"/>
  <c r="E38" i="7" s="1"/>
  <c r="F36" i="7"/>
  <c r="F38" i="7" s="1"/>
  <c r="G297" i="7"/>
  <c r="F297" i="7"/>
  <c r="F306" i="7" s="1"/>
  <c r="F14" i="7"/>
  <c r="F18" i="7" s="1"/>
  <c r="F27" i="7" s="1"/>
  <c r="G304" i="7"/>
  <c r="G21" i="7"/>
  <c r="G25" i="7" s="1"/>
  <c r="I81" i="7"/>
  <c r="I83" i="7" s="1"/>
  <c r="I85" i="7"/>
  <c r="G81" i="7"/>
  <c r="G83" i="7" s="1"/>
  <c r="G85" i="7"/>
  <c r="G40" i="7" s="1"/>
  <c r="H81" i="7"/>
  <c r="H83" i="7" s="1"/>
  <c r="H85" i="7"/>
  <c r="E14" i="7"/>
  <c r="E18" i="7" s="1"/>
  <c r="E27" i="7" s="1"/>
  <c r="E63" i="7"/>
  <c r="E72" i="7" s="1"/>
  <c r="I61" i="7"/>
  <c r="G59" i="7"/>
  <c r="G61" i="7"/>
  <c r="G16" i="7" s="1"/>
  <c r="H61" i="7"/>
  <c r="D34" i="46"/>
  <c r="D43" i="46" s="1"/>
  <c r="E41" i="46"/>
  <c r="F15" i="46"/>
  <c r="F17" i="46" s="1"/>
  <c r="G24" i="34"/>
  <c r="K16" i="50"/>
  <c r="K118" i="50"/>
  <c r="K117" i="50"/>
  <c r="Z119" i="50" s="1"/>
  <c r="K52" i="50" s="1"/>
  <c r="K116" i="50"/>
  <c r="J117" i="50"/>
  <c r="Z118" i="50" s="1"/>
  <c r="J52" i="50" s="1"/>
  <c r="J116" i="50"/>
  <c r="J16" i="50"/>
  <c r="J118" i="50"/>
  <c r="F32" i="46"/>
  <c r="F34" i="46" s="1"/>
  <c r="G24" i="43"/>
  <c r="I16" i="50"/>
  <c r="I118" i="50"/>
  <c r="I117" i="50"/>
  <c r="Z117" i="50" s="1"/>
  <c r="I52" i="50" s="1"/>
  <c r="I116" i="50"/>
  <c r="AW45" i="14"/>
  <c r="H302" i="7" l="1"/>
  <c r="H23" i="7" s="1"/>
  <c r="H300" i="7"/>
  <c r="H21" i="7" s="1"/>
  <c r="I302" i="7"/>
  <c r="I23" i="7" s="1"/>
  <c r="I300" i="7"/>
  <c r="I21" i="7" s="1"/>
  <c r="G39" i="46"/>
  <c r="G40" i="46" s="1"/>
  <c r="J534" i="50"/>
  <c r="J537" i="50"/>
  <c r="J536" i="50"/>
  <c r="AA530" i="50"/>
  <c r="J538" i="50"/>
  <c r="J517" i="50"/>
  <c r="J521" i="50"/>
  <c r="AA513" i="50"/>
  <c r="J520" i="50"/>
  <c r="J519" i="50"/>
  <c r="J585" i="50"/>
  <c r="J589" i="50"/>
  <c r="J588" i="50"/>
  <c r="J587" i="50"/>
  <c r="AA581" i="50"/>
  <c r="H325" i="7"/>
  <c r="H329" i="7"/>
  <c r="H95" i="7"/>
  <c r="K517" i="50"/>
  <c r="K521" i="50"/>
  <c r="AA514" i="50"/>
  <c r="K520" i="50"/>
  <c r="K519" i="50"/>
  <c r="K570" i="50"/>
  <c r="K572" i="50"/>
  <c r="AA565" i="50"/>
  <c r="K568" i="50"/>
  <c r="K571" i="50"/>
  <c r="K585" i="50"/>
  <c r="K589" i="50"/>
  <c r="AA582" i="50"/>
  <c r="K587" i="50"/>
  <c r="K588" i="50"/>
  <c r="I397" i="7"/>
  <c r="S342" i="7" s="1"/>
  <c r="AG342" i="7"/>
  <c r="H81" i="43"/>
  <c r="H15" i="43"/>
  <c r="H17" i="43" s="1"/>
  <c r="H81" i="45"/>
  <c r="H15" i="45"/>
  <c r="H17" i="45" s="1"/>
  <c r="G33" i="46" s="1"/>
  <c r="A1" i="15"/>
  <c r="C24" i="1" s="1"/>
  <c r="H24" i="1" s="1"/>
  <c r="J553" i="50"/>
  <c r="AA547" i="50"/>
  <c r="J551" i="50"/>
  <c r="J555" i="50"/>
  <c r="J554" i="50"/>
  <c r="J568" i="50"/>
  <c r="J572" i="50"/>
  <c r="J571" i="50"/>
  <c r="J570" i="50"/>
  <c r="AA564" i="50"/>
  <c r="H21" i="46"/>
  <c r="H22" i="46" s="1"/>
  <c r="H39" i="46"/>
  <c r="H40" i="46" s="1"/>
  <c r="G21" i="46"/>
  <c r="G22" i="46" s="1"/>
  <c r="K534" i="50"/>
  <c r="K538" i="50"/>
  <c r="K536" i="50"/>
  <c r="AA531" i="50"/>
  <c r="K537" i="50"/>
  <c r="K551" i="50"/>
  <c r="K553" i="50"/>
  <c r="K554" i="50"/>
  <c r="K555" i="50"/>
  <c r="AA548" i="50"/>
  <c r="I81" i="44"/>
  <c r="I16" i="44"/>
  <c r="I17" i="44" s="1"/>
  <c r="I81" i="45"/>
  <c r="I15" i="45"/>
  <c r="I17" i="45" s="1"/>
  <c r="H33" i="46" s="1"/>
  <c r="A1" i="37"/>
  <c r="C21" i="1" s="1"/>
  <c r="H21" i="1" s="1"/>
  <c r="J39" i="37"/>
  <c r="H81" i="34"/>
  <c r="H15" i="34"/>
  <c r="H17" i="34" s="1"/>
  <c r="H81" i="44"/>
  <c r="H16" i="44"/>
  <c r="H17" i="44" s="1"/>
  <c r="AF342" i="7"/>
  <c r="H397" i="7"/>
  <c r="R342" i="7" s="1"/>
  <c r="K39" i="37"/>
  <c r="I81" i="34"/>
  <c r="I15" i="34"/>
  <c r="I17" i="34" s="1"/>
  <c r="I81" i="43"/>
  <c r="I16" i="43"/>
  <c r="I17" i="43" s="1"/>
  <c r="I325" i="7"/>
  <c r="I95" i="7"/>
  <c r="I329" i="7"/>
  <c r="I53" i="50"/>
  <c r="I54" i="50" s="1"/>
  <c r="D35" i="46"/>
  <c r="I17" i="50"/>
  <c r="I18" i="50" s="1"/>
  <c r="I26" i="50" s="1"/>
  <c r="G306" i="7"/>
  <c r="G36" i="7"/>
  <c r="H63" i="7"/>
  <c r="H72" i="7" s="1"/>
  <c r="G14" i="7"/>
  <c r="G18" i="7" s="1"/>
  <c r="G27" i="7" s="1"/>
  <c r="G63" i="7"/>
  <c r="G72" i="7" s="1"/>
  <c r="I63" i="7"/>
  <c r="I72" i="7" s="1"/>
  <c r="F35" i="46"/>
  <c r="F43" i="46"/>
  <c r="F24" i="46"/>
  <c r="AW46" i="14"/>
  <c r="AX44" i="14" s="1"/>
  <c r="G41" i="46" l="1"/>
  <c r="K22" i="46" s="1"/>
  <c r="M2" i="46" s="1"/>
  <c r="H17" i="41" s="1"/>
  <c r="N17" i="41" s="1"/>
  <c r="E39" i="41" s="1"/>
  <c r="I25" i="7"/>
  <c r="H25" i="7"/>
  <c r="H304" i="7"/>
  <c r="I304" i="7"/>
  <c r="I295" i="7"/>
  <c r="I16" i="7" s="1"/>
  <c r="I293" i="7"/>
  <c r="I14" i="7" s="1"/>
  <c r="H295" i="7"/>
  <c r="H16" i="7" s="1"/>
  <c r="H293" i="7"/>
  <c r="H14" i="7" s="1"/>
  <c r="H50" i="7"/>
  <c r="I50" i="7"/>
  <c r="H16" i="46"/>
  <c r="I24" i="44"/>
  <c r="I24" i="43"/>
  <c r="H32" i="46"/>
  <c r="H34" i="46" s="1"/>
  <c r="G16" i="46"/>
  <c r="B25" i="1"/>
  <c r="G25" i="1" s="1"/>
  <c r="H24" i="44"/>
  <c r="H24" i="34"/>
  <c r="G15" i="46"/>
  <c r="H41" i="46"/>
  <c r="I327" i="7"/>
  <c r="I46" i="7"/>
  <c r="I48" i="7" s="1"/>
  <c r="I24" i="34"/>
  <c r="H15" i="46"/>
  <c r="K526" i="50"/>
  <c r="K528" i="50"/>
  <c r="K530" i="50"/>
  <c r="K529" i="50"/>
  <c r="Z531" i="50" s="1"/>
  <c r="K543" i="50"/>
  <c r="K545" i="50"/>
  <c r="K547" i="50"/>
  <c r="K546" i="50"/>
  <c r="Z548" i="50" s="1"/>
  <c r="H315" i="7"/>
  <c r="H319" i="7"/>
  <c r="H40" i="7" s="1"/>
  <c r="J526" i="50"/>
  <c r="J529" i="50"/>
  <c r="Z530" i="50" s="1"/>
  <c r="J528" i="50"/>
  <c r="J530" i="50"/>
  <c r="J543" i="50"/>
  <c r="J547" i="50"/>
  <c r="J545" i="50"/>
  <c r="J546" i="50"/>
  <c r="Z547" i="50" s="1"/>
  <c r="I24" i="45"/>
  <c r="I319" i="7"/>
  <c r="I40" i="7" s="1"/>
  <c r="I315" i="7"/>
  <c r="K23" i="50"/>
  <c r="K24" i="50" s="1"/>
  <c r="H24" i="45"/>
  <c r="K560" i="50"/>
  <c r="K564" i="50"/>
  <c r="K563" i="50"/>
  <c r="Z565" i="50" s="1"/>
  <c r="K562" i="50"/>
  <c r="K509" i="50"/>
  <c r="K513" i="50"/>
  <c r="K512" i="50"/>
  <c r="Z514" i="50" s="1"/>
  <c r="K511" i="50"/>
  <c r="K577" i="50"/>
  <c r="K580" i="50"/>
  <c r="Z582" i="50" s="1"/>
  <c r="K579" i="50"/>
  <c r="K581" i="50"/>
  <c r="J560" i="50"/>
  <c r="J564" i="50"/>
  <c r="J563" i="50"/>
  <c r="Z564" i="50" s="1"/>
  <c r="J562" i="50"/>
  <c r="J509" i="50"/>
  <c r="J513" i="50"/>
  <c r="J512" i="50"/>
  <c r="Z513" i="50" s="1"/>
  <c r="J511" i="50"/>
  <c r="J577" i="50"/>
  <c r="J579" i="50"/>
  <c r="J581" i="50"/>
  <c r="J580" i="50"/>
  <c r="Z581" i="50" s="1"/>
  <c r="H24" i="43"/>
  <c r="G32" i="46"/>
  <c r="G34" i="46" s="1"/>
  <c r="H327" i="7"/>
  <c r="H46" i="7"/>
  <c r="J23" i="50"/>
  <c r="J24" i="50" s="1"/>
  <c r="Y23" i="50" s="1"/>
  <c r="G38" i="7"/>
  <c r="AX43" i="14"/>
  <c r="AX46" i="14"/>
  <c r="AX7" i="14"/>
  <c r="AX8" i="14"/>
  <c r="AX12" i="14"/>
  <c r="AX9" i="14"/>
  <c r="AX10" i="14"/>
  <c r="AX11" i="14"/>
  <c r="AX14" i="14"/>
  <c r="AX13" i="14"/>
  <c r="AX15" i="14"/>
  <c r="AX16" i="14"/>
  <c r="AX17" i="14"/>
  <c r="AX18" i="14"/>
  <c r="AX19" i="14"/>
  <c r="AX21" i="14"/>
  <c r="AX20" i="14"/>
  <c r="AX22" i="14"/>
  <c r="AX23" i="14"/>
  <c r="AX24" i="14"/>
  <c r="AX25" i="14"/>
  <c r="AX27" i="14"/>
  <c r="AX26" i="14"/>
  <c r="AX28" i="14"/>
  <c r="AX29" i="14"/>
  <c r="AX30" i="14"/>
  <c r="AX31" i="14"/>
  <c r="AX32" i="14"/>
  <c r="AX34" i="14"/>
  <c r="AX33" i="14"/>
  <c r="AX35" i="14"/>
  <c r="AX38" i="14"/>
  <c r="AX36" i="14"/>
  <c r="AX37" i="14"/>
  <c r="AX39" i="14"/>
  <c r="AX41" i="14"/>
  <c r="AX40" i="14"/>
  <c r="AX42" i="14"/>
  <c r="AX45" i="14"/>
  <c r="A1" i="43" l="1"/>
  <c r="C23" i="1" s="1"/>
  <c r="H23" i="1" s="1"/>
  <c r="G17" i="46"/>
  <c r="G24" i="46" s="1"/>
  <c r="A1" i="45"/>
  <c r="C26" i="1" s="1"/>
  <c r="H26" i="1" s="1"/>
  <c r="H18" i="7"/>
  <c r="H27" i="7" s="1"/>
  <c r="I18" i="7"/>
  <c r="I27" i="7" s="1"/>
  <c r="H297" i="7"/>
  <c r="H306" i="7" s="1"/>
  <c r="I297" i="7"/>
  <c r="I306" i="7" s="1"/>
  <c r="H17" i="46"/>
  <c r="H24" i="46" s="1"/>
  <c r="J53" i="50"/>
  <c r="J54" i="50" s="1"/>
  <c r="K53" i="50"/>
  <c r="K54" i="50" s="1"/>
  <c r="H43" i="46"/>
  <c r="A1" i="44"/>
  <c r="C25" i="1" s="1"/>
  <c r="H25" i="1" s="1"/>
  <c r="H48" i="7"/>
  <c r="L48" i="7"/>
  <c r="G43" i="46"/>
  <c r="L1" i="45"/>
  <c r="I317" i="7"/>
  <c r="I36" i="7"/>
  <c r="I38" i="7" s="1"/>
  <c r="A1" i="34"/>
  <c r="L1" i="43"/>
  <c r="J17" i="50"/>
  <c r="J18" i="50" s="1"/>
  <c r="K17" i="50"/>
  <c r="K18" i="50" s="1"/>
  <c r="K26" i="50" s="1"/>
  <c r="H317" i="7"/>
  <c r="H36" i="7"/>
  <c r="AY8" i="14"/>
  <c r="AU8" i="14" s="1"/>
  <c r="E31" i="50" s="1"/>
  <c r="AY10" i="14"/>
  <c r="AU10" i="14" s="1"/>
  <c r="E33" i="50" s="1"/>
  <c r="AY12" i="14"/>
  <c r="AU12" i="14" s="1"/>
  <c r="E35" i="50" s="1"/>
  <c r="AY14" i="14"/>
  <c r="AU14" i="14" s="1"/>
  <c r="E37" i="50" s="1"/>
  <c r="AY16" i="14"/>
  <c r="AU16" i="14" s="1"/>
  <c r="E39" i="50" s="1"/>
  <c r="AY18" i="14"/>
  <c r="AU18" i="14" s="1"/>
  <c r="E41" i="50" s="1"/>
  <c r="AY20" i="14"/>
  <c r="AU20" i="14" s="1"/>
  <c r="E43" i="50" s="1"/>
  <c r="AY22" i="14"/>
  <c r="AU22" i="14" s="1"/>
  <c r="E45" i="50" s="1"/>
  <c r="AY24" i="14"/>
  <c r="AU24" i="14" s="1"/>
  <c r="E47" i="50" s="1"/>
  <c r="AY26" i="14"/>
  <c r="AU26" i="14" s="1"/>
  <c r="E49" i="50" s="1"/>
  <c r="AY28" i="14"/>
  <c r="AU28" i="14" s="1"/>
  <c r="AY30" i="14"/>
  <c r="AU30" i="14" s="1"/>
  <c r="AY32" i="14"/>
  <c r="AU32" i="14" s="1"/>
  <c r="AY34" i="14"/>
  <c r="AU34" i="14" s="1"/>
  <c r="AY36" i="14"/>
  <c r="AU36" i="14" s="1"/>
  <c r="AY38" i="14"/>
  <c r="AU38" i="14" s="1"/>
  <c r="AY40" i="14"/>
  <c r="AU40" i="14" s="1"/>
  <c r="AY42" i="14"/>
  <c r="AU42" i="14" s="1"/>
  <c r="AY44" i="14"/>
  <c r="AU44" i="14" s="1"/>
  <c r="AY46" i="14"/>
  <c r="AU46" i="14" s="1"/>
  <c r="AY9" i="14"/>
  <c r="AU9" i="14" s="1"/>
  <c r="E32" i="50" s="1"/>
  <c r="AY11" i="14"/>
  <c r="AU11" i="14" s="1"/>
  <c r="E34" i="50" s="1"/>
  <c r="AY13" i="14"/>
  <c r="AU13" i="14" s="1"/>
  <c r="E36" i="50" s="1"/>
  <c r="AY15" i="14"/>
  <c r="AU15" i="14" s="1"/>
  <c r="E38" i="50" s="1"/>
  <c r="AY17" i="14"/>
  <c r="AU17" i="14" s="1"/>
  <c r="E40" i="50" s="1"/>
  <c r="AY19" i="14"/>
  <c r="AU19" i="14" s="1"/>
  <c r="E42" i="50" s="1"/>
  <c r="AY21" i="14"/>
  <c r="AU21" i="14" s="1"/>
  <c r="E44" i="50" s="1"/>
  <c r="AY23" i="14"/>
  <c r="AU23" i="14" s="1"/>
  <c r="E46" i="50" s="1"/>
  <c r="AY25" i="14"/>
  <c r="AU25" i="14" s="1"/>
  <c r="E48" i="50" s="1"/>
  <c r="AY27" i="14"/>
  <c r="AU27" i="14" s="1"/>
  <c r="AY29" i="14"/>
  <c r="AU29" i="14" s="1"/>
  <c r="AY31" i="14"/>
  <c r="AU31" i="14" s="1"/>
  <c r="AY33" i="14"/>
  <c r="AU33" i="14" s="1"/>
  <c r="AY35" i="14"/>
  <c r="AU35" i="14" s="1"/>
  <c r="AY37" i="14"/>
  <c r="AU37" i="14" s="1"/>
  <c r="AY39" i="14"/>
  <c r="AU39" i="14" s="1"/>
  <c r="AY41" i="14"/>
  <c r="AU41" i="14" s="1"/>
  <c r="AY43" i="14"/>
  <c r="AU43" i="14" s="1"/>
  <c r="AY45" i="14"/>
  <c r="AU45" i="14" s="1"/>
  <c r="AY7" i="14"/>
  <c r="AU7" i="14" s="1"/>
  <c r="E30" i="50" s="1"/>
  <c r="G35" i="46" l="1"/>
  <c r="K19" i="46" s="1"/>
  <c r="H35" i="46"/>
  <c r="L1" i="44"/>
  <c r="A1" i="46"/>
  <c r="H38" i="7"/>
  <c r="A1" i="7" s="1"/>
  <c r="C28" i="1" s="1"/>
  <c r="H28" i="1" s="1"/>
  <c r="L38" i="7"/>
  <c r="L49" i="7" s="1"/>
  <c r="AA1" i="7" s="1"/>
  <c r="H21" i="41" s="1"/>
  <c r="N22" i="41" s="1"/>
  <c r="E41" i="41" s="1"/>
  <c r="J26" i="50"/>
  <c r="A1" i="50" s="1"/>
  <c r="C29" i="1" s="1"/>
  <c r="H29" i="1" s="1"/>
  <c r="Y19" i="50"/>
  <c r="Y24" i="50" s="1"/>
  <c r="V1" i="50" s="1"/>
  <c r="H19" i="41" s="1"/>
  <c r="N21" i="41" s="1"/>
  <c r="E40" i="41" s="1"/>
  <c r="C22" i="1"/>
  <c r="H22" i="1" s="1"/>
  <c r="L1" i="34"/>
  <c r="F30" i="50"/>
  <c r="I30" i="50"/>
  <c r="J30" i="50"/>
  <c r="H30" i="50"/>
  <c r="K30" i="50"/>
  <c r="G30" i="50"/>
  <c r="F46" i="50"/>
  <c r="G46" i="50"/>
  <c r="H46" i="50"/>
  <c r="I46" i="50"/>
  <c r="J46" i="50"/>
  <c r="K46" i="50"/>
  <c r="F42" i="50"/>
  <c r="G42" i="50"/>
  <c r="H42" i="50"/>
  <c r="I42" i="50"/>
  <c r="J42" i="50"/>
  <c r="K42" i="50"/>
  <c r="F38" i="50"/>
  <c r="G38" i="50"/>
  <c r="H38" i="50"/>
  <c r="I38" i="50"/>
  <c r="J38" i="50"/>
  <c r="K38" i="50"/>
  <c r="F34" i="50"/>
  <c r="G34" i="50"/>
  <c r="H34" i="50"/>
  <c r="I34" i="50"/>
  <c r="J34" i="50"/>
  <c r="K34" i="50"/>
  <c r="F49" i="50"/>
  <c r="G49" i="50"/>
  <c r="H49" i="50"/>
  <c r="I49" i="50"/>
  <c r="J49" i="50"/>
  <c r="K49" i="50"/>
  <c r="F45" i="50"/>
  <c r="G45" i="50"/>
  <c r="H45" i="50"/>
  <c r="I45" i="50"/>
  <c r="J45" i="50"/>
  <c r="K45" i="50"/>
  <c r="F41" i="50"/>
  <c r="G41" i="50"/>
  <c r="H41" i="50"/>
  <c r="I41" i="50"/>
  <c r="J41" i="50"/>
  <c r="K41" i="50"/>
  <c r="F37" i="50"/>
  <c r="G37" i="50"/>
  <c r="H37" i="50"/>
  <c r="I37" i="50"/>
  <c r="J37" i="50"/>
  <c r="K37" i="50"/>
  <c r="F33" i="50"/>
  <c r="G33" i="50"/>
  <c r="H33" i="50"/>
  <c r="I33" i="50"/>
  <c r="J33" i="50"/>
  <c r="K33" i="50"/>
  <c r="F48" i="50"/>
  <c r="G48" i="50"/>
  <c r="H48" i="50"/>
  <c r="I48" i="50"/>
  <c r="J48" i="50"/>
  <c r="K48" i="50"/>
  <c r="F44" i="50"/>
  <c r="G44" i="50"/>
  <c r="H44" i="50"/>
  <c r="I44" i="50"/>
  <c r="J44" i="50"/>
  <c r="K44" i="50"/>
  <c r="F40" i="50"/>
  <c r="G40" i="50"/>
  <c r="H40" i="50"/>
  <c r="I40" i="50"/>
  <c r="J40" i="50"/>
  <c r="K40" i="50"/>
  <c r="F36" i="50"/>
  <c r="G36" i="50"/>
  <c r="H36" i="50"/>
  <c r="I36" i="50"/>
  <c r="J36" i="50"/>
  <c r="K36" i="50"/>
  <c r="K32" i="50"/>
  <c r="F32" i="50"/>
  <c r="J32" i="50"/>
  <c r="G32" i="50"/>
  <c r="H32" i="50"/>
  <c r="I32" i="50"/>
  <c r="F47" i="50"/>
  <c r="G47" i="50"/>
  <c r="H47" i="50"/>
  <c r="I47" i="50"/>
  <c r="J47" i="50"/>
  <c r="K47" i="50"/>
  <c r="F43" i="50"/>
  <c r="G43" i="50"/>
  <c r="H43" i="50"/>
  <c r="I43" i="50"/>
  <c r="J43" i="50"/>
  <c r="K43" i="50"/>
  <c r="F39" i="50"/>
  <c r="G39" i="50"/>
  <c r="H39" i="50"/>
  <c r="I39" i="50"/>
  <c r="J39" i="50"/>
  <c r="K39" i="50"/>
  <c r="F35" i="50"/>
  <c r="G35" i="50"/>
  <c r="H35" i="50"/>
  <c r="I35" i="50"/>
  <c r="J35" i="50"/>
  <c r="K35" i="50"/>
  <c r="F31" i="50"/>
  <c r="G31" i="50"/>
  <c r="K31" i="50"/>
  <c r="I31" i="50"/>
  <c r="J31" i="50"/>
  <c r="H31" i="50"/>
  <c r="Q30" i="50"/>
  <c r="Q46" i="50"/>
  <c r="Q42" i="50"/>
  <c r="Q38" i="50"/>
  <c r="Q34" i="50"/>
  <c r="Q49" i="50"/>
  <c r="Q45" i="50"/>
  <c r="Q41" i="50"/>
  <c r="Q37" i="50"/>
  <c r="Q33" i="50"/>
  <c r="Q48" i="50"/>
  <c r="Q44" i="50"/>
  <c r="Q40" i="50"/>
  <c r="Q36" i="50"/>
  <c r="Q32" i="50"/>
  <c r="Q47" i="50"/>
  <c r="Q43" i="50"/>
  <c r="Q39" i="50"/>
  <c r="Q35" i="50"/>
  <c r="Q31" i="50"/>
  <c r="K17" i="46" l="1"/>
  <c r="M1" i="46" s="1"/>
  <c r="H16" i="41" s="1"/>
  <c r="N16" i="41" s="1"/>
  <c r="U31" i="50"/>
  <c r="R31" i="50"/>
  <c r="V31" i="50"/>
  <c r="S31" i="50"/>
  <c r="T31" i="50"/>
  <c r="R39" i="50"/>
  <c r="S39" i="50"/>
  <c r="T39" i="50"/>
  <c r="U39" i="50"/>
  <c r="V39" i="50"/>
  <c r="R47" i="50"/>
  <c r="S47" i="50"/>
  <c r="T47" i="50"/>
  <c r="U47" i="50"/>
  <c r="V47" i="50"/>
  <c r="R36" i="50"/>
  <c r="S36" i="50"/>
  <c r="T36" i="50"/>
  <c r="U36" i="50"/>
  <c r="V36" i="50"/>
  <c r="R44" i="50"/>
  <c r="S44" i="50"/>
  <c r="T44" i="50"/>
  <c r="U44" i="50"/>
  <c r="V44" i="50"/>
  <c r="R33" i="50"/>
  <c r="S33" i="50"/>
  <c r="T33" i="50"/>
  <c r="U33" i="50"/>
  <c r="V33" i="50"/>
  <c r="R41" i="50"/>
  <c r="S41" i="50"/>
  <c r="T41" i="50"/>
  <c r="U41" i="50"/>
  <c r="V41" i="50"/>
  <c r="R49" i="50"/>
  <c r="S49" i="50"/>
  <c r="T49" i="50"/>
  <c r="U49" i="50"/>
  <c r="V49" i="50"/>
  <c r="R38" i="50"/>
  <c r="S38" i="50"/>
  <c r="T38" i="50"/>
  <c r="U38" i="50"/>
  <c r="V38" i="50"/>
  <c r="R46" i="50"/>
  <c r="S46" i="50"/>
  <c r="T46" i="50"/>
  <c r="U46" i="50"/>
  <c r="V46" i="50"/>
  <c r="R35" i="50"/>
  <c r="S35" i="50"/>
  <c r="T35" i="50"/>
  <c r="U35" i="50"/>
  <c r="V35" i="50"/>
  <c r="R43" i="50"/>
  <c r="S43" i="50"/>
  <c r="T43" i="50"/>
  <c r="U43" i="50"/>
  <c r="V43" i="50"/>
  <c r="R32" i="50"/>
  <c r="V32" i="50"/>
  <c r="U32" i="50"/>
  <c r="T32" i="50"/>
  <c r="S32" i="50"/>
  <c r="R40" i="50"/>
  <c r="S40" i="50"/>
  <c r="T40" i="50"/>
  <c r="U40" i="50"/>
  <c r="V40" i="50"/>
  <c r="R48" i="50"/>
  <c r="S48" i="50"/>
  <c r="T48" i="50"/>
  <c r="U48" i="50"/>
  <c r="V48" i="50"/>
  <c r="R37" i="50"/>
  <c r="S37" i="50"/>
  <c r="T37" i="50"/>
  <c r="U37" i="50"/>
  <c r="V37" i="50"/>
  <c r="R45" i="50"/>
  <c r="S45" i="50"/>
  <c r="T45" i="50"/>
  <c r="U45" i="50"/>
  <c r="V45" i="50"/>
  <c r="R34" i="50"/>
  <c r="S34" i="50"/>
  <c r="T34" i="50"/>
  <c r="U34" i="50"/>
  <c r="V34" i="50"/>
  <c r="R42" i="50"/>
  <c r="S42" i="50"/>
  <c r="T42" i="50"/>
  <c r="U42" i="50"/>
  <c r="V42" i="50"/>
  <c r="R30" i="50"/>
  <c r="T30" i="50"/>
  <c r="V30" i="50"/>
  <c r="S30" i="50"/>
  <c r="U30" i="50"/>
  <c r="E38" i="41" l="1"/>
  <c r="E37" i="41"/>
  <c r="E30" i="41" l="1"/>
  <c r="E29" i="47"/>
  <c r="E8" i="47" l="1"/>
  <c r="AL7" i="14" s="1"/>
  <c r="A1" i="47"/>
  <c r="X1" i="47" l="1"/>
  <c r="C30" i="1"/>
  <c r="H30" i="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K16" authorId="0" shapeId="0" xr:uid="{00000000-0006-0000-0100-000001000000}">
      <text>
        <r>
          <rPr>
            <b/>
            <sz val="8"/>
            <color indexed="81"/>
            <rFont val="Tahoma"/>
            <family val="2"/>
          </rPr>
          <t>Note:</t>
        </r>
        <r>
          <rPr>
            <sz val="8"/>
            <color indexed="81"/>
            <rFont val="Tahoma"/>
            <family val="2"/>
          </rPr>
          <t xml:space="preserve">
This is what the cost to the patient (at the PUBLISHED price) would be for a standard course of treatment (episodic treatments) or a year of therapy (chronic or extended treatments) if the medicine was not subsidised on the PBS.</t>
        </r>
      </text>
    </comment>
    <comment ref="K17" authorId="0" shapeId="0" xr:uid="{00000000-0006-0000-0100-000002000000}">
      <text>
        <r>
          <rPr>
            <b/>
            <sz val="8"/>
            <color indexed="81"/>
            <rFont val="Tahoma"/>
            <family val="2"/>
          </rPr>
          <t>Note:</t>
        </r>
        <r>
          <rPr>
            <sz val="8"/>
            <color indexed="81"/>
            <rFont val="Tahoma"/>
            <family val="2"/>
          </rPr>
          <t xml:space="preserve">
This is what the cost to the patient (at the EFFECTIVE price) would be for a standard course of treatment (episodic treatments) or a year of therapy (chronic or extended treatments) if the medicine was not subsidised on the PBS.</t>
        </r>
      </text>
    </comment>
    <comment ref="G18" authorId="0" shapeId="0" xr:uid="{00000000-0006-0000-0100-000003000000}">
      <text>
        <r>
          <rPr>
            <b/>
            <sz val="8"/>
            <color indexed="81"/>
            <rFont val="Tahoma"/>
            <family val="2"/>
          </rPr>
          <t>Note:</t>
        </r>
        <r>
          <rPr>
            <sz val="8"/>
            <color indexed="81"/>
            <rFont val="Tahoma"/>
            <family val="2"/>
          </rPr>
          <t xml:space="preserve">
If the DVA population is not explicitly projected in the model then the declining population </t>
        </r>
        <r>
          <rPr>
            <b/>
            <sz val="8"/>
            <color indexed="81"/>
            <rFont val="Tahoma"/>
            <family val="2"/>
          </rPr>
          <t>SHOULD</t>
        </r>
        <r>
          <rPr>
            <sz val="8"/>
            <color indexed="81"/>
            <rFont val="Tahoma"/>
            <family val="2"/>
          </rPr>
          <t xml:space="preserve"> be used.
If the DVA population is explicitly projected in the model then the declining population </t>
        </r>
        <r>
          <rPr>
            <b/>
            <sz val="8"/>
            <color indexed="81"/>
            <rFont val="Tahoma"/>
            <family val="2"/>
          </rPr>
          <t>SHOULD NOT</t>
        </r>
        <r>
          <rPr>
            <sz val="8"/>
            <color indexed="81"/>
            <rFont val="Tahoma"/>
            <family val="2"/>
          </rPr>
          <t xml:space="preserve"> be used.</t>
        </r>
      </text>
    </comment>
    <comment ref="E405" authorId="0" shapeId="0" xr:uid="{00000000-0006-0000-0100-000004000000}">
      <text>
        <r>
          <rPr>
            <b/>
            <sz val="8"/>
            <color indexed="81"/>
            <rFont val="Tahoma"/>
            <family val="2"/>
          </rPr>
          <t>Note:</t>
        </r>
        <r>
          <rPr>
            <sz val="8"/>
            <color indexed="81"/>
            <rFont val="Tahoma"/>
            <family val="2"/>
          </rPr>
          <t xml:space="preserve">
Explanation of the method of calculating the cost to a patient per year or course of treatment e.g.
(365.25 / 28 x Medicine A DPMQ) +
(365.25 / 30 * Medicine B DPMQ).</t>
        </r>
      </text>
    </comment>
    <comment ref="H405" authorId="0" shapeId="0" xr:uid="{00000000-0006-0000-0100-000005000000}">
      <text>
        <r>
          <rPr>
            <b/>
            <sz val="8"/>
            <color indexed="81"/>
            <rFont val="Tahoma"/>
            <family val="2"/>
          </rPr>
          <t>Note:</t>
        </r>
        <r>
          <rPr>
            <sz val="8"/>
            <color indexed="81"/>
            <rFont val="Tahoma"/>
            <family val="2"/>
          </rPr>
          <t xml:space="preserve">
This is the duration of a standard treatment period:
* Chronic (open ended treatment)
* Extended (finite - greater than 12 months)
* Episodic (finite - less than 12 months).</t>
        </r>
      </text>
    </comment>
  </commentList>
</comments>
</file>

<file path=xl/sharedStrings.xml><?xml version="1.0" encoding="utf-8"?>
<sst xmlns="http://schemas.openxmlformats.org/spreadsheetml/2006/main" count="5370" uniqueCount="1307">
  <si>
    <t>PBS</t>
  </si>
  <si>
    <t>RPBS</t>
  </si>
  <si>
    <t>Introduction</t>
  </si>
  <si>
    <t>Guidance</t>
  </si>
  <si>
    <t>Cells</t>
  </si>
  <si>
    <t>Data</t>
  </si>
  <si>
    <t>Extra sheets added</t>
  </si>
  <si>
    <t>Minor</t>
  </si>
  <si>
    <t>Yes</t>
  </si>
  <si>
    <t>No</t>
  </si>
  <si>
    <t>Number of patients</t>
  </si>
  <si>
    <t>Output cells</t>
  </si>
  <si>
    <t>Table of contents</t>
  </si>
  <si>
    <t>Data source</t>
  </si>
  <si>
    <t>Relevance to Australian setting</t>
  </si>
  <si>
    <t>Category of data</t>
  </si>
  <si>
    <t>Link to worksheet</t>
  </si>
  <si>
    <t>Data summary #1</t>
  </si>
  <si>
    <t>Data summary #2</t>
  </si>
  <si>
    <t>Data summary #3</t>
  </si>
  <si>
    <t>Data summary #4</t>
  </si>
  <si>
    <t>Data summary #5</t>
  </si>
  <si>
    <t>Data summary #6</t>
  </si>
  <si>
    <t>Please outline all data used and calculations in the space below.</t>
  </si>
  <si>
    <t>Please outline all methods and assumptions used to estimate the net changes in the space below.</t>
  </si>
  <si>
    <t>Copies of data</t>
  </si>
  <si>
    <t>Estimated annual rate of growth</t>
  </si>
  <si>
    <t>3. Methods and assumptions</t>
  </si>
  <si>
    <t>The following table summarises the results of your estimate.</t>
  </si>
  <si>
    <t>Make sure to include all calculations performed, including methods and assumptions used, in the space provided in each spreadsheet.</t>
  </si>
  <si>
    <t>When entering prices, use constant values, do not use a discount rate and assume a zero inflation rate.</t>
  </si>
  <si>
    <t>Description and purpose of data</t>
  </si>
  <si>
    <t>Utilisation and Cost Model Workbook</t>
  </si>
  <si>
    <t>Proportion applicable to indication</t>
  </si>
  <si>
    <t>Proportion of public hospital use</t>
  </si>
  <si>
    <t>ATC code - Level 1</t>
  </si>
  <si>
    <t>ATC code - Level 2</t>
  </si>
  <si>
    <t>ATC code - Level 3</t>
  </si>
  <si>
    <t>ATC code - Level 4</t>
  </si>
  <si>
    <t>ATC code - Level 5</t>
  </si>
  <si>
    <t>Unrestricted</t>
  </si>
  <si>
    <t>Restricted</t>
  </si>
  <si>
    <t>AR - Streamlined</t>
  </si>
  <si>
    <t>AR - Telephone</t>
  </si>
  <si>
    <t>Financial Impact</t>
  </si>
  <si>
    <t>PBS impact:</t>
  </si>
  <si>
    <t>Nil</t>
  </si>
  <si>
    <t>RPBS impact:</t>
  </si>
  <si>
    <t>Programme</t>
  </si>
  <si>
    <t>Submission</t>
  </si>
  <si>
    <t>Switch</t>
  </si>
  <si>
    <t>Population</t>
  </si>
  <si>
    <t>Epidemiology</t>
  </si>
  <si>
    <t>Market share</t>
  </si>
  <si>
    <t>Other</t>
  </si>
  <si>
    <t>Mixed model</t>
  </si>
  <si>
    <t>Treatment phase</t>
  </si>
  <si>
    <t>Listing</t>
  </si>
  <si>
    <t>Calculation</t>
  </si>
  <si>
    <t>Initial</t>
  </si>
  <si>
    <t>New</t>
  </si>
  <si>
    <t>Continuing</t>
  </si>
  <si>
    <t>Amended</t>
  </si>
  <si>
    <t>Extended</t>
  </si>
  <si>
    <t>Analysis</t>
  </si>
  <si>
    <t>High cost</t>
  </si>
  <si>
    <t>Cost</t>
  </si>
  <si>
    <t>Cost-effectiveness</t>
  </si>
  <si>
    <t>Minor cost</t>
  </si>
  <si>
    <t>Save</t>
  </si>
  <si>
    <t>Cost-minimisation</t>
  </si>
  <si>
    <t>Minor save</t>
  </si>
  <si>
    <t>High save</t>
  </si>
  <si>
    <t>Total</t>
  </si>
  <si>
    <t>Co-payment</t>
  </si>
  <si>
    <t>Proportion of private hospital use</t>
  </si>
  <si>
    <t>Proportion of out-patient services</t>
  </si>
  <si>
    <t>General Information</t>
  </si>
  <si>
    <t xml:space="preserve">For all sources of data used in this workbook, please provide details of the data in the following table.  </t>
  </si>
  <si>
    <t>Please do not link any data in additional spreadsheets to other spreadsheets in the workbook.</t>
  </si>
  <si>
    <t>1. Overview</t>
  </si>
  <si>
    <t>Estimate the net change in the number of each type of affected MBS Item.</t>
  </si>
  <si>
    <t>Form, strength and pack size</t>
  </si>
  <si>
    <t>Cost to PBS</t>
  </si>
  <si>
    <t>Cost to RPBS</t>
  </si>
  <si>
    <t>Net cost to PBS</t>
  </si>
  <si>
    <t>Net cost to RPBS</t>
  </si>
  <si>
    <t>Eligible patients (#)</t>
  </si>
  <si>
    <t>Patients electing treatment (%)</t>
  </si>
  <si>
    <t>Prevalent population</t>
  </si>
  <si>
    <t>First year</t>
  </si>
  <si>
    <t>General - Ordinary Services</t>
  </si>
  <si>
    <t>General - Safety Net Services</t>
  </si>
  <si>
    <t>Concessional - Ordinary Services</t>
  </si>
  <si>
    <t>Concessional - Free Services</t>
  </si>
  <si>
    <t>RPBS - Ordinary Services</t>
  </si>
  <si>
    <t>RPBS - Safety Net Services</t>
  </si>
  <si>
    <t>Total Services</t>
  </si>
  <si>
    <t>Total PBS</t>
  </si>
  <si>
    <t>Total RPBS</t>
  </si>
  <si>
    <t>RPBS Services</t>
  </si>
  <si>
    <t>PBS Services</t>
  </si>
  <si>
    <t>PBS %</t>
  </si>
  <si>
    <t>RPBS %</t>
  </si>
  <si>
    <t>Net effect - PBS</t>
  </si>
  <si>
    <t>Net effect - RPBS</t>
  </si>
  <si>
    <t>Item code</t>
  </si>
  <si>
    <t>Form / Strength</t>
  </si>
  <si>
    <t>Less co-payments</t>
  </si>
  <si>
    <t>AEMP</t>
  </si>
  <si>
    <t>Patient source</t>
  </si>
  <si>
    <t xml:space="preserve">Estimated script volume </t>
  </si>
  <si>
    <t>Epidemology</t>
  </si>
  <si>
    <t>Incidence Rate (%)</t>
  </si>
  <si>
    <t>Incidence X:100,000</t>
  </si>
  <si>
    <t>Incidence (#)</t>
  </si>
  <si>
    <t>Pack size</t>
  </si>
  <si>
    <t>Authority</t>
  </si>
  <si>
    <t>Authority type</t>
  </si>
  <si>
    <t>PBS scripts</t>
  </si>
  <si>
    <t>RPBS scripts</t>
  </si>
  <si>
    <t>PBS authorities</t>
  </si>
  <si>
    <t>RPBS authorities</t>
  </si>
  <si>
    <t>Total scripts</t>
  </si>
  <si>
    <t>Substitution rate</t>
  </si>
  <si>
    <t>Data Sources</t>
  </si>
  <si>
    <t>Disease epidemiological</t>
  </si>
  <si>
    <t>Pharmacoepidemiological</t>
  </si>
  <si>
    <t>Market data</t>
  </si>
  <si>
    <t>Commissioned</t>
  </si>
  <si>
    <t>Net change in PBS</t>
  </si>
  <si>
    <t>Net change in RPBS</t>
  </si>
  <si>
    <t>Authorities</t>
  </si>
  <si>
    <t>Per patient</t>
  </si>
  <si>
    <t>Per script</t>
  </si>
  <si>
    <t>Script equivalence</t>
  </si>
  <si>
    <t>MBS:</t>
  </si>
  <si>
    <t>Line by line</t>
  </si>
  <si>
    <t>Price change</t>
  </si>
  <si>
    <t>C</t>
  </si>
  <si>
    <t>S</t>
  </si>
  <si>
    <t>N</t>
  </si>
  <si>
    <t>Reporting</t>
  </si>
  <si>
    <t>Overall - nil:</t>
  </si>
  <si>
    <t>As there are no financial impacts for any portfolio agency, there is no financial impact for the Commonwealth.</t>
  </si>
  <si>
    <t>Price increase:</t>
  </si>
  <si>
    <t>As there is an increased financial impact for the PBS/RPBS and no impact for other portfolio agencies, there is a increased financial impact for the Commonwealth.</t>
  </si>
  <si>
    <t>Additional data</t>
  </si>
  <si>
    <t>Price decrease:</t>
  </si>
  <si>
    <t>As there is a reduced financial impact for the PBS/RPBS and no impact for other portfolio agencies, there is a reduced financial impact for the Commonwealth.</t>
  </si>
  <si>
    <t>Complex</t>
  </si>
  <si>
    <t>PBS - nil:</t>
  </si>
  <si>
    <t>RPBS - nil:</t>
  </si>
  <si>
    <t>As there is no testing or medical imaging associated with this listing, there is no impact on the MBS.</t>
  </si>
  <si>
    <t>GE</t>
  </si>
  <si>
    <t>CA</t>
  </si>
  <si>
    <t>Community Access</t>
  </si>
  <si>
    <t>CT</t>
  </si>
  <si>
    <t>S100 EFC related</t>
  </si>
  <si>
    <t>DB</t>
  </si>
  <si>
    <t>GH</t>
  </si>
  <si>
    <t>S100 Human Growth Hormone</t>
  </si>
  <si>
    <t>HB</t>
  </si>
  <si>
    <t>S100 HSD - Public</t>
  </si>
  <si>
    <t>HS</t>
  </si>
  <si>
    <t>S100 HSD - Private</t>
  </si>
  <si>
    <t>Grandfathered</t>
  </si>
  <si>
    <t>IF</t>
  </si>
  <si>
    <t>S100 IVF/GIFT</t>
  </si>
  <si>
    <t>IN</t>
  </si>
  <si>
    <t>S100 EFC - Private</t>
  </si>
  <si>
    <t>IP</t>
  </si>
  <si>
    <t>S100 EFC - Public</t>
  </si>
  <si>
    <t>MD</t>
  </si>
  <si>
    <t>S100 Opiate Dep</t>
  </si>
  <si>
    <t>Balance of supply</t>
  </si>
  <si>
    <t>Cost Types - General</t>
  </si>
  <si>
    <t>MF</t>
  </si>
  <si>
    <t>S100 Botox</t>
  </si>
  <si>
    <t>PL</t>
  </si>
  <si>
    <t>Palliative Care</t>
  </si>
  <si>
    <t>PQ</t>
  </si>
  <si>
    <t>S100 Para/Quad</t>
  </si>
  <si>
    <t>R1</t>
  </si>
  <si>
    <t>TY</t>
  </si>
  <si>
    <t>S100 EFC - Trastuzumab Priv</t>
  </si>
  <si>
    <t>Cost Types - PBS</t>
  </si>
  <si>
    <t>TZ</t>
  </si>
  <si>
    <t>S100 EFC - Trastuzumab Pub</t>
  </si>
  <si>
    <t>PBAC Meeting</t>
  </si>
  <si>
    <t>MaxQ</t>
  </si>
  <si>
    <t>Incident patients</t>
  </si>
  <si>
    <t>Prevalent patients</t>
  </si>
  <si>
    <t>Include sources for all values, "assumption" is not sufficient, please provide the basis for the assumption</t>
  </si>
  <si>
    <t>Structure of the model</t>
  </si>
  <si>
    <t>Identify the script source</t>
  </si>
  <si>
    <t>Eligibility</t>
  </si>
  <si>
    <t>Messages</t>
  </si>
  <si>
    <t>** NOT USED **</t>
  </si>
  <si>
    <t>Portfolio agencies</t>
  </si>
  <si>
    <t>The price increase associated with this listing results in an increased financial impact for the PBS.</t>
  </si>
  <si>
    <t>The price decrease associated with this listing results in a reduced financial impact for the PBS.</t>
  </si>
  <si>
    <t>The price increase associated with this listing results in an increased financial impact for the RPBS.</t>
  </si>
  <si>
    <t>The price decrease associated with this listing results in a reduced financial impact for the RPBS.</t>
  </si>
  <si>
    <t>Overall eligibility (%)</t>
  </si>
  <si>
    <t>Comparator / clinical trials</t>
  </si>
  <si>
    <t>Economics / SPA / RSA</t>
  </si>
  <si>
    <t>Patients count / costs</t>
  </si>
  <si>
    <t>Outline all steps taken to calculate the estimated number of patients in the space below.</t>
  </si>
  <si>
    <t>Regulatory information</t>
  </si>
  <si>
    <t>Include references to all data used as well as justifications for your approach and be sure to include a source for each line of working.</t>
  </si>
  <si>
    <t>Please complete a separate copy of the following template for each PBS Item Code listed in the table above.</t>
  </si>
  <si>
    <t>Optional cells not used</t>
  </si>
  <si>
    <t>Aggregate volumes</t>
  </si>
  <si>
    <t>PBS script volumes</t>
  </si>
  <si>
    <t>RPBS script volumes</t>
  </si>
  <si>
    <t>PBS treated patients</t>
  </si>
  <si>
    <t>RPBS treated patients</t>
  </si>
  <si>
    <t>PBS current script volumes</t>
  </si>
  <si>
    <t>RPBS current script volumes</t>
  </si>
  <si>
    <t>PBS forecast script volumes</t>
  </si>
  <si>
    <t>RPBS forecast script volumes</t>
  </si>
  <si>
    <t>Overview</t>
  </si>
  <si>
    <t>Estimated total volume of medicine</t>
  </si>
  <si>
    <t>This may include services associated with: eligibility, monitoring, clinical management, AEs or administration of the medicine.</t>
  </si>
  <si>
    <t>Scheduled fee
(100%)</t>
  </si>
  <si>
    <t>The following tables summarises the indicative financial impacts from changes to MBS Items.</t>
  </si>
  <si>
    <t>Calculate the net financial impact of this listing on the PBS and RPBS at both the published and effective prices.</t>
  </si>
  <si>
    <t>1. Summary - published prices</t>
  </si>
  <si>
    <t>New listing</t>
  </si>
  <si>
    <t>Changed listing</t>
  </si>
  <si>
    <t>Persons</t>
  </si>
  <si>
    <t>Age</t>
  </si>
  <si>
    <t>Included ages</t>
  </si>
  <si>
    <t>Male</t>
  </si>
  <si>
    <t>Female</t>
  </si>
  <si>
    <t>Minimum</t>
  </si>
  <si>
    <t>Maximum</t>
  </si>
  <si>
    <t>Scripts</t>
  </si>
  <si>
    <t>Net change in scripts</t>
  </si>
  <si>
    <t>Code</t>
  </si>
  <si>
    <t>EFC</t>
  </si>
  <si>
    <t>Displaced</t>
  </si>
  <si>
    <t>Increase</t>
  </si>
  <si>
    <t>Decrease</t>
  </si>
  <si>
    <t>Expected change</t>
  </si>
  <si>
    <t>Population used</t>
  </si>
  <si>
    <t>TP short</t>
  </si>
  <si>
    <t>TP long</t>
  </si>
  <si>
    <t>Source</t>
  </si>
  <si>
    <t>Worksheet and cell legend</t>
  </si>
  <si>
    <t>Worksheet</t>
  </si>
  <si>
    <t xml:space="preserve">Where necessary, please insert copies of data into this workbook as new spreadsheets after this worksheet. </t>
  </si>
  <si>
    <t>Treatment Phase</t>
  </si>
  <si>
    <t>High cost ($m)</t>
  </si>
  <si>
    <t>Total cost ($m)</t>
  </si>
  <si>
    <t>Impact</t>
  </si>
  <si>
    <t>None</t>
  </si>
  <si>
    <t>Market Impact</t>
  </si>
  <si>
    <t>Adjunctive</t>
  </si>
  <si>
    <t>DoH forecast</t>
  </si>
  <si>
    <t>Data series</t>
  </si>
  <si>
    <t>Epi source</t>
  </si>
  <si>
    <t>ABS</t>
  </si>
  <si>
    <t>AIHW</t>
  </si>
  <si>
    <t>Schedule</t>
  </si>
  <si>
    <t>EFC Listing</t>
  </si>
  <si>
    <t>Non-EFC Listing</t>
  </si>
  <si>
    <t>Authority Type</t>
  </si>
  <si>
    <t>Copays</t>
  </si>
  <si>
    <t>Name</t>
  </si>
  <si>
    <t>One copayment per script</t>
  </si>
  <si>
    <t>Copayment Method</t>
  </si>
  <si>
    <t>Cohort 1</t>
  </si>
  <si>
    <t>Cohort 2</t>
  </si>
  <si>
    <t>Cohort 3</t>
  </si>
  <si>
    <t>Cohort 4</t>
  </si>
  <si>
    <t>Cohort 5</t>
  </si>
  <si>
    <t>Cohort 6</t>
  </si>
  <si>
    <t>A separate workbook should be completed for each indication of the medicine.</t>
  </si>
  <si>
    <t>I</t>
  </si>
  <si>
    <t>IC</t>
  </si>
  <si>
    <t>Tx phase</t>
  </si>
  <si>
    <t>Flow-ons to other medicines</t>
  </si>
  <si>
    <t>Change to listing</t>
  </si>
  <si>
    <t>Item / Medicine</t>
  </si>
  <si>
    <t>Existing listings of this medicine</t>
  </si>
  <si>
    <t>Public</t>
  </si>
  <si>
    <t>Private</t>
  </si>
  <si>
    <t>Include in split</t>
  </si>
  <si>
    <t>Millions</t>
  </si>
  <si>
    <t>Growth</t>
  </si>
  <si>
    <t>Compliance %</t>
  </si>
  <si>
    <t>Derived split</t>
  </si>
  <si>
    <t>The following table summarises the financial impacts for the PBS and RPBS at the effective price.</t>
  </si>
  <si>
    <t>The following table summarises the financial impacts for the PBS and RPBS at the published price.</t>
  </si>
  <si>
    <t>The estimated volume changes to each MBS Item will flow through the following tables.</t>
  </si>
  <si>
    <t>MBS Item Number</t>
  </si>
  <si>
    <t>Change Type</t>
  </si>
  <si>
    <t>Delivery Basis</t>
  </si>
  <si>
    <t>Items details</t>
  </si>
  <si>
    <t>MBS Item</t>
  </si>
  <si>
    <t>Impact:</t>
  </si>
  <si>
    <t>Please outline all methods and assumptions used to estimate the changes in the space below.</t>
  </si>
  <si>
    <t>Calculation basis</t>
  </si>
  <si>
    <t>ABS Population</t>
  </si>
  <si>
    <t>Reference values</t>
  </si>
  <si>
    <t>DO NOT EDIT / DELETE</t>
  </si>
  <si>
    <t>Current details</t>
  </si>
  <si>
    <t>New details</t>
  </si>
  <si>
    <t>Comments</t>
  </si>
  <si>
    <t>Existing</t>
  </si>
  <si>
    <t>Required</t>
  </si>
  <si>
    <t>Completed</t>
  </si>
  <si>
    <t>Populations</t>
  </si>
  <si>
    <t>Patients: incident</t>
  </si>
  <si>
    <t>Patients: prevalent</t>
  </si>
  <si>
    <t>ABS1</t>
  </si>
  <si>
    <t>ABS2</t>
  </si>
  <si>
    <t>ABS3</t>
  </si>
  <si>
    <t>ABS4</t>
  </si>
  <si>
    <t>ABS5</t>
  </si>
  <si>
    <t>AIHW1</t>
  </si>
  <si>
    <t>AIHW2</t>
  </si>
  <si>
    <t>AIHW3</t>
  </si>
  <si>
    <t>AIHW4</t>
  </si>
  <si>
    <t>AIHW5</t>
  </si>
  <si>
    <t>Other1</t>
  </si>
  <si>
    <t>Other2</t>
  </si>
  <si>
    <t>Other3</t>
  </si>
  <si>
    <t>Other4</t>
  </si>
  <si>
    <t>Other5</t>
  </si>
  <si>
    <t>Incident population</t>
  </si>
  <si>
    <t>Increased service volume (PBS)</t>
  </si>
  <si>
    <t>Decreased service volume (PBS)</t>
  </si>
  <si>
    <t>Total MBS service volume (PBS)</t>
  </si>
  <si>
    <t>Patient Populations</t>
  </si>
  <si>
    <t>ABS6</t>
  </si>
  <si>
    <t>ABS7</t>
  </si>
  <si>
    <t>ABS8</t>
  </si>
  <si>
    <t>ABS9</t>
  </si>
  <si>
    <t>ABS10</t>
  </si>
  <si>
    <t>AIHW6</t>
  </si>
  <si>
    <t>AIHW7</t>
  </si>
  <si>
    <t>AIHW8</t>
  </si>
  <si>
    <t>AIHW9</t>
  </si>
  <si>
    <t>AIHW10</t>
  </si>
  <si>
    <t>Other6</t>
  </si>
  <si>
    <t>Other7</t>
  </si>
  <si>
    <t>Other8</t>
  </si>
  <si>
    <t>Other9</t>
  </si>
  <si>
    <t>Other10</t>
  </si>
  <si>
    <t>Notes</t>
  </si>
  <si>
    <t>Patient population count</t>
  </si>
  <si>
    <t>Population split</t>
  </si>
  <si>
    <t>Start year</t>
  </si>
  <si>
    <t>People</t>
  </si>
  <si>
    <t>Doses / period</t>
  </si>
  <si>
    <t>Days</t>
  </si>
  <si>
    <t>Weeks</t>
  </si>
  <si>
    <t>Months</t>
  </si>
  <si>
    <t>Increased cost</t>
  </si>
  <si>
    <t>Decreased cost</t>
  </si>
  <si>
    <t>Net cost</t>
  </si>
  <si>
    <t>Period</t>
  </si>
  <si>
    <t>Duration (periods)</t>
  </si>
  <si>
    <t>All</t>
  </si>
  <si>
    <t>As there is no change to the price or volume of the medicine associated with this listing, there is no financial impact on the PBS.</t>
  </si>
  <si>
    <t>As there no change to the price or volume of the medicine associated with this listing, there is no financial impact on the RPBS.</t>
  </si>
  <si>
    <t>New/adjunctive medicines</t>
  </si>
  <si>
    <t>Incident</t>
  </si>
  <si>
    <t>Prevalent</t>
  </si>
  <si>
    <t>Totals</t>
  </si>
  <si>
    <t>Treatment Populations</t>
  </si>
  <si>
    <t>IP1</t>
  </si>
  <si>
    <t>IP2</t>
  </si>
  <si>
    <t>IP3</t>
  </si>
  <si>
    <t>IP4</t>
  </si>
  <si>
    <t>IP5</t>
  </si>
  <si>
    <t>IP6</t>
  </si>
  <si>
    <t>IP7</t>
  </si>
  <si>
    <t>IP8</t>
  </si>
  <si>
    <t>IP9</t>
  </si>
  <si>
    <t>IP10</t>
  </si>
  <si>
    <t>PP1</t>
  </si>
  <si>
    <t>PP2</t>
  </si>
  <si>
    <t>PP3</t>
  </si>
  <si>
    <t>PP4</t>
  </si>
  <si>
    <t>PP5</t>
  </si>
  <si>
    <t>PP6</t>
  </si>
  <si>
    <t>PP7</t>
  </si>
  <si>
    <t>PP8</t>
  </si>
  <si>
    <t>PP9</t>
  </si>
  <si>
    <t>PP10</t>
  </si>
  <si>
    <t>GFP1</t>
  </si>
  <si>
    <t>GFP2</t>
  </si>
  <si>
    <t>GFP3</t>
  </si>
  <si>
    <t>GFP4</t>
  </si>
  <si>
    <t>GFP5</t>
  </si>
  <si>
    <t>GFP6</t>
  </si>
  <si>
    <t>GFP7</t>
  </si>
  <si>
    <t>GFP8</t>
  </si>
  <si>
    <t>GFP9</t>
  </si>
  <si>
    <t>GFP10</t>
  </si>
  <si>
    <t>Treatment population count</t>
  </si>
  <si>
    <t>TIP</t>
  </si>
  <si>
    <t>TPP</t>
  </si>
  <si>
    <t>TGFP</t>
  </si>
  <si>
    <t>TP</t>
  </si>
  <si>
    <t xml:space="preserve"> </t>
  </si>
  <si>
    <t>Population source</t>
  </si>
  <si>
    <t>Total treated incident patients</t>
  </si>
  <si>
    <t>Total treated prevalent patients</t>
  </si>
  <si>
    <t>Total treated patients</t>
  </si>
  <si>
    <t>Description</t>
  </si>
  <si>
    <t>Please complete the tables below for each PBS Item Code listed in the table above.</t>
  </si>
  <si>
    <t>Change</t>
  </si>
  <si>
    <t>Total patients</t>
  </si>
  <si>
    <t>PBS
co-payment</t>
  </si>
  <si>
    <t>RPBS
co-payment</t>
  </si>
  <si>
    <t>Number of repeats</t>
  </si>
  <si>
    <t>Proportion of
in-patient services</t>
  </si>
  <si>
    <t>This standardised Excel workbook is to be used as part of the Pharmaceutical Benefits Advisory Committee (PBAC) submission process to quantify the use and financial impact of</t>
  </si>
  <si>
    <t>the new medicine in practice. The workbook has been developed in accordance with the PBAC Guidelines and should be completed in accordance with Section 4 of the Guidelines</t>
  </si>
  <si>
    <t>and the User Manual for the Utilisation and Cost Model Workbook.</t>
  </si>
  <si>
    <t>* Increase medicine count to 20 on 2d worksheet</t>
  </si>
  <si>
    <t>* Increase medicine count to 20 on 3a worksheet</t>
  </si>
  <si>
    <t>* Increase medicine count to 20 on 3b worksheet</t>
  </si>
  <si>
    <t>* Increase medicine count to 20 on 3c worksheet</t>
  </si>
  <si>
    <t>* Add CoPayCountNew named range</t>
  </si>
  <si>
    <t>* Add CoPayCountChanged named range</t>
  </si>
  <si>
    <t>* Add DPMQNewPub named range</t>
  </si>
  <si>
    <t>* Modify cost calculation methodology on 3b worksheet</t>
  </si>
  <si>
    <t>* Modify PBSScriptsNew to include the medicine name</t>
  </si>
  <si>
    <t>* Remove script summary from 3b worksheet</t>
  </si>
  <si>
    <t>* Remove script summary from 3c worksheet</t>
  </si>
  <si>
    <t>* Increase medicine count to 20 on 4a worksheet</t>
  </si>
  <si>
    <t>* Increase TxPopOld to 20 elements</t>
  </si>
  <si>
    <t>* Increase TxPopNew to 20 elements</t>
  </si>
  <si>
    <t>* Increase medicine count to 20 in 4b worksheet</t>
  </si>
  <si>
    <t>* Remove script summary from 4b worksheet</t>
  </si>
  <si>
    <t>* Increase medicine count to 20 in 4c worksheet</t>
  </si>
  <si>
    <t>* Remove script summary from 4c worksheet</t>
  </si>
  <si>
    <t>* Increase medicine count to 20 in 6 worksheet</t>
  </si>
  <si>
    <t>* Modify 5 worksheet to hide Effective price section if no SPA</t>
  </si>
  <si>
    <t>Change Log</t>
  </si>
  <si>
    <t>* Corrected linking error in 2a and 2b worksheets in relation to last row percentage</t>
  </si>
  <si>
    <t>* Corrected count error in 4a worksheet which would ignore the first listed medicine</t>
  </si>
  <si>
    <t>* Corrected sign error in 7 worksheet when calculating item decreases based on script volumes</t>
  </si>
  <si>
    <t>* Added Item code to Section 1 - epidemiology in 4a worksheet</t>
  </si>
  <si>
    <t>* Added warning message for overwriting script displacement market share vs 2d market in 4a worksheet</t>
  </si>
  <si>
    <t>* Added warning message for overwriting script displacement epidemiology vs market share in 4a worksheet</t>
  </si>
  <si>
    <t>* Add prevalent population from prior year diagnosis</t>
  </si>
  <si>
    <t>Incidence</t>
  </si>
  <si>
    <t>Rate</t>
  </si>
  <si>
    <t>per</t>
  </si>
  <si>
    <t>* Modify 8 worksheet to include incidence rate if required</t>
  </si>
  <si>
    <t>* Modify 6 worksheet to remove reliance on 3b worksheet</t>
  </si>
  <si>
    <t>* Modify 6 worksheet to remove redundant treatment phase column</t>
  </si>
  <si>
    <t>* Modify 6 worksheet to simplify authority calculation</t>
  </si>
  <si>
    <t>Count</t>
  </si>
  <si>
    <t>* Cell formatting changes</t>
  </si>
  <si>
    <t>* Modify 3a worksheet</t>
  </si>
  <si>
    <t>* Modify 8 worksheet to include 2029 and 2030 data</t>
  </si>
  <si>
    <t>Cohort 7</t>
  </si>
  <si>
    <t>Cohort 8</t>
  </si>
  <si>
    <t>Cohort 9</t>
  </si>
  <si>
    <t>Cohort 10</t>
  </si>
  <si>
    <t>Cohort 11</t>
  </si>
  <si>
    <t>Cohort 12</t>
  </si>
  <si>
    <t>Indication</t>
  </si>
  <si>
    <t>12. Copies of data</t>
  </si>
  <si>
    <t>* Modify PxPopNumbers to include prevalent population</t>
  </si>
  <si>
    <t>* Modify PxPopNames to include prevalent population</t>
  </si>
  <si>
    <t>* Modify PxPopValid to include prevalent population</t>
  </si>
  <si>
    <t>* Modify EpiSource to include prevalent population</t>
  </si>
  <si>
    <t>* Modify EpiSourceCode to include prevalent population</t>
  </si>
  <si>
    <t>* Modify 2a worksheet to prevent #VALUE error when no population is selected</t>
  </si>
  <si>
    <t>* Modify 2a worksheet to remove () in titles if no description is entered for a population</t>
  </si>
  <si>
    <t>* Modify 2b worksheet to prevent #VALUE error when no population is selected</t>
  </si>
  <si>
    <t>* Modify 2b worksheet to remove () in titles if no description is entered for a population</t>
  </si>
  <si>
    <t>* Modify 2c worksheet to prevent #VALUE error when no population is selected</t>
  </si>
  <si>
    <t>* Modify 2c worksheet to remove () in titles if no description is entered for a population</t>
  </si>
  <si>
    <t>* Modify 2a worksheet to show warning message if prevalent pool used for incident population</t>
  </si>
  <si>
    <t>Changes since v8.4</t>
  </si>
  <si>
    <t>Changes since v8.3</t>
  </si>
  <si>
    <t>Changes since v8.2</t>
  </si>
  <si>
    <t>Changes since v8.1</t>
  </si>
  <si>
    <t>Changes since v8.0</t>
  </si>
  <si>
    <t>Changes since v7.9</t>
  </si>
  <si>
    <t>Changes since v7.8</t>
  </si>
  <si>
    <t>Changes since v7.7</t>
  </si>
  <si>
    <t>Worksheet Version</t>
  </si>
  <si>
    <t>* Modify 3a worksheet to prevent #VALUE error when no population selected</t>
  </si>
  <si>
    <t>* Modify 4a worksheet to prevent #VALUE error when no population selected</t>
  </si>
  <si>
    <t>Changes since v8.5</t>
  </si>
  <si>
    <t>* Modify worksheet 2f to correct population names in title rows</t>
  </si>
  <si>
    <t>Changes since v8.6</t>
  </si>
  <si>
    <t>* Modify worksheet 4a to correct section titles</t>
  </si>
  <si>
    <t>* Modify worksheet 4a to correctly identify related worksheets in guidance notes</t>
  </si>
  <si>
    <t>* Modify NamesChanged to increase to 20 medicines</t>
  </si>
  <si>
    <t>* Modify worksheet 2d to change column order for Item Code and Treatment phase</t>
  </si>
  <si>
    <t>* Modify worksheet 4a to include Treatment Phase in section 3 - market source</t>
  </si>
  <si>
    <t>* Modify worksheet 4a to reorder sections to match worksheet order - epi then market share</t>
  </si>
  <si>
    <t>* Modify worksheet 4a to correct conditional formatting in section 3</t>
  </si>
  <si>
    <t>* Modify PBSScriptsOld to point to worksheet 2a</t>
  </si>
  <si>
    <t>* Modify RPBSScriptsOld to point to worksheet 2a</t>
  </si>
  <si>
    <t>* Modify worksheet 4a to correct linkages for market share elements</t>
  </si>
  <si>
    <t>* Modify worksheet 4a to increased medicine count to 20</t>
  </si>
  <si>
    <t>All patients</t>
  </si>
  <si>
    <t>* Modify worksheet 4a to correct count in C153 to include all rows</t>
  </si>
  <si>
    <t>* Modify worksheet 4a to correct Not Used Indicator in I155</t>
  </si>
  <si>
    <t>* Modify worksheet 4a to correct Not Used Indicator in I127</t>
  </si>
  <si>
    <t>* Modify worksheet 4a to correct Not Used Indicator in I100</t>
  </si>
  <si>
    <t>* Modify worksheet 4a to correct Not Used Indicator in I71</t>
  </si>
  <si>
    <t>* Modify worksheet 4a to correct Not Used Indicator in I42</t>
  </si>
  <si>
    <t>Background</t>
  </si>
  <si>
    <t>Costs</t>
  </si>
  <si>
    <t>Population (epidemiology)</t>
  </si>
  <si>
    <t>Changes since v8.7</t>
  </si>
  <si>
    <t>* Modify worksheet 1 to correct patient source flag</t>
  </si>
  <si>
    <t>* Modify worksheet 7 to allow Section 2.2 medicines to point to worksheet 4a Summary</t>
  </si>
  <si>
    <t>* Modify worksheet 9 to correct linkages for populations</t>
  </si>
  <si>
    <t>* Modify worksheet 9 to allow overall populations to be entered directly</t>
  </si>
  <si>
    <t>* Modify worksheet 8 to correct linkages for populations</t>
  </si>
  <si>
    <t>* Modify worksheet 8 to improve population descriptions</t>
  </si>
  <si>
    <t>* Modify worksheet 10 to improve population descriptions</t>
  </si>
  <si>
    <t>* Modify worksheet 4a to correct medicine linkages for Section 3</t>
  </si>
  <si>
    <t>* Modify worksheet 2d to remove medicine names from Section 0 if the worksheet is used to only derive a co-payment calculation</t>
  </si>
  <si>
    <t>Changes since v8.8</t>
  </si>
  <si>
    <t>* Modify worksheet 4a to correct formula error H77-H96</t>
  </si>
  <si>
    <t>Changes since v8.9</t>
  </si>
  <si>
    <t>* Modify worksheet 2d to correct formula error D211 &amp; subsequent rows</t>
  </si>
  <si>
    <t>* Modify worksheet 2d to correct formula error Y71, 72 &amp; Y73 to include additional medicines in total calculations</t>
  </si>
  <si>
    <t>Evaluator review</t>
  </si>
  <si>
    <t>DUSC review</t>
  </si>
  <si>
    <t>ESC review</t>
  </si>
  <si>
    <t>Changes since v9.0</t>
  </si>
  <si>
    <t>* Modify worksheet 1 to include model inputs checklist</t>
  </si>
  <si>
    <t>Changes since v9.1</t>
  </si>
  <si>
    <t>* Modify NamesOld named range to point to worksheet 4a summary</t>
  </si>
  <si>
    <t>* Modify NamesOldDDL named range to point to worksheet 4a summary</t>
  </si>
  <si>
    <t>* Modify worksheet 7 to correct negation of decreasing MBS services</t>
  </si>
  <si>
    <t>Cost Drivers - completed by Department of Health</t>
  </si>
  <si>
    <t>PBAC / MSAC outcomes - completed by Department of Health</t>
  </si>
  <si>
    <t>PBAC meeting</t>
  </si>
  <si>
    <t>Brand name</t>
  </si>
  <si>
    <t>Agenda Item</t>
  </si>
  <si>
    <t>First year of listing</t>
  </si>
  <si>
    <t>Submission type</t>
  </si>
  <si>
    <t>PBS impact</t>
  </si>
  <si>
    <t>Published cost</t>
  </si>
  <si>
    <t>RPBS impact</t>
  </si>
  <si>
    <t>Effective cost</t>
  </si>
  <si>
    <t>Declining population</t>
  </si>
  <si>
    <t>MBS impact</t>
  </si>
  <si>
    <t>Complex Authority</t>
  </si>
  <si>
    <t>Reporting Required</t>
  </si>
  <si>
    <t>Flow-ons</t>
  </si>
  <si>
    <t>Net impact</t>
  </si>
  <si>
    <t>PBAC recommendation</t>
  </si>
  <si>
    <t>MSAC recommendation</t>
  </si>
  <si>
    <t>Dosing and administration</t>
  </si>
  <si>
    <t>TGA indication</t>
  </si>
  <si>
    <t>Restriction count</t>
  </si>
  <si>
    <t>Category / Program</t>
  </si>
  <si>
    <t>Listing type</t>
  </si>
  <si>
    <t>Repeats</t>
  </si>
  <si>
    <t>Episodicity</t>
  </si>
  <si>
    <t>Severity</t>
  </si>
  <si>
    <t>Condition</t>
  </si>
  <si>
    <t>Treatment criteria</t>
  </si>
  <si>
    <t>Clinical criteria</t>
  </si>
  <si>
    <t>Population criteria</t>
  </si>
  <si>
    <t>Manner of administration and form</t>
  </si>
  <si>
    <t>Details of existing PBS listings</t>
  </si>
  <si>
    <t>Clinical trials</t>
  </si>
  <si>
    <t>Cost comparator</t>
  </si>
  <si>
    <t>Join existing RSA</t>
  </si>
  <si>
    <t>Treatment period</t>
  </si>
  <si>
    <t>Published DPMQ</t>
  </si>
  <si>
    <t>Method of calculation</t>
  </si>
  <si>
    <t>Effective DPMQ</t>
  </si>
  <si>
    <t>Max quantity (units)</t>
  </si>
  <si>
    <t>Max amount (mg)</t>
  </si>
  <si>
    <t>Changes since v9.2</t>
  </si>
  <si>
    <t>* Modify worksheet 1 to make field labels consistent</t>
  </si>
  <si>
    <t>* Modify worksheet 1 to correct validation, moved to column S</t>
  </si>
  <si>
    <t>* Modify worksheet 2d to use 1 Jan 20 co-payments</t>
  </si>
  <si>
    <t>Co-payments</t>
  </si>
  <si>
    <t>G2</t>
  </si>
  <si>
    <t>G1</t>
  </si>
  <si>
    <t>C1</t>
  </si>
  <si>
    <t>C0</t>
  </si>
  <si>
    <t>R0</t>
  </si>
  <si>
    <t>* Modify worksheet 4a to refer to the References worksheet</t>
  </si>
  <si>
    <t>* Modify worksheet 2d to refer to the References worksheet</t>
  </si>
  <si>
    <t>* Modify worksheet References to include co-payments</t>
  </si>
  <si>
    <t>Changes since v9.3</t>
  </si>
  <si>
    <t>* Modify worksheet 8 to correct label error in populations</t>
  </si>
  <si>
    <t>* Modify worksheet 2b to correct prevalent patient labels</t>
  </si>
  <si>
    <t>* Modify worksheet 2c to correct grandfathered patient labels</t>
  </si>
  <si>
    <t>* Modify worksheet 3a to add conditional format to population columns</t>
  </si>
  <si>
    <t>* Modify worksheet 3a to switch the positions of the compliance and pack size columns</t>
  </si>
  <si>
    <t>* Modify worksheet 4b to use the weighted co-payments from worksheet 4a</t>
  </si>
  <si>
    <t>* Modify worksheet 4c to use the weighted co-payments from worksheet 4a</t>
  </si>
  <si>
    <t>* Modify worksheet 4a to include public/private split if a new range of medicines are included</t>
  </si>
  <si>
    <t>* Modify worksheet 4b to use public/private split from worksheet 4a</t>
  </si>
  <si>
    <t>* Modify worksheet 4c to use public/private split from worksheet 4a</t>
  </si>
  <si>
    <t>AR - Written</t>
  </si>
  <si>
    <t>Please provide details of each of the forms and strengths of the changed medicines</t>
  </si>
  <si>
    <t>* Modify worksheet 7 to correct lookup index for MBSPBSInc and MBSPBSDec</t>
  </si>
  <si>
    <t>Data summary #7</t>
  </si>
  <si>
    <t>Data summary #8</t>
  </si>
  <si>
    <t>Data summary #9</t>
  </si>
  <si>
    <t>Data summary #10</t>
  </si>
  <si>
    <t>Release</t>
  </si>
  <si>
    <t>Version</t>
  </si>
  <si>
    <t>Released</t>
  </si>
  <si>
    <t>* Modify worksheet 0 to include Release number</t>
  </si>
  <si>
    <t>* Modify worksheet Reference to include Release number</t>
  </si>
  <si>
    <t>* Modify worksheet 1 to colour code fields for data entry by DoH</t>
  </si>
  <si>
    <t>* Modify worksheet 1 to add additional model input checklist items</t>
  </si>
  <si>
    <t>Data inputs - DoH</t>
  </si>
  <si>
    <t>PBAC review</t>
  </si>
  <si>
    <t>* Modify worksheet 4a to correct **Not Used** label selection</t>
  </si>
  <si>
    <t>Changes since v9.4</t>
  </si>
  <si>
    <r>
      <t xml:space="preserve">Include all copies of data used as additional spreadsheets after </t>
    </r>
    <r>
      <rPr>
        <b/>
        <sz val="10"/>
        <color indexed="8"/>
        <rFont val="Arial"/>
        <family val="2"/>
      </rPr>
      <t xml:space="preserve">Spreadsheet 12. Copies of data.  </t>
    </r>
    <r>
      <rPr>
        <sz val="10"/>
        <color theme="1"/>
        <rFont val="Arial"/>
        <family val="2"/>
        <scheme val="minor"/>
      </rPr>
      <t>Please do not link any data in additional spreadsheets to other spreadsheets in the workbook.</t>
    </r>
  </si>
  <si>
    <t>Changes since v9.5</t>
  </si>
  <si>
    <t>2024 November</t>
  </si>
  <si>
    <t>2025 November</t>
  </si>
  <si>
    <t>2024 March</t>
  </si>
  <si>
    <t>2024 July</t>
  </si>
  <si>
    <t>2025 March</t>
  </si>
  <si>
    <t>2025 July</t>
  </si>
  <si>
    <t>* Modify worksheet Reference to remove old PBAC Meeting dates</t>
  </si>
  <si>
    <t>Scripts: other medicines affected by this listing</t>
  </si>
  <si>
    <t>* Modify worksheet 4a to change "displaced" labels to "affected"</t>
  </si>
  <si>
    <t>Error messages</t>
  </si>
  <si>
    <t>Warning messages</t>
  </si>
  <si>
    <t>IncPrev</t>
  </si>
  <si>
    <t>PrevGF</t>
  </si>
  <si>
    <t>both incident and prevalent patients identified, check for double counting</t>
  </si>
  <si>
    <t>both prevalent and grandfathered patients identified, check for double counting</t>
  </si>
  <si>
    <t>missing or conflicting data</t>
  </si>
  <si>
    <t>MissCon</t>
  </si>
  <si>
    <t>NoMSAC</t>
  </si>
  <si>
    <t xml:space="preserve">Error: </t>
  </si>
  <si>
    <t xml:space="preserve">Warning: </t>
  </si>
  <si>
    <t xml:space="preserve">Confirm: </t>
  </si>
  <si>
    <t xml:space="preserve">Note: </t>
  </si>
  <si>
    <t>not presented to MSAC</t>
  </si>
  <si>
    <t>NoPBAC</t>
  </si>
  <si>
    <t>missing PBAC recommendation</t>
  </si>
  <si>
    <t>missing MSAC recommendation</t>
  </si>
  <si>
    <t>duplicate Initial and Continuing Restrictions Detected</t>
  </si>
  <si>
    <t>DupInCon</t>
  </si>
  <si>
    <t>missing Initial or Continuing Restriction Detected</t>
  </si>
  <si>
    <t>MisInCon</t>
  </si>
  <si>
    <t>NoFlow</t>
  </si>
  <si>
    <t>no flow-ons to other medicines</t>
  </si>
  <si>
    <t>missing flow-on details</t>
  </si>
  <si>
    <t>Changes since v9.6</t>
  </si>
  <si>
    <t>* Modify worksheet 0 to update warning messages</t>
  </si>
  <si>
    <t>* Modify worksheet 1 to update warning messages</t>
  </si>
  <si>
    <t>* Modify worksheet 0 to update confirmation messages</t>
  </si>
  <si>
    <t>** NOT REQUIRED **</t>
  </si>
  <si>
    <t>* Modify worksheet Reference to include ** NOT REQUIRED ** message</t>
  </si>
  <si>
    <t>* Modify all worksheets to distinguish between NOT USED and NOT REQUIRED</t>
  </si>
  <si>
    <t>minor submission - optional</t>
  </si>
  <si>
    <t>patient number derived from population</t>
  </si>
  <si>
    <t>PxPop</t>
  </si>
  <si>
    <t>Patients: grandfathered</t>
  </si>
  <si>
    <t>Template worksheet</t>
  </si>
  <si>
    <t>* Add template worksheet for sponsor use</t>
  </si>
  <si>
    <t>* Modify worksheet 9 to include source for each population</t>
  </si>
  <si>
    <t>* Modify worksheet 10 to include source for each population</t>
  </si>
  <si>
    <t>* Modify worksheet 3b to include total PBS + RPBS</t>
  </si>
  <si>
    <t>* Modify worksheet 3b to update sum in A1</t>
  </si>
  <si>
    <t>* Modify worksheet 3c to include total PBS + RPBS</t>
  </si>
  <si>
    <t>* Modify worksheet 3c to update sum in A1</t>
  </si>
  <si>
    <t>* Modify worksheet 4b to include total PBS + RPBS</t>
  </si>
  <si>
    <t>* Modify worksheet 4b to update sum in A1</t>
  </si>
  <si>
    <t>* Modify worksheet 4c to include total PBS + RPBS</t>
  </si>
  <si>
    <t>* Modify worksheet 4c to update sum in A1</t>
  </si>
  <si>
    <t>Max quantity (packs)</t>
  </si>
  <si>
    <t>* Modify worksheet 1 to update Max qty label to Max quantity</t>
  </si>
  <si>
    <t>Electronic</t>
  </si>
  <si>
    <t>* Modify worksheet Reference to remove Electronic as a restriction type</t>
  </si>
  <si>
    <t>* Modify worksheet 6 to add Electronic as a restriction like EFC</t>
  </si>
  <si>
    <t>* Modify worksheet 6 to improve error checking for incomplete restriction data to prevent #VALUE errors</t>
  </si>
  <si>
    <t>Net prescription and authority processing changes for Services Australia</t>
  </si>
  <si>
    <t>* Modify worksheet 6 to change DHS to Services Australia</t>
  </si>
  <si>
    <t>Estimate the net administration changes for the Services Australia in this spreadsheet.</t>
  </si>
  <si>
    <t>* Modify worksheet 6 to remove EFCListingNew named range</t>
  </si>
  <si>
    <t>* Modify worksheet 6 to remove EFCListingChanged named range</t>
  </si>
  <si>
    <t>* Modify worksheet 6 to add SANew named range</t>
  </si>
  <si>
    <t>* Modify worksheet 6 to add SAChanged named range</t>
  </si>
  <si>
    <t>* Modify worksheet 4c to use SAChanged named range</t>
  </si>
  <si>
    <t>* Modify worksheet 4b to use SAChanged named range</t>
  </si>
  <si>
    <t>* Modify worksheet 3c to use SANew named range</t>
  </si>
  <si>
    <t>* Modify worksheet 3b to use SANew named range</t>
  </si>
  <si>
    <t>* Modify worksheet 6 to use named range for Authority calculations</t>
  </si>
  <si>
    <t>* Modify worksheet 6 to remove Electronic Authority from overall Authority count</t>
  </si>
  <si>
    <t>Restrictions</t>
  </si>
  <si>
    <t>* Modify worksheet 6 to add ComplexAuthCount</t>
  </si>
  <si>
    <t>* Modify worksheet 3a to add RestrictionCount</t>
  </si>
  <si>
    <t>* Modify worksheet 1 to increase restrictions to 20</t>
  </si>
  <si>
    <t>* Modify worksheet 1 to link to restrictions</t>
  </si>
  <si>
    <t>EFC - one copayment per original script</t>
  </si>
  <si>
    <t>Initiating</t>
  </si>
  <si>
    <t>* Modify worksheet 2a to change initial to initiating patients</t>
  </si>
  <si>
    <t>* Modify worksheet 2b to change initial to initiating patients</t>
  </si>
  <si>
    <t>* Modify worksheet 2c to change initial to initiating patients</t>
  </si>
  <si>
    <t>TxPhase Labels</t>
  </si>
  <si>
    <t>Phase1</t>
  </si>
  <si>
    <t>Phase 2</t>
  </si>
  <si>
    <t>the market share and epidemiology script volumes conflict</t>
  </si>
  <si>
    <t>DupScripts</t>
  </si>
  <si>
    <t>Avg annual patients</t>
  </si>
  <si>
    <t>Avg annual patients &amp; source</t>
  </si>
  <si>
    <t>Changes since v9.7</t>
  </si>
  <si>
    <t>SA impact</t>
  </si>
  <si>
    <t>SA:</t>
  </si>
  <si>
    <t>As there is no change in dispensing volumes or the service delivery model associated with this listing, there is no impact on SA.</t>
  </si>
  <si>
    <t>Changes since v9.8</t>
  </si>
  <si>
    <t>* Final clean-up of text labels</t>
  </si>
  <si>
    <t>* Modify worksheet 1 to remove format button</t>
  </si>
  <si>
    <t>* Remove macros</t>
  </si>
  <si>
    <t>* Save Workbook in xlsx format</t>
  </si>
  <si>
    <t>* Modify worksheet 2d to add co-payment band selector</t>
  </si>
  <si>
    <t>* Modify worksheet 2d to calculate up to 5 co-payments</t>
  </si>
  <si>
    <t>* Remove PBSCoPay1 named range</t>
  </si>
  <si>
    <t>* Remove PBSCoPay2 named range</t>
  </si>
  <si>
    <t>* Remove RPBSCoPay1 named range</t>
  </si>
  <si>
    <t>* Remove RPBSCoPay2 named range</t>
  </si>
  <si>
    <t>* Remove PBSSplit1 named range</t>
  </si>
  <si>
    <t>* Remove PBSSplit2 named range</t>
  </si>
  <si>
    <t>* Remove RPBSSplit1 named range</t>
  </si>
  <si>
    <t>* Remove RPBSSplit2 named range</t>
  </si>
  <si>
    <t>Co-pay splits</t>
  </si>
  <si>
    <t>PBS $</t>
  </si>
  <si>
    <t>RPBS $</t>
  </si>
  <si>
    <t>Co-payment group</t>
  </si>
  <si>
    <t>Group 1</t>
  </si>
  <si>
    <t>Group 2</t>
  </si>
  <si>
    <t>Group 3</t>
  </si>
  <si>
    <t>Group 4</t>
  </si>
  <si>
    <t>Group 5</t>
  </si>
  <si>
    <t>Over-ride split</t>
  </si>
  <si>
    <t>Tx phase code</t>
  </si>
  <si>
    <t>Tx phase name</t>
  </si>
  <si>
    <t>Co-Payment groups</t>
  </si>
  <si>
    <t>Changes since v9.9</t>
  </si>
  <si>
    <t>* Modify worksheet 7 to use TxPhase labels</t>
  </si>
  <si>
    <t>* Modify worksheet 4a to use TxPhase labels</t>
  </si>
  <si>
    <t>* Modify worksheet 3a to use TxPhase labels</t>
  </si>
  <si>
    <t>* Modify worksheet Reference to add TxPhase1Code</t>
  </si>
  <si>
    <t>* Modify worksheet Reference to add TxPhase2Code</t>
  </si>
  <si>
    <t>* Modify worksheet 2d to use TxPhase labels</t>
  </si>
  <si>
    <t>* Modify worksheet 2d to add co-payment band indicator to detail section</t>
  </si>
  <si>
    <t>Co-pay group</t>
  </si>
  <si>
    <t>* Modify worksheet 3b to link co-payment groups</t>
  </si>
  <si>
    <t>* Modify worksheet 3c to link co-payment groups</t>
  </si>
  <si>
    <t>* Modify worksheet 3b to add co-payment band indicator to detail section</t>
  </si>
  <si>
    <t>* Modify worksheet 3c to add co-payment band indicator to detail section</t>
  </si>
  <si>
    <t>* Modify worksheet 7 to allow link to 20 medicines</t>
  </si>
  <si>
    <t>* Modify worksheet 7 to add co-payment group</t>
  </si>
  <si>
    <t>Calculate the financial impact of the affected medicine using the published price.</t>
  </si>
  <si>
    <t>Calculate the financial impact of the affected medicine using the effective price.</t>
  </si>
  <si>
    <t>* Modify worksheet 2a to add co-payment group</t>
  </si>
  <si>
    <t>* Modify worksheet 2b to add co-payment group</t>
  </si>
  <si>
    <t>* Modify worksheet 2c to add co-payment group</t>
  </si>
  <si>
    <t>* Modify worksheet Reference to add co-payment group to PxTxNumbersInit</t>
  </si>
  <si>
    <t>* Modify worksheet Reference to add co-payment group to PxTxNumbersCont</t>
  </si>
  <si>
    <t>* Modify worksheet Reference to rename PxTxNumbersInit to PxTxPhase1</t>
  </si>
  <si>
    <t>* Modify worksheet Reference to rename PxTxNumbersCont to PxTxPhase2</t>
  </si>
  <si>
    <t>* Modify worksheet 8 to correct error with default age range only selecting individuals of age 0</t>
  </si>
  <si>
    <t>* Modify worksheet 3a to allow selection of old medicines to link to new medicines</t>
  </si>
  <si>
    <t>NoMS</t>
  </si>
  <si>
    <t>NoNew</t>
  </si>
  <si>
    <t>missing new medicine</t>
  </si>
  <si>
    <t>missing existing medicine</t>
  </si>
  <si>
    <t>* Modify worksheet 2c to add persistence rate as per worksheet 11</t>
  </si>
  <si>
    <t>* Modify worksheet 2b to add persistence rate as per worksheet 11</t>
  </si>
  <si>
    <t>* Modify worksheet 2a to add persistence rate as per worksheet 11</t>
  </si>
  <si>
    <t>* Modify worksheet 4a to co-payment group for RPBS split</t>
  </si>
  <si>
    <t>* Modify worksheet 3a to co-payment group for RPBS split</t>
  </si>
  <si>
    <t>* Modify worksheet 2c to add flag when persistence is applied</t>
  </si>
  <si>
    <t>* Modify worksheet 2b to add flag when persistence is applied</t>
  </si>
  <si>
    <t>* Modify worksheet 2a to add flag when persistence is applied</t>
  </si>
  <si>
    <t>prevalent data used for incident population</t>
  </si>
  <si>
    <t>PrevInc</t>
  </si>
  <si>
    <t>BadPop</t>
  </si>
  <si>
    <t>invalid population selected, reselect</t>
  </si>
  <si>
    <t>Grandfathered population</t>
  </si>
  <si>
    <t>Codependent</t>
  </si>
  <si>
    <t>MBS Item Descriptor</t>
  </si>
  <si>
    <t>Medicine / molecule name</t>
  </si>
  <si>
    <t>Medicine / molecule</t>
  </si>
  <si>
    <t>Medicine / Molecule</t>
  </si>
  <si>
    <t>Medicine / Molecule - Existing</t>
  </si>
  <si>
    <t>Medicine</t>
  </si>
  <si>
    <t>Clinical advisory board</t>
  </si>
  <si>
    <t>Data inputs - applicant</t>
  </si>
  <si>
    <t>Scripts: proposed medicine</t>
  </si>
  <si>
    <t xml:space="preserve">Calculate the results for the estimated script volumes for the proposed medicine. Please list all forms and strengths of the proposed medicine included in this listing.  </t>
  </si>
  <si>
    <t>The following table summarises the aggregate volume of the proposed medicine.</t>
  </si>
  <si>
    <t>The following table summarises the aggregate volume of the proposed medicine from the epidemiology source.</t>
  </si>
  <si>
    <t>Please list all forms and strengths of the proposed medicine, and provide the details as specified in the table.</t>
  </si>
  <si>
    <t>Please relate the proposed medicine to the existing market.</t>
  </si>
  <si>
    <t>Calculate the financial impact of the proposed medicine using the published price.</t>
  </si>
  <si>
    <t>The following tables summarise the net financial impact from the proposed medicine (at the published price).</t>
  </si>
  <si>
    <t>For all forms and strengths of the proposed medicine, please provide the details as specified in the table.</t>
  </si>
  <si>
    <t>Calculate the financial impact of the proposed medicine using the effective price.</t>
  </si>
  <si>
    <t>The following tables summarise the net financial impact from the proposed medicine (at the effective price).</t>
  </si>
  <si>
    <t>Estimate the volume of medicine that will be affected by this listing. Estimate the rate of substitution and the market growth rate over the six years.</t>
  </si>
  <si>
    <t>The following table summarises the aggregate volume of any affected medicines.</t>
  </si>
  <si>
    <t>The following table summarises the aggregate volume of the affected medicine from the epidemiology source.</t>
  </si>
  <si>
    <t>The following tables summarise the net financial impact from any affected medicine (at the published price).</t>
  </si>
  <si>
    <t>For all forms and strengths of the affected medicines, please provide the details as specified in the table.</t>
  </si>
  <si>
    <t>The following tables summarise the net financial impact from any affected medicine (at the effective price).</t>
  </si>
  <si>
    <t>Affected medicine has SPA</t>
  </si>
  <si>
    <t>Proposed listing results in</t>
  </si>
  <si>
    <t>Estimate the incident patients who will access the proposed medicine.</t>
  </si>
  <si>
    <t>Outline all steps taken to calculate the estimated numbers of patients in the space below.</t>
  </si>
  <si>
    <t>Identify the numbers of incident patients who would be eligible for the proposed medicine.</t>
  </si>
  <si>
    <t>Identify the numbers of prevalent patients who would be eligible for the proposed medicine.</t>
  </si>
  <si>
    <t>Estimate the prevalent patients who will access the proposed medicine.</t>
  </si>
  <si>
    <t>Identify the numbers of grandfathered patients who would be eligible for the proposed medicine.</t>
  </si>
  <si>
    <t>Estimate the grandfathered patients who will access the proposed medicine.</t>
  </si>
  <si>
    <t>Net effect - PBS / RPBS</t>
  </si>
  <si>
    <t>Net cost PBS / RPBS</t>
  </si>
  <si>
    <t>Comparator (PBS / RPBS)</t>
  </si>
  <si>
    <t>If some of the current grandfathered patients will NOT meet the proposed PBS restriction, please explain why.</t>
  </si>
  <si>
    <t>Patients meeting proposed restriction (#)</t>
  </si>
  <si>
    <t>Proportion affected by proposed medicine</t>
  </si>
  <si>
    <t>Please provide details of each of the forms and strengths of the proposed medicine</t>
  </si>
  <si>
    <t>List all the MBS items that will INCREASE as a result of the listing of the proposed medicine in the table below.</t>
  </si>
  <si>
    <t>Medicine / Molecule - Proposed</t>
  </si>
  <si>
    <t>List all the MBS items that will DECREASE as a result of the substitution of affected medicines in the table below.</t>
  </si>
  <si>
    <t>Medicine / Molecule - Affected</t>
  </si>
  <si>
    <t>Proposed</t>
  </si>
  <si>
    <t>3.1 Proportion of patients with the medical condition</t>
  </si>
  <si>
    <t>3.2 Proportion of patients who would be eligible for the requested restriction</t>
  </si>
  <si>
    <t>3.3 Proportion of patients who are likely to elect treatment</t>
  </si>
  <si>
    <t>1. Summary of patients</t>
  </si>
  <si>
    <t>3.1 Proportion of grandfathered patients who will meet the PBS restriction</t>
  </si>
  <si>
    <t>Patients meeting proposed restriction %</t>
  </si>
  <si>
    <t>1. Summary - aggregate scripts</t>
  </si>
  <si>
    <t>3. Estimate the number of scripts</t>
  </si>
  <si>
    <t>4. Methods and assumptions</t>
  </si>
  <si>
    <t>2. Script volumes - epidemiological source</t>
  </si>
  <si>
    <t>4. Identify all forms and strengths of the proposed medicine</t>
  </si>
  <si>
    <t>5. Relate the proposed medicine to the existing market</t>
  </si>
  <si>
    <t>6. Methods and assumptions</t>
  </si>
  <si>
    <t>1. Summary - aggregate financial impact</t>
  </si>
  <si>
    <t>2. Cost of individual forms / strengths</t>
  </si>
  <si>
    <t>2. Total script volumes - epidemiology</t>
  </si>
  <si>
    <t>6. Calculate PBS / RPBS co-payments and public / private split</t>
  </si>
  <si>
    <t>8. Methods and assumptions</t>
  </si>
  <si>
    <t>Please show calculation of the DPMQ/DPMA in the space below.</t>
  </si>
  <si>
    <t>2. Estimate volume INCREASES to the MBS</t>
  </si>
  <si>
    <t>3. Relate the MBS Item to the proposed medicines</t>
  </si>
  <si>
    <t>4. Estimate volume DECREASES to the MBS</t>
  </si>
  <si>
    <t>5. Relate the MBS Item to the affected medicines</t>
  </si>
  <si>
    <t>1. Detail of populations</t>
  </si>
  <si>
    <t>2. ABS Data - People</t>
  </si>
  <si>
    <t>3. ABS Data - Male</t>
  </si>
  <si>
    <t>4. ABS Data - Female</t>
  </si>
  <si>
    <t>AR</t>
  </si>
  <si>
    <t>3. Estimate of new volumes for Services Australia as a result of the listing of the proposed medicine</t>
  </si>
  <si>
    <t>Substitution</t>
  </si>
  <si>
    <t>new medicine will affect a PBS listed medicine - net impact shows interaction of proposed and existing medicines</t>
  </si>
  <si>
    <t>new medicine will NOT affect any PBS listed medicine - net impact shows proposed medicine ONLY</t>
  </si>
  <si>
    <t>Schedule of Pharmaceutical Benefits information</t>
  </si>
  <si>
    <t>General</t>
  </si>
  <si>
    <t>Prescriber's Bag</t>
  </si>
  <si>
    <t>NoExist</t>
  </si>
  <si>
    <t>no exiting PBS listings of this medicine</t>
  </si>
  <si>
    <t>SPA requested</t>
  </si>
  <si>
    <t>RSA requested</t>
  </si>
  <si>
    <t>Economic analysis</t>
  </si>
  <si>
    <t>PBS indication</t>
  </si>
  <si>
    <t>MBS rebate rate</t>
  </si>
  <si>
    <t>Rebate rate</t>
  </si>
  <si>
    <t>2a. Patients - incident</t>
  </si>
  <si>
    <t>2b. Patients - prevalent</t>
  </si>
  <si>
    <t>2c. Patients - grandfathered</t>
  </si>
  <si>
    <t>3a. Scripts - proposed</t>
  </si>
  <si>
    <t>3b. Impact - proposed (Published price)</t>
  </si>
  <si>
    <t>3c. Impact - proposed (Effective price)</t>
  </si>
  <si>
    <t>4a. Scripts - affected</t>
  </si>
  <si>
    <t>4b. Impact - affected (Published price)</t>
  </si>
  <si>
    <t>4c. Impact - affected (Effective price)</t>
  </si>
  <si>
    <t>5. Impact - net</t>
  </si>
  <si>
    <t>6. Net changes - SA</t>
  </si>
  <si>
    <t xml:space="preserve">7. Net changes - MBS </t>
  </si>
  <si>
    <t>8. ABS population</t>
  </si>
  <si>
    <t>9. AIHW population</t>
  </si>
  <si>
    <t>10. Registry population</t>
  </si>
  <si>
    <t>2. Detail of incident patients</t>
  </si>
  <si>
    <t>2. Detail of prevalent patients</t>
  </si>
  <si>
    <t>2. Detail of grandfathered patients</t>
  </si>
  <si>
    <t>3. Script volumes - market-share source</t>
  </si>
  <si>
    <t>3. Identify the costs for all forms / strengths of the proposed medicine</t>
  </si>
  <si>
    <t>3. Total script volumes - market-share</t>
  </si>
  <si>
    <t>4. Identify all forms / strengths of affected medicine - epidemiology</t>
  </si>
  <si>
    <t>5. Identify all forms / strengths of the affected medicine - market-share</t>
  </si>
  <si>
    <t>3. Identify the costs for all forms / strengths of the affected medicines</t>
  </si>
  <si>
    <t>Scripts: market-share</t>
  </si>
  <si>
    <t>Grandfathered patients</t>
  </si>
  <si>
    <t>Market-share impact</t>
  </si>
  <si>
    <t>This spreadsheet has been prepared for use with both an epidemiological and a market-share approach.  For additional guidance, please consult Section 4 of the PBAC Guidelines.</t>
  </si>
  <si>
    <t>The following table summarises the aggregate volume of the proposed medicine from the market-share source.</t>
  </si>
  <si>
    <t>The medicines listed on this worksheet are in ADDITION to any market-share changes included on worksheet 2b. Scripts - market</t>
  </si>
  <si>
    <t>The following table summarises the aggregate volume of the affected medicine from the market-share source.</t>
  </si>
  <si>
    <t>7. Estimated number of units affected - market-share</t>
  </si>
  <si>
    <t>Applicant company</t>
  </si>
  <si>
    <t>Max quantity
Max amount</t>
  </si>
  <si>
    <t>ABS population - 3222.0 Series B</t>
  </si>
  <si>
    <t>AIHW population</t>
  </si>
  <si>
    <t>Registry or other population</t>
  </si>
  <si>
    <t>Impact: proposed medicine (published price)</t>
  </si>
  <si>
    <t>Impact: proposed medicine (effective price)</t>
  </si>
  <si>
    <t>Impact: affected medicines (published price)</t>
  </si>
  <si>
    <t>Impact: net PBS / RPBS (published / effective price)</t>
  </si>
  <si>
    <t>Net changes to the Medicare Benefits Schedule</t>
  </si>
  <si>
    <t>Impact: affected medicines (effective price)</t>
  </si>
  <si>
    <t>AR - Electronic</t>
  </si>
  <si>
    <t>* Modify worksheet 2a to calculate population titles without overlap</t>
  </si>
  <si>
    <t>* Modify worksheet 2b to calculate population titles without overlap</t>
  </si>
  <si>
    <t>* Modify worksheet 2c to calculate population titles without overlap</t>
  </si>
  <si>
    <t>* Modify worksheet 7 to correct formula error in section 4 service volume source</t>
  </si>
  <si>
    <t>* Modify worksheet 7 to correct formula error in section 4 service volume sign</t>
  </si>
  <si>
    <t>* Modify worksheet 7 to correct population split calculations in section 2 and section 4</t>
  </si>
  <si>
    <t>Service rate</t>
  </si>
  <si>
    <t>Changes since v10.0</t>
  </si>
  <si>
    <t>Indicative costs</t>
  </si>
  <si>
    <t>Changes since v10.1</t>
  </si>
  <si>
    <t>* Modify worksheet 1 to update guidance on patient costs section</t>
  </si>
  <si>
    <t>If any PBS-listed medicines will be affected by this listing and have not be added to worksheet 3a. Scripts - proposed, please list them here.</t>
  </si>
  <si>
    <t>If any PBS-listed medicines will be affected by this listing and have not be added to worksheet 2d. Scripts - market, please list them here.</t>
  </si>
  <si>
    <t>* Modify worksheet 8 to add Source for incidence percentage</t>
  </si>
  <si>
    <t>Changes since v10.2</t>
  </si>
  <si>
    <t>* Modify worksheet 3a to remove medicine names from Section 2 if market-share model</t>
  </si>
  <si>
    <t>* Modify worksheet 3a to remove medicine names from Section 3 if epidemiology-based model</t>
  </si>
  <si>
    <t>* Modify worksheet 3a to add co-payment group to Section 5</t>
  </si>
  <si>
    <t>* Modify worksheet 3a to correct script counts</t>
  </si>
  <si>
    <t>ExtendTxPop</t>
  </si>
  <si>
    <t>* Modify worksheet 3a to add warning message for duplicate new medicine in Section 5</t>
  </si>
  <si>
    <t>* Modify worksheet 2a to include treatment duration over 12 months</t>
  </si>
  <si>
    <t>* Modify worksheet 2b to include treatment duration over 12 months</t>
  </si>
  <si>
    <t>* Modify worksheet 2c to include treatment duration over 12 months</t>
  </si>
  <si>
    <t>* Modify worksheet 3b to allow selection of co-payment group</t>
  </si>
  <si>
    <t>* Modify worksheet 4b to allow selection of co-payment group</t>
  </si>
  <si>
    <t>Changes since v10.3</t>
  </si>
  <si>
    <t>* Modify worksheet 3a to allow selection of epidemiology populations in mixed models</t>
  </si>
  <si>
    <t>* Modify worksheet 3b to allow public / private / weighted prices</t>
  </si>
  <si>
    <t>* Modify worksheet 3c to allow public / private / weighted prices</t>
  </si>
  <si>
    <t>* Modify worksheet 4b to allow public / private / weighted prices</t>
  </si>
  <si>
    <t>* Modify worksheet 4c to allow public / private / weighted prices</t>
  </si>
  <si>
    <t>Changes since v10.4</t>
  </si>
  <si>
    <t>* Modify worksheet 2d to use VLOOKUP for TxPhase and code</t>
  </si>
  <si>
    <t>* Modify worksheet 7 to correct patient number lookup</t>
  </si>
  <si>
    <t>* Modify worksheet 1 to use VLOOKUP for Treatment Period</t>
  </si>
  <si>
    <t>* Modify worksheet 2d to calculate TPInit</t>
  </si>
  <si>
    <t>* Modify worksheet 2d to calculate TPCont</t>
  </si>
  <si>
    <t>* Modify worksheet 2d to calculate TPAll</t>
  </si>
  <si>
    <t>The following table summarises the total patients per year.</t>
  </si>
  <si>
    <t>* Modify worksheet 7 to correct MBS Item decrease linking to scripts correctly</t>
  </si>
  <si>
    <t>* Modify worksheet 2d to remove ScriptsOldSplit named range</t>
  </si>
  <si>
    <t>* Modify worksheet 3a to remove market share split which is no longer required</t>
  </si>
  <si>
    <t>Changes since v10.5</t>
  </si>
  <si>
    <t>* Modify worksheet 3b to modify weighted co-payment presentation</t>
  </si>
  <si>
    <t>* Modify worksheet 3c to modify weighted co-payment presentation</t>
  </si>
  <si>
    <t>* Modify worksheet 4b to modify weighted co-payment presentation</t>
  </si>
  <si>
    <t>* Modify worksheet 4c to modify weighted co-payment presentation</t>
  </si>
  <si>
    <t>* Modify worksheet 7 to include PBS/RPBS total row</t>
  </si>
  <si>
    <t>* Modify worksheet 4b to show ** Not Required ** in title in epidemiology-based models</t>
  </si>
  <si>
    <t>* Modify worksheet 4b to show ** Not Required ** in medicine names in epidemiology-based models</t>
  </si>
  <si>
    <t>* Modify worksheet 4b to hide Co-payment group in epidemiology-based models</t>
  </si>
  <si>
    <t>* Modify worksheet 5 to display effective costs if there are effective prices for either proposed or affected medicines</t>
  </si>
  <si>
    <t>* Modify worksheet 4c to show ** Not Required ** in medicine names in epidemiology-based models</t>
  </si>
  <si>
    <t>* Modify worksheet 4c to hide Co-payment group in epidemiology-based models</t>
  </si>
  <si>
    <t>* Modify worksheet 4a to show ** Not Used ** in medicine names in Section 3 for epidemiology-based models</t>
  </si>
  <si>
    <t>* Modify worksheet 3a to add annual uptake rates which support cross-relating initial+continuing to all treatment phases.</t>
  </si>
  <si>
    <t>* Modify worksheet 3b to remove conditional formatting from weighted DPMQ column in Section 3</t>
  </si>
  <si>
    <t>* Modify worksheet 3c to remove conditional formatting from weighted DPMQ column in Section 3</t>
  </si>
  <si>
    <t>* Modify worksheet 4b to remove conditional formatting from weighted DPMQ column in Section 3</t>
  </si>
  <si>
    <t>* Modify worksheet 4c to remove conditional formatting from weighted DPMQ column in Section 3</t>
  </si>
  <si>
    <t>* Modify worksheet 11 to allow different persistence rate each year</t>
  </si>
  <si>
    <t>Year 1</t>
  </si>
  <si>
    <t>Year 2</t>
  </si>
  <si>
    <t>Year 3</t>
  </si>
  <si>
    <t>Year 4</t>
  </si>
  <si>
    <t>Year 5</t>
  </si>
  <si>
    <t>Year 6</t>
  </si>
  <si>
    <t>Year 7</t>
  </si>
  <si>
    <t>Year 8</t>
  </si>
  <si>
    <t>Year 9</t>
  </si>
  <si>
    <t>Year 10</t>
  </si>
  <si>
    <t>Year 11</t>
  </si>
  <si>
    <t>Persistent population</t>
  </si>
  <si>
    <t>* Modify worksheet 11 to increase populations to 10</t>
  </si>
  <si>
    <t>* Modify worksheet11 to rename prevalent to persistent</t>
  </si>
  <si>
    <t>* Modify worksheet 8 to remove population from titles</t>
  </si>
  <si>
    <t>* Modify worksheet 9 to remove population from titles</t>
  </si>
  <si>
    <t>* Modify worksheet 10 to remove population from titles</t>
  </si>
  <si>
    <t>* Modify worksheet 11 to remove population from titles</t>
  </si>
  <si>
    <t>PersPop1</t>
  </si>
  <si>
    <t>PersPop2</t>
  </si>
  <si>
    <t>PersPop3</t>
  </si>
  <si>
    <t>PersPop4</t>
  </si>
  <si>
    <t>PersPop5</t>
  </si>
  <si>
    <t>PersPop6</t>
  </si>
  <si>
    <t>PersPop7</t>
  </si>
  <si>
    <t>PersPop8</t>
  </si>
  <si>
    <t>PersPop9</t>
  </si>
  <si>
    <t>PersPop10</t>
  </si>
  <si>
    <t>Persistent</t>
  </si>
  <si>
    <t>11. Persistent population</t>
  </si>
  <si>
    <t>Year 12</t>
  </si>
  <si>
    <t>Changes since v10.6</t>
  </si>
  <si>
    <t>* Modify worksheet 1 to add Episodicity to PBS indication as required</t>
  </si>
  <si>
    <t>* Modify worksheet 7 to correctly account for electronic script volumes</t>
  </si>
  <si>
    <t>* Modify worksheet 3a to correct conditional formatting in Section 4</t>
  </si>
  <si>
    <t>* Modify worksheet 3a to add warning message for extended treatment in epidemiology-based models</t>
  </si>
  <si>
    <t>* Modify worksheet 7 to correct conditional formatting in section 4</t>
  </si>
  <si>
    <t>* Corrected Section 1 conditional formatting in 3a worksheet</t>
  </si>
  <si>
    <t>* Corrected conditional formatting in Section 1 - epidemiology in 4a worksheet</t>
  </si>
  <si>
    <t>Script split source</t>
  </si>
  <si>
    <t>Current market</t>
  </si>
  <si>
    <t>Proposed market</t>
  </si>
  <si>
    <t>Selected</t>
  </si>
  <si>
    <t>Current</t>
  </si>
  <si>
    <t>* Modify worksheet 1 to add script split source choice</t>
  </si>
  <si>
    <t>* Modify worksheet Reference to add ScriptSplitType</t>
  </si>
  <si>
    <t>* Modify worksheet Reference to add ScriptSplitCode</t>
  </si>
  <si>
    <t>* Add ScriptSplit named range</t>
  </si>
  <si>
    <t>* Modify worksheet 3a to calculate script split</t>
  </si>
  <si>
    <t>* Modify worksheet 2d to select script split from current or proposed market</t>
  </si>
  <si>
    <t>* Modify worksheet 11 to add eligibility rate to population definition</t>
  </si>
  <si>
    <t>PRate</t>
  </si>
  <si>
    <t>overall not individual rates used</t>
  </si>
  <si>
    <t>* Modify worksheet 2d to reverse IC vs I &amp; C logic</t>
  </si>
  <si>
    <t>* Modify worksheet 11 to add PRate01-10 named ranges for persistence and uptake of population 1-10</t>
  </si>
  <si>
    <t>* Modify worksheet 6 to only include Written Authorities in the Complex authority count</t>
  </si>
  <si>
    <t>* Modify worksheet 6 to show script volumes by Authority Type</t>
  </si>
  <si>
    <t>* Modify worksheet 3a to allow selection of percentage of current market if script split is proposed market</t>
  </si>
  <si>
    <t>NoSplit</t>
  </si>
  <si>
    <t>missing script split percentage</t>
  </si>
  <si>
    <t>Cohort</t>
  </si>
  <si>
    <t>* Modify worksheet 6 to split written and telephone authorities in electronic form</t>
  </si>
  <si>
    <t>ABS rate</t>
  </si>
  <si>
    <t>* Modify worksheet Reference to add ABSRate</t>
  </si>
  <si>
    <t>* Modify worksheet Reference to add ABSRateType</t>
  </si>
  <si>
    <t>Prevalence</t>
  </si>
  <si>
    <t>Changes since v10.7</t>
  </si>
  <si>
    <t>* Modify worksheet 8 to add ABS rate type selector to all populations</t>
  </si>
  <si>
    <t>* Modify worksheet 8 to update population titles to include incidence / prevalence source indicator</t>
  </si>
  <si>
    <t>* Modify worksheet Reference to update extended duration warning message</t>
  </si>
  <si>
    <t>* Modify worksheet 2b to warning of incident population in prevalent worksheet</t>
  </si>
  <si>
    <t>* Modify worksheet 2a to warning of prevalent population in incident worksheet</t>
  </si>
  <si>
    <t>BadPrevPop</t>
  </si>
  <si>
    <t>BadIncPop</t>
  </si>
  <si>
    <t>prevalence source used for incident population</t>
  </si>
  <si>
    <t>incidence source used for prevalent population</t>
  </si>
  <si>
    <t>* Modify worksheet 8 to add cross population warnings</t>
  </si>
  <si>
    <t>* Modify worksheet 3b to set co-payment = DPMQ if the DPMQ &lt;= co-payment</t>
  </si>
  <si>
    <t>* Modify worksheet 3c to set co-payment = DPMQ if the DPMQ &lt;= co-payment</t>
  </si>
  <si>
    <t>* Modify worksheet 4b to set co-payment = DPMQ if the DPMQ &lt;= co-payment</t>
  </si>
  <si>
    <t>* Modify worksheet 4c to set co-payment = DPMQ if the DPMQ &lt;= co-payment</t>
  </si>
  <si>
    <t>* Modify worksheet 4b to show ** Not Used ** when there are no affected script volumes</t>
  </si>
  <si>
    <t>2026 November</t>
  </si>
  <si>
    <t>2027 November</t>
  </si>
  <si>
    <t>2028 November</t>
  </si>
  <si>
    <t>2026 March</t>
  </si>
  <si>
    <t>2026 July</t>
  </si>
  <si>
    <t>2027 March</t>
  </si>
  <si>
    <t>2027 July</t>
  </si>
  <si>
    <t>2028 March</t>
  </si>
  <si>
    <t>2028 July</t>
  </si>
  <si>
    <t>Intracycle</t>
  </si>
  <si>
    <t>Net change: No authority</t>
  </si>
  <si>
    <t>Net change: AR - Streamlined</t>
  </si>
  <si>
    <t>Net change: AR - Telephone</t>
  </si>
  <si>
    <t>Net change: AR - Written</t>
  </si>
  <si>
    <t>Net change: AR - Electronic (T)</t>
  </si>
  <si>
    <t>Net change: AR - Electronic (W)</t>
  </si>
  <si>
    <t>* Modify worksheet Reference to implement new submission types</t>
  </si>
  <si>
    <t>* Modify worksheet Reference to remove prior years and add future years</t>
  </si>
  <si>
    <t>Resubmission</t>
  </si>
  <si>
    <t>Resubmission pathway</t>
  </si>
  <si>
    <t>Submission category</t>
  </si>
  <si>
    <t>Category 1</t>
  </si>
  <si>
    <t>Category 2</t>
  </si>
  <si>
    <t>Category 3</t>
  </si>
  <si>
    <t>Category 4</t>
  </si>
  <si>
    <t>Early resolution</t>
  </si>
  <si>
    <t>Facilitated resolution</t>
  </si>
  <si>
    <t>Early re-entry</t>
  </si>
  <si>
    <t>Standard re-entry</t>
  </si>
  <si>
    <t>* Modify worksheet Reference to implement new resubmission pathways</t>
  </si>
  <si>
    <t>* Modify worksheet 1 to implement new submission types</t>
  </si>
  <si>
    <t>* Modify worksheet 1 to implement new resubmission pathways</t>
  </si>
  <si>
    <t>The following table summarises the aggregate number of prescriptions of the proposed medicines.</t>
  </si>
  <si>
    <t>The following table summarises the aggregate number of authorities of the proposed medicines.</t>
  </si>
  <si>
    <t>The following table summarises the aggregate number of prescriptions of the affected medicines.</t>
  </si>
  <si>
    <t>The following table summarises the aggregate number of authorities of the affected medicines.</t>
  </si>
  <si>
    <t>1.1 Summary - aggregate scripts for all medicines</t>
  </si>
  <si>
    <t>The following table summarises the aggregate number of prescriptions of the proposed and affected medicines.</t>
  </si>
  <si>
    <t>1.2 Summary - aggregate authorities for all medicines</t>
  </si>
  <si>
    <t>The following table summarises the aggregate number of authorities of the proposed and affected medicines.</t>
  </si>
  <si>
    <t>2.1 Summary - aggregate scripts for proposed medicines</t>
  </si>
  <si>
    <t>2.2 Summary - aggregate authorities for proposed medicines</t>
  </si>
  <si>
    <t>4.1 Summary - aggregate scripts for affected medicines</t>
  </si>
  <si>
    <t>4.2 Summary - aggregate authorities for affected medicines</t>
  </si>
  <si>
    <t>5. Estimate of changed volumes for Services Australia as a result of the listing of the proposed medicine</t>
  </si>
  <si>
    <t>* Modify worksheet 6 to consolidate at proposed and affected medicine level</t>
  </si>
  <si>
    <t>* Rename worksheet 2 - Patients - summary</t>
  </si>
  <si>
    <t>* Modify worksheet 2a to remove duration of therapy adjustment</t>
  </si>
  <si>
    <t>* Modify worksheet Reference to add TxPxPhase1Adj named range - Phase1 patient numbers adjusted for duration of therapy greater than 12 months</t>
  </si>
  <si>
    <t>* Modify worksheet Reference to add TxPxPhase2Adj named range - Phase2 patient numbers adjusted for duration of therapy greater than 12 months</t>
  </si>
  <si>
    <t>* Modify worksheet Reference to add TxPxPhase1Adj table</t>
  </si>
  <si>
    <t>* Modify worksheet Reference to add TxPxPhase2Adj table</t>
  </si>
  <si>
    <t>* Modify worksheet 3a to use TxPxPhase1Adj in place of TxPxPhase1</t>
  </si>
  <si>
    <t>* Modify worksheet 3a to use TxPxPhase2Adj in place of TxPxPhase2</t>
  </si>
  <si>
    <t>* Modify worksheet 4a to use TxPxPhase1Adj in place of TxPxPhase1</t>
  </si>
  <si>
    <t>* Modify worksheet 4a to use TxPxPhase2Adj in place of TxPxPhase2</t>
  </si>
  <si>
    <t>* Modify worksheet 2 to add incident patient duration block</t>
  </si>
  <si>
    <t>* Modify worksheet 2 to add prevalent patient duration block</t>
  </si>
  <si>
    <t>* Modify worksheet 2 to add grandfathered patient duration block</t>
  </si>
  <si>
    <t>* Modify worksheet Reference to add extended population indicator to each population</t>
  </si>
  <si>
    <t>* Modify worksheet 2 to add extended population indicator to each population and totals</t>
  </si>
  <si>
    <t>* Modify worksheet 3a to modify TxPxPhase1 access</t>
  </si>
  <si>
    <t>* Modify worksheet 3a to modify TxPxPhase2 access</t>
  </si>
  <si>
    <t>* Modify worksheet 4 to modify TxPxPhase1 access</t>
  </si>
  <si>
    <t>* Modify worksheet 4 to modify TxPxPhase2 access</t>
  </si>
  <si>
    <t>Chronic</t>
  </si>
  <si>
    <t>Episodic</t>
  </si>
  <si>
    <t>* Modify worksheet 1 to update treatment period</t>
  </si>
  <si>
    <t>* Modify worksheet Reference to update Episodicity to TxDuration</t>
  </si>
  <si>
    <t>Init</t>
  </si>
  <si>
    <t>Free</t>
  </si>
  <si>
    <t>Cont</t>
  </si>
  <si>
    <t>Balance</t>
  </si>
  <si>
    <t>Duration of treatment</t>
  </si>
  <si>
    <t>Units</t>
  </si>
  <si>
    <t>* Modify worksheet Reference to add TimeUnitCount - number of days / weeks / months per year</t>
  </si>
  <si>
    <t>* Modify worksheet 2b to remove duration of therapy adjustment</t>
  </si>
  <si>
    <t>* Modify worksheet 2c to remove duration of therapy adjustment</t>
  </si>
  <si>
    <t>Continuing treatment source</t>
  </si>
  <si>
    <t>Initiating patients</t>
  </si>
  <si>
    <t>Eligible patients</t>
  </si>
  <si>
    <t>Continuing source</t>
  </si>
  <si>
    <t>* Modify worksheet 2a to allow selection of based population for Phase 2 - Phase 1 or total eligible population</t>
  </si>
  <si>
    <t>* Modify worksheet 2b to allow selection of based population for Phase 2 - Phase 1 or total eligible population</t>
  </si>
  <si>
    <t>* Modify worksheet 2c to allow selection of based population for Phase 2 - Phase 1 or total eligible population</t>
  </si>
  <si>
    <t>Item</t>
  </si>
  <si>
    <t>* Modify worksheet 2 to allow initial treatment to be 12 months or longer</t>
  </si>
  <si>
    <t>show values for 12 months of treatment only</t>
  </si>
  <si>
    <t>BadCPG</t>
  </si>
  <si>
    <t>missing co-payment group, check script source</t>
  </si>
  <si>
    <t>SplitErr</t>
  </si>
  <si>
    <t>* Modify worksheet 3a to check that script proportions add to 100%</t>
  </si>
  <si>
    <t>* Modify worksheet 3a to remove generic duplicate warning message</t>
  </si>
  <si>
    <t>substitution rates do not add to 100%</t>
  </si>
  <si>
    <t>Complex treatment costs</t>
  </si>
  <si>
    <t>Evaluation</t>
  </si>
  <si>
    <t>* Modify worksheet 2d to show completed worksheet when used in co-payment only mode</t>
  </si>
  <si>
    <t>Initiating Treatment - Patients</t>
  </si>
  <si>
    <t>Initiating Treatment - Patient months of treatment</t>
  </si>
  <si>
    <t>Continuing Treatment - Patients</t>
  </si>
  <si>
    <t>Continuing Treatment - Patient months of treatment</t>
  </si>
  <si>
    <t>TIPP</t>
  </si>
  <si>
    <t>Total treated incident &amp; prevalent patients</t>
  </si>
  <si>
    <t>CPG</t>
  </si>
  <si>
    <t>Duration of treatment group</t>
  </si>
  <si>
    <t>DTG</t>
  </si>
  <si>
    <t>Duration of treatment groups</t>
  </si>
  <si>
    <t>Duration of treatment group count</t>
  </si>
  <si>
    <t>* Modify worksheet 7 to use DTG in place of populations</t>
  </si>
  <si>
    <t>* Modify worksheet 4a to use DTG in place of populations</t>
  </si>
  <si>
    <t>* Modify worksheet 3a to use DTG in place of populations</t>
  </si>
  <si>
    <t>* Remove MBSPopInc named ranges</t>
  </si>
  <si>
    <t>* Remove MBSPopDec named ranges</t>
  </si>
  <si>
    <t>* Removed TxPopOld named ranges</t>
  </si>
  <si>
    <t>* Remove TxPopNew named ranges</t>
  </si>
  <si>
    <t>This worksheet summarised the patient years of treatment that will be access for the proposed medicine. This can be determined through incidence and/or prevalence.</t>
  </si>
  <si>
    <t>In addition, it can include the number of patients who will access this medicine through a grandfathering arrangement.</t>
  </si>
  <si>
    <t>The following table summarises the total patient population.</t>
  </si>
  <si>
    <t>Patients: Duration of treatment groups</t>
  </si>
  <si>
    <t>Identify the eligible patients who make up this duration of therapy.</t>
  </si>
  <si>
    <t>Year 1 cohort</t>
  </si>
  <si>
    <t>Year 2 cohort</t>
  </si>
  <si>
    <t>Year 3 cohort</t>
  </si>
  <si>
    <t>Year 4 cohort</t>
  </si>
  <si>
    <t>Year 5 cohort</t>
  </si>
  <si>
    <t>Year 6 cohort</t>
  </si>
  <si>
    <t>DTG01</t>
  </si>
  <si>
    <t>DTG02</t>
  </si>
  <si>
    <t>DTG03</t>
  </si>
  <si>
    <t>DTG04</t>
  </si>
  <si>
    <t>DTG05</t>
  </si>
  <si>
    <t>DTG06</t>
  </si>
  <si>
    <t>DTG07</t>
  </si>
  <si>
    <t>DTG08</t>
  </si>
  <si>
    <t>DTG09</t>
  </si>
  <si>
    <t>DTG10</t>
  </si>
  <si>
    <t>DTG11</t>
  </si>
  <si>
    <t>DTG12</t>
  </si>
  <si>
    <t>DTG13</t>
  </si>
  <si>
    <t>DTG14</t>
  </si>
  <si>
    <t>DTG15</t>
  </si>
  <si>
    <t>DTG16</t>
  </si>
  <si>
    <t>DTG17</t>
  </si>
  <si>
    <t>DTG18</t>
  </si>
  <si>
    <t>DTG19</t>
  </si>
  <si>
    <t>DTG20</t>
  </si>
  <si>
    <t>DTG21</t>
  </si>
  <si>
    <t>DTG22</t>
  </si>
  <si>
    <t>DTG23</t>
  </si>
  <si>
    <t>DTG24</t>
  </si>
  <si>
    <t>DTG25</t>
  </si>
  <si>
    <t>DTG26</t>
  </si>
  <si>
    <t>DTG27</t>
  </si>
  <si>
    <t>DTG28</t>
  </si>
  <si>
    <t>DTG29</t>
  </si>
  <si>
    <t>DTG30</t>
  </si>
  <si>
    <t>DTG31</t>
  </si>
  <si>
    <t>2. Detail of duration of treatment groups</t>
  </si>
  <si>
    <t>Total treated grandfathered patients</t>
  </si>
  <si>
    <t>* Remove worksheet 2 and replace with DTG version</t>
  </si>
  <si>
    <t>* Add DTGPops named ranges</t>
  </si>
  <si>
    <t>Unique</t>
  </si>
  <si>
    <t>Sorted</t>
  </si>
  <si>
    <t>Rank</t>
  </si>
  <si>
    <t>MBS Items</t>
  </si>
  <si>
    <t>2e. Scripts - market</t>
  </si>
  <si>
    <t>2d. Patients - duration of treatment groups</t>
  </si>
  <si>
    <t>Delivery basis</t>
  </si>
  <si>
    <t>Number of services / script</t>
  </si>
  <si>
    <t>DTG Units</t>
  </si>
  <si>
    <t>MBSInc10</t>
  </si>
  <si>
    <t>MBSInc11</t>
  </si>
  <si>
    <t>MBSInc12</t>
  </si>
  <si>
    <t>MBSInc13</t>
  </si>
  <si>
    <t>MBSInc14</t>
  </si>
  <si>
    <t>MBSInc15</t>
  </si>
  <si>
    <t>MBSInc16</t>
  </si>
  <si>
    <t>MBSInc17</t>
  </si>
  <si>
    <t>MBSInc18</t>
  </si>
  <si>
    <t>MBSInc19</t>
  </si>
  <si>
    <t>MBSInc20</t>
  </si>
  <si>
    <t>MBSDec01</t>
  </si>
  <si>
    <t>MBSDec02</t>
  </si>
  <si>
    <t>MBSDec03</t>
  </si>
  <si>
    <t>MBSDec04</t>
  </si>
  <si>
    <t>MBSDec05</t>
  </si>
  <si>
    <t>MBSDec06</t>
  </si>
  <si>
    <t>MBSDec07</t>
  </si>
  <si>
    <t>MBSDec08</t>
  </si>
  <si>
    <t>MBSDec09</t>
  </si>
  <si>
    <t>MBSDec10</t>
  </si>
  <si>
    <t>MBSDec11</t>
  </si>
  <si>
    <t>MBSDec12</t>
  </si>
  <si>
    <t>MBSDec13</t>
  </si>
  <si>
    <t>MBSDec14</t>
  </si>
  <si>
    <t>MBSDec15</t>
  </si>
  <si>
    <t>MBSDec16</t>
  </si>
  <si>
    <t>MBSDec17</t>
  </si>
  <si>
    <t>MBSDec18</t>
  </si>
  <si>
    <t>MBSDec19</t>
  </si>
  <si>
    <t>MBSDec20</t>
  </si>
  <si>
    <t>MBSInc01</t>
  </si>
  <si>
    <t>MBSInc02</t>
  </si>
  <si>
    <t>MBSInc03</t>
  </si>
  <si>
    <t>MBSInc04</t>
  </si>
  <si>
    <t>MBSInc05</t>
  </si>
  <si>
    <t>MBSInc06</t>
  </si>
  <si>
    <t>MBSInc07</t>
  </si>
  <si>
    <t>MBSInc08</t>
  </si>
  <si>
    <t>MBSInc09</t>
  </si>
  <si>
    <t>1. Summary of patient years of treatment</t>
  </si>
  <si>
    <t>MBS Services</t>
  </si>
  <si>
    <t>* Modify worksheet 7 to allow for 20 MBS items in increase and decrease</t>
  </si>
  <si>
    <t>Variable persistence rate</t>
  </si>
  <si>
    <t>Variable eligibility rate</t>
  </si>
  <si>
    <t>Include starting population in total</t>
  </si>
  <si>
    <t>Constant persistence rate for all years</t>
  </si>
  <si>
    <t>Contant eligibility rate for all years</t>
  </si>
  <si>
    <t>* Modify worksheet 11 to alow starting population to be included or ignored in total</t>
  </si>
  <si>
    <t>In hospital - public</t>
  </si>
  <si>
    <t>In hospital - private</t>
  </si>
  <si>
    <t>Out of hospital</t>
  </si>
  <si>
    <t>* Modify worksheet 7 to show In hospital - public, In hospital - private, Out of Hospital</t>
  </si>
  <si>
    <t>Total services</t>
  </si>
  <si>
    <t>Existing RSA</t>
  </si>
  <si>
    <t>Changes since v10.8</t>
  </si>
  <si>
    <t>* Modify worksheet 1 to add name of RSA if joining an existing RSA</t>
  </si>
  <si>
    <t>* Modify worksheet11 to correct formula error in Population 2-10</t>
  </si>
  <si>
    <t>At 100% compliance</t>
  </si>
  <si>
    <t>2029 March</t>
  </si>
  <si>
    <t>2029 July</t>
  </si>
  <si>
    <t>2029 November</t>
  </si>
  <si>
    <t>Updated: 1/09/2025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</si>
</sst>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2">
    <numFmt numFmtId="6" formatCode="&quot;$&quot;#,##0;[Red]\-&quot;$&quot;#,##0"/>
    <numFmt numFmtId="8" formatCode="&quot;$&quot;#,##0.00;[Red]\-&quot;$&quot;#,##0.00"/>
    <numFmt numFmtId="164" formatCode="&quot;$&quot;#,##0_);[Red]\(&quot;$&quot;#,##0\)"/>
    <numFmt numFmtId="165" formatCode="&quot;$&quot;#,##0.00_);[Red]\(&quot;$&quot;#,##0.00\)"/>
    <numFmt numFmtId="166" formatCode="_(&quot;$&quot;* #,##0_);_(&quot;$&quot;* \(#,##0\);_(&quot;$&quot;* &quot;-&quot;_);_(@_)"/>
    <numFmt numFmtId="167" formatCode="_(* #,##0_);_(* \(#,##0\);_(* &quot;-&quot;_);_(@_)"/>
    <numFmt numFmtId="168" formatCode="_(&quot;$&quot;* #,##0.00_);_(&quot;$&quot;* \(#,##0.00\);_(&quot;$&quot;* &quot;-&quot;??_);_(@_)"/>
    <numFmt numFmtId="169" formatCode="_(* #,##0.00_);_(* \(#,##0.00\);_(* &quot;-&quot;??_);_(@_)"/>
    <numFmt numFmtId="170" formatCode="_-* #,##0_-;\-* #,##0_-;_-* &quot;-&quot;??_-;_-@_-"/>
    <numFmt numFmtId="171" formatCode="#,##0_ ;[Red]\-#,##0\ "/>
    <numFmt numFmtId="172" formatCode="#,##0.00_ ;[Red]\-#,##0.00\ "/>
    <numFmt numFmtId="173" formatCode="mmm\-yyyy"/>
    <numFmt numFmtId="174" formatCode="0;\-0;0;@"/>
    <numFmt numFmtId="175" formatCode="#,##0_ ;\-#,##0\ "/>
    <numFmt numFmtId="176" formatCode="&quot;$&quot;#,##0.000;[Red]\-&quot;$&quot;#,##0.000"/>
    <numFmt numFmtId="177" formatCode="0.0"/>
    <numFmt numFmtId="178" formatCode="0.000%"/>
    <numFmt numFmtId="179" formatCode="0.000000"/>
    <numFmt numFmtId="180" formatCode="&quot;$&quot;#,##0.00"/>
    <numFmt numFmtId="181" formatCode="#,##0.0_ ;[Red]\-#,##0.0\ "/>
    <numFmt numFmtId="182" formatCode="0_ ;[Red]\-0\ "/>
    <numFmt numFmtId="183" formatCode="#,##0.0000_ ;[Red]\-#,##0.0000\ "/>
  </numFmts>
  <fonts count="82" x14ac:knownFonts="1">
    <font>
      <sz val="10"/>
      <color theme="1"/>
      <name val="Arial"/>
      <family val="2"/>
      <scheme val="minor"/>
    </font>
    <font>
      <sz val="10"/>
      <color theme="1"/>
      <name val="Arial"/>
      <family val="2"/>
    </font>
    <font>
      <sz val="10"/>
      <color theme="1"/>
      <name val="Arial"/>
      <family val="2"/>
    </font>
    <font>
      <b/>
      <sz val="10"/>
      <color indexed="8"/>
      <name val="Arial"/>
      <family val="2"/>
    </font>
    <font>
      <sz val="8"/>
      <name val="Arial"/>
      <family val="2"/>
    </font>
    <font>
      <sz val="10"/>
      <name val="Arial"/>
      <family val="2"/>
    </font>
    <font>
      <b/>
      <sz val="10"/>
      <name val="Arial"/>
      <family val="2"/>
    </font>
    <font>
      <b/>
      <sz val="8"/>
      <color indexed="81"/>
      <name val="Tahoma"/>
      <family val="2"/>
    </font>
    <font>
      <sz val="8"/>
      <color indexed="81"/>
      <name val="Tahoma"/>
      <family val="2"/>
    </font>
    <font>
      <sz val="10"/>
      <color indexed="63"/>
      <name val="Arial"/>
      <family val="2"/>
    </font>
    <font>
      <sz val="10"/>
      <color theme="1"/>
      <name val="Arial"/>
      <family val="2"/>
      <scheme val="minor"/>
    </font>
    <font>
      <sz val="10"/>
      <color theme="1"/>
      <name val="Arial"/>
      <family val="2"/>
    </font>
    <font>
      <sz val="10"/>
      <color theme="0"/>
      <name val="Arial"/>
      <family val="2"/>
    </font>
    <font>
      <sz val="10"/>
      <color rgb="FF9C0006"/>
      <name val="Arial"/>
      <family val="2"/>
    </font>
    <font>
      <b/>
      <sz val="10"/>
      <color rgb="FFFA7D00"/>
      <name val="Arial"/>
      <family val="2"/>
    </font>
    <font>
      <b/>
      <sz val="10"/>
      <color theme="0"/>
      <name val="Arial"/>
      <family val="2"/>
    </font>
    <font>
      <i/>
      <sz val="10"/>
      <color rgb="FF7F7F7F"/>
      <name val="Arial"/>
      <family val="2"/>
    </font>
    <font>
      <u/>
      <sz val="10"/>
      <color theme="11"/>
      <name val="Arial"/>
      <family val="2"/>
      <scheme val="minor"/>
    </font>
    <font>
      <sz val="10"/>
      <color rgb="FF006100"/>
      <name val="Arial"/>
      <family val="2"/>
    </font>
    <font>
      <b/>
      <sz val="15"/>
      <color theme="3"/>
      <name val="Arial"/>
      <family val="2"/>
    </font>
    <font>
      <b/>
      <sz val="13"/>
      <color theme="3"/>
      <name val="Arial"/>
      <family val="2"/>
    </font>
    <font>
      <b/>
      <sz val="11"/>
      <color theme="3"/>
      <name val="Arial"/>
      <family val="2"/>
    </font>
    <font>
      <u/>
      <sz val="10"/>
      <color theme="10"/>
      <name val="Arial"/>
      <family val="2"/>
      <scheme val="minor"/>
    </font>
    <font>
      <sz val="10"/>
      <color rgb="FF3F3F76"/>
      <name val="Arial"/>
      <family val="2"/>
    </font>
    <font>
      <sz val="10"/>
      <color rgb="FFFA7D00"/>
      <name val="Arial"/>
      <family val="2"/>
    </font>
    <font>
      <sz val="10"/>
      <color rgb="FF9C6500"/>
      <name val="Arial"/>
      <family val="2"/>
    </font>
    <font>
      <b/>
      <sz val="10"/>
      <color rgb="FF3F3F3F"/>
      <name val="Arial"/>
      <family val="2"/>
    </font>
    <font>
      <b/>
      <sz val="18"/>
      <color theme="3"/>
      <name val="Arial"/>
      <family val="2"/>
      <scheme val="major"/>
    </font>
    <font>
      <b/>
      <sz val="10"/>
      <color theme="1"/>
      <name val="Arial"/>
      <family val="2"/>
    </font>
    <font>
      <sz val="10"/>
      <color rgb="FFFF0000"/>
      <name val="Arial"/>
      <family val="2"/>
    </font>
    <font>
      <sz val="11"/>
      <color theme="0"/>
      <name val="Arial"/>
      <family val="2"/>
      <scheme val="minor"/>
    </font>
    <font>
      <b/>
      <sz val="10"/>
      <color theme="1"/>
      <name val="Arial"/>
      <family val="2"/>
      <scheme val="minor"/>
    </font>
    <font>
      <u/>
      <sz val="12"/>
      <color theme="1"/>
      <name val="Arial"/>
      <family val="2"/>
      <scheme val="minor"/>
    </font>
    <font>
      <b/>
      <sz val="10"/>
      <color rgb="FFFF0000"/>
      <name val="Arial"/>
      <family val="2"/>
      <scheme val="minor"/>
    </font>
    <font>
      <b/>
      <sz val="10"/>
      <color theme="3" tint="-0.249977111117893"/>
      <name val="Arial"/>
      <family val="2"/>
    </font>
    <font>
      <sz val="8"/>
      <color theme="1"/>
      <name val="Arial"/>
      <family val="2"/>
    </font>
    <font>
      <sz val="12"/>
      <color theme="0"/>
      <name val="Arial"/>
      <family val="2"/>
      <scheme val="minor"/>
    </font>
    <font>
      <sz val="12"/>
      <color theme="1"/>
      <name val="Arial"/>
      <family val="2"/>
      <scheme val="minor"/>
    </font>
    <font>
      <sz val="10"/>
      <name val="Arial"/>
      <family val="2"/>
      <scheme val="minor"/>
    </font>
    <font>
      <sz val="10"/>
      <color rgb="FFFF0000"/>
      <name val="Arial"/>
      <family val="2"/>
      <scheme val="minor"/>
    </font>
    <font>
      <sz val="8"/>
      <color theme="1"/>
      <name val="Arial"/>
      <family val="2"/>
      <scheme val="minor"/>
    </font>
    <font>
      <sz val="10"/>
      <color rgb="FF000000"/>
      <name val="Arial"/>
      <family val="2"/>
      <scheme val="minor"/>
    </font>
    <font>
      <sz val="8"/>
      <color rgb="FFFF0000"/>
      <name val="Arial"/>
      <family val="2"/>
      <scheme val="minor"/>
    </font>
    <font>
      <b/>
      <sz val="12"/>
      <color theme="0"/>
      <name val="Arial"/>
      <family val="2"/>
      <scheme val="minor"/>
    </font>
    <font>
      <sz val="8"/>
      <color theme="0"/>
      <name val="Arial"/>
      <family val="2"/>
    </font>
    <font>
      <b/>
      <sz val="12"/>
      <color theme="0"/>
      <name val="Arial"/>
      <family val="2"/>
    </font>
    <font>
      <b/>
      <sz val="10"/>
      <color rgb="FFFF0000"/>
      <name val="Arial"/>
      <family val="2"/>
    </font>
    <font>
      <sz val="11"/>
      <color theme="6"/>
      <name val="Arial"/>
      <family val="2"/>
      <scheme val="minor"/>
    </font>
    <font>
      <b/>
      <sz val="18"/>
      <color theme="0"/>
      <name val="Arial"/>
      <family val="2"/>
      <scheme val="minor"/>
    </font>
    <font>
      <sz val="10"/>
      <color theme="0"/>
      <name val="Arial"/>
      <family val="2"/>
      <scheme val="minor"/>
    </font>
    <font>
      <b/>
      <sz val="10"/>
      <name val="Arial"/>
      <family val="2"/>
      <scheme val="minor"/>
    </font>
    <font>
      <u/>
      <sz val="12"/>
      <color theme="0"/>
      <name val="Arial"/>
      <family val="2"/>
      <scheme val="minor"/>
    </font>
    <font>
      <b/>
      <sz val="11"/>
      <color theme="0"/>
      <name val="Arial"/>
      <family val="2"/>
      <scheme val="minor"/>
    </font>
    <font>
      <b/>
      <sz val="12"/>
      <color theme="1"/>
      <name val="Arial"/>
      <family val="2"/>
      <scheme val="minor"/>
    </font>
    <font>
      <u/>
      <sz val="10"/>
      <color theme="1"/>
      <name val="Arial"/>
      <family val="2"/>
      <scheme val="minor"/>
    </font>
    <font>
      <b/>
      <sz val="10"/>
      <color theme="0"/>
      <name val="Arial"/>
      <family val="2"/>
      <scheme val="minor"/>
    </font>
    <font>
      <i/>
      <sz val="11"/>
      <color theme="1"/>
      <name val="Arial"/>
      <family val="2"/>
      <scheme val="minor"/>
    </font>
    <font>
      <sz val="11"/>
      <color rgb="FFFF0000"/>
      <name val="Arial"/>
      <family val="2"/>
      <scheme val="minor"/>
    </font>
    <font>
      <b/>
      <sz val="8"/>
      <color theme="1"/>
      <name val="Arial"/>
      <family val="2"/>
      <scheme val="minor"/>
    </font>
    <font>
      <b/>
      <sz val="11"/>
      <color theme="1"/>
      <name val="Arial"/>
      <family val="2"/>
      <scheme val="minor"/>
    </font>
    <font>
      <i/>
      <sz val="10"/>
      <color theme="1"/>
      <name val="Arial"/>
      <family val="2"/>
      <scheme val="minor"/>
    </font>
    <font>
      <sz val="8"/>
      <color theme="0" tint="-0.499984740745262"/>
      <name val="Arial"/>
      <family val="2"/>
      <scheme val="minor"/>
    </font>
    <font>
      <sz val="11"/>
      <color theme="8"/>
      <name val="Arial"/>
      <family val="2"/>
      <scheme val="minor"/>
    </font>
    <font>
      <sz val="10"/>
      <color theme="5"/>
      <name val="Arial"/>
      <family val="2"/>
    </font>
    <font>
      <b/>
      <sz val="18"/>
      <color theme="0"/>
      <name val="Arial"/>
      <family val="2"/>
    </font>
    <font>
      <sz val="8"/>
      <color rgb="FFFF0000"/>
      <name val="Arial"/>
      <family val="2"/>
    </font>
    <font>
      <b/>
      <sz val="12"/>
      <color theme="1"/>
      <name val="Arial"/>
      <family val="2"/>
    </font>
    <font>
      <sz val="12"/>
      <color theme="1"/>
      <name val="Arial"/>
      <family val="2"/>
    </font>
    <font>
      <b/>
      <sz val="11"/>
      <name val="Arial"/>
      <family val="2"/>
      <scheme val="minor"/>
    </font>
    <font>
      <b/>
      <sz val="16"/>
      <color theme="0"/>
      <name val="Arial"/>
      <family val="2"/>
      <scheme val="minor"/>
    </font>
    <font>
      <u/>
      <sz val="8"/>
      <color rgb="FFFF0000"/>
      <name val="Arial"/>
      <family val="2"/>
      <scheme val="minor"/>
    </font>
    <font>
      <b/>
      <sz val="11"/>
      <color theme="0" tint="-0.499984740745262"/>
      <name val="Arial"/>
      <family val="2"/>
      <scheme val="minor"/>
    </font>
    <font>
      <sz val="11"/>
      <color theme="7"/>
      <name val="Arial"/>
      <family val="2"/>
      <scheme val="minor"/>
    </font>
    <font>
      <sz val="11"/>
      <color theme="4"/>
      <name val="Arial"/>
      <family val="2"/>
      <scheme val="minor"/>
    </font>
    <font>
      <sz val="11"/>
      <color theme="1"/>
      <name val="Arial"/>
      <family val="2"/>
      <scheme val="minor"/>
    </font>
    <font>
      <b/>
      <sz val="8"/>
      <color theme="0"/>
      <name val="Arial"/>
      <family val="2"/>
    </font>
    <font>
      <sz val="10"/>
      <color rgb="FF00B0F0"/>
      <name val="Arial"/>
      <family val="2"/>
      <scheme val="minor"/>
    </font>
    <font>
      <sz val="8"/>
      <color theme="0"/>
      <name val="Arial"/>
      <family val="2"/>
      <scheme val="minor"/>
    </font>
    <font>
      <b/>
      <sz val="8"/>
      <color rgb="FFFF0000"/>
      <name val="Arial"/>
      <family val="2"/>
      <scheme val="minor"/>
    </font>
    <font>
      <b/>
      <sz val="8"/>
      <color rgb="FFFF0000"/>
      <name val="Arial"/>
      <family val="2"/>
    </font>
    <font>
      <b/>
      <sz val="9"/>
      <color theme="0"/>
      <name val="Arial"/>
      <family val="2"/>
    </font>
    <font>
      <sz val="9"/>
      <color theme="1"/>
      <name val="Arial"/>
      <family val="2"/>
      <scheme val="minor"/>
    </font>
  </fonts>
  <fills count="50">
    <fill>
      <patternFill patternType="none"/>
    </fill>
    <fill>
      <patternFill patternType="gray125"/>
    </fill>
    <fill>
      <patternFill patternType="solid">
        <fgColor indexed="9"/>
        <bgColor indexed="64"/>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theme="6"/>
        <bgColor indexed="64"/>
      </patternFill>
    </fill>
    <fill>
      <patternFill patternType="solid">
        <fgColor theme="0"/>
        <bgColor indexed="64"/>
      </patternFill>
    </fill>
    <fill>
      <patternFill patternType="solid">
        <fgColor rgb="FFFFFF93"/>
        <bgColor indexed="64"/>
      </patternFill>
    </fill>
    <fill>
      <patternFill patternType="solid">
        <fgColor theme="0" tint="-0.499984740745262"/>
        <bgColor indexed="64"/>
      </patternFill>
    </fill>
    <fill>
      <patternFill patternType="solid">
        <fgColor theme="0" tint="-4.9989318521683403E-2"/>
        <bgColor indexed="64"/>
      </patternFill>
    </fill>
    <fill>
      <patternFill patternType="solid">
        <fgColor theme="0" tint="-0.249977111117893"/>
        <bgColor indexed="64"/>
      </patternFill>
    </fill>
    <fill>
      <patternFill patternType="solid">
        <fgColor theme="5"/>
        <bgColor indexed="64"/>
      </patternFill>
    </fill>
    <fill>
      <patternFill patternType="solid">
        <fgColor theme="0" tint="-0.14999847407452621"/>
        <bgColor indexed="64"/>
      </patternFill>
    </fill>
    <fill>
      <patternFill patternType="solid">
        <fgColor theme="8"/>
        <bgColor indexed="64"/>
      </patternFill>
    </fill>
    <fill>
      <patternFill patternType="lightUp">
        <bgColor theme="0" tint="-0.24994659260841701"/>
      </patternFill>
    </fill>
    <fill>
      <patternFill patternType="solid">
        <fgColor theme="9"/>
        <bgColor indexed="64"/>
      </patternFill>
    </fill>
    <fill>
      <patternFill patternType="solid">
        <fgColor theme="7"/>
        <bgColor indexed="64"/>
      </patternFill>
    </fill>
    <fill>
      <patternFill patternType="solid">
        <fgColor theme="4"/>
        <bgColor indexed="64"/>
      </patternFill>
    </fill>
    <fill>
      <patternFill patternType="solid">
        <fgColor theme="4" tint="0.39997558519241921"/>
        <bgColor indexed="64"/>
      </patternFill>
    </fill>
    <fill>
      <patternFill patternType="lightUp">
        <bgColor theme="0" tint="-0.249977111117893"/>
      </patternFill>
    </fill>
    <fill>
      <patternFill patternType="solid">
        <fgColor rgb="FFFFFF00"/>
        <bgColor indexed="64"/>
      </patternFill>
    </fill>
  </fills>
  <borders count="49">
    <border>
      <left/>
      <right/>
      <top/>
      <bottom/>
      <diagonal/>
    </border>
    <border>
      <left style="thin">
        <color indexed="64"/>
      </left>
      <right/>
      <top style="thin">
        <color indexed="64"/>
      </top>
      <bottom/>
      <diagonal/>
    </border>
    <border>
      <left style="thin">
        <color indexed="64"/>
      </left>
      <right/>
      <top style="thin">
        <color indexed="64"/>
      </top>
      <bottom style="thin">
        <color indexed="64"/>
      </bottom>
      <diagonal/>
    </border>
    <border>
      <left style="thin">
        <color indexed="64"/>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right/>
      <top style="thin">
        <color indexed="56"/>
      </top>
      <bottom style="thin">
        <color indexed="56"/>
      </bottom>
      <diagonal/>
    </border>
    <border>
      <left/>
      <right style="thin">
        <color indexed="64"/>
      </right>
      <top/>
      <bottom/>
      <diagonal/>
    </border>
    <border>
      <left/>
      <right/>
      <top style="thin">
        <color indexed="64"/>
      </top>
      <bottom style="thin">
        <color indexed="64"/>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
      <left/>
      <right style="thin">
        <color indexed="64"/>
      </right>
      <top style="thin">
        <color indexed="64"/>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top style="thin">
        <color indexed="64"/>
      </top>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thin">
        <color indexed="64"/>
      </top>
      <bottom/>
      <diagonal/>
    </border>
    <border>
      <left/>
      <right style="medium">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thin">
        <color indexed="64"/>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s>
  <cellStyleXfs count="49">
    <xf numFmtId="0" fontId="0" fillId="0" borderId="0">
      <alignment vertical="center"/>
      <protection locked="0"/>
    </xf>
    <xf numFmtId="0" fontId="11" fillId="3" borderId="0" applyNumberFormat="0" applyBorder="0" applyAlignment="0" applyProtection="0">
      <protection locked="0"/>
    </xf>
    <xf numFmtId="0" fontId="11" fillId="4" borderId="0" applyNumberFormat="0" applyBorder="0" applyAlignment="0" applyProtection="0">
      <protection locked="0"/>
    </xf>
    <xf numFmtId="0" fontId="11" fillId="5" borderId="0" applyNumberFormat="0" applyBorder="0" applyAlignment="0" applyProtection="0">
      <protection locked="0"/>
    </xf>
    <xf numFmtId="0" fontId="11" fillId="6" borderId="0" applyNumberFormat="0" applyBorder="0" applyAlignment="0" applyProtection="0">
      <protection locked="0"/>
    </xf>
    <xf numFmtId="0" fontId="11" fillId="7" borderId="0" applyNumberFormat="0" applyBorder="0" applyAlignment="0" applyProtection="0">
      <protection locked="0"/>
    </xf>
    <xf numFmtId="0" fontId="11" fillId="8" borderId="0" applyNumberFormat="0" applyBorder="0" applyAlignment="0" applyProtection="0">
      <protection locked="0"/>
    </xf>
    <xf numFmtId="0" fontId="11" fillId="9" borderId="0" applyNumberFormat="0" applyBorder="0" applyAlignment="0" applyProtection="0">
      <protection locked="0"/>
    </xf>
    <xf numFmtId="0" fontId="11" fillId="10" borderId="0" applyNumberFormat="0" applyBorder="0" applyAlignment="0" applyProtection="0">
      <protection locked="0"/>
    </xf>
    <xf numFmtId="0" fontId="11" fillId="11" borderId="0" applyNumberFormat="0" applyBorder="0" applyAlignment="0" applyProtection="0">
      <protection locked="0"/>
    </xf>
    <xf numFmtId="0" fontId="11" fillId="12" borderId="0" applyNumberFormat="0" applyBorder="0" applyAlignment="0" applyProtection="0">
      <protection locked="0"/>
    </xf>
    <xf numFmtId="0" fontId="11" fillId="13" borderId="0" applyNumberFormat="0" applyBorder="0" applyAlignment="0" applyProtection="0">
      <protection locked="0"/>
    </xf>
    <xf numFmtId="0" fontId="11" fillId="14" borderId="0" applyNumberFormat="0" applyBorder="0" applyAlignment="0" applyProtection="0">
      <protection locked="0"/>
    </xf>
    <xf numFmtId="0" fontId="12" fillId="15" borderId="0" applyNumberFormat="0" applyBorder="0" applyAlignment="0" applyProtection="0">
      <protection locked="0"/>
    </xf>
    <xf numFmtId="0" fontId="12" fillId="16" borderId="0" applyNumberFormat="0" applyBorder="0" applyAlignment="0" applyProtection="0">
      <protection locked="0"/>
    </xf>
    <xf numFmtId="0" fontId="12" fillId="17" borderId="0" applyNumberFormat="0" applyBorder="0" applyAlignment="0" applyProtection="0">
      <protection locked="0"/>
    </xf>
    <xf numFmtId="0" fontId="12" fillId="18" borderId="0" applyNumberFormat="0" applyBorder="0" applyAlignment="0" applyProtection="0">
      <protection locked="0"/>
    </xf>
    <xf numFmtId="0" fontId="12" fillId="19" borderId="0" applyNumberFormat="0" applyBorder="0" applyAlignment="0" applyProtection="0">
      <protection locked="0"/>
    </xf>
    <xf numFmtId="0" fontId="12" fillId="20" borderId="0" applyNumberFormat="0" applyBorder="0" applyAlignment="0" applyProtection="0">
      <protection locked="0"/>
    </xf>
    <xf numFmtId="0" fontId="12" fillId="21" borderId="0" applyNumberFormat="0" applyBorder="0" applyAlignment="0" applyProtection="0">
      <protection locked="0"/>
    </xf>
    <xf numFmtId="0" fontId="12" fillId="22" borderId="0" applyNumberFormat="0" applyBorder="0" applyAlignment="0" applyProtection="0">
      <protection locked="0"/>
    </xf>
    <xf numFmtId="0" fontId="12" fillId="23" borderId="0" applyNumberFormat="0" applyBorder="0" applyAlignment="0" applyProtection="0">
      <protection locked="0"/>
    </xf>
    <xf numFmtId="0" fontId="12" fillId="24" borderId="0" applyNumberFormat="0" applyBorder="0" applyAlignment="0" applyProtection="0">
      <protection locked="0"/>
    </xf>
    <xf numFmtId="0" fontId="12" fillId="25" borderId="0" applyNumberFormat="0" applyBorder="0" applyAlignment="0" applyProtection="0">
      <protection locked="0"/>
    </xf>
    <xf numFmtId="0" fontId="12" fillId="26" borderId="0" applyNumberFormat="0" applyBorder="0" applyAlignment="0" applyProtection="0">
      <protection locked="0"/>
    </xf>
    <xf numFmtId="0" fontId="13" fillId="27" borderId="0" applyNumberFormat="0" applyBorder="0" applyAlignment="0" applyProtection="0">
      <protection locked="0"/>
    </xf>
    <xf numFmtId="0" fontId="14" fillId="28" borderId="14" applyNumberFormat="0" applyAlignment="0" applyProtection="0">
      <protection locked="0"/>
    </xf>
    <xf numFmtId="0" fontId="15" fillId="29" borderId="15" applyNumberFormat="0" applyAlignment="0" applyProtection="0">
      <protection locked="0"/>
    </xf>
    <xf numFmtId="169" fontId="10" fillId="0" borderId="0" applyFont="0" applyFill="0" applyBorder="0" applyAlignment="0" applyProtection="0">
      <protection locked="0"/>
    </xf>
    <xf numFmtId="167" fontId="10" fillId="0" borderId="0" applyFont="0" applyFill="0" applyBorder="0" applyAlignment="0" applyProtection="0">
      <protection locked="0"/>
    </xf>
    <xf numFmtId="168" fontId="10" fillId="0" borderId="0" applyFont="0" applyFill="0" applyBorder="0" applyAlignment="0" applyProtection="0">
      <protection locked="0"/>
    </xf>
    <xf numFmtId="166" fontId="10" fillId="0" borderId="0" applyFont="0" applyFill="0" applyBorder="0" applyAlignment="0" applyProtection="0">
      <protection locked="0"/>
    </xf>
    <xf numFmtId="0" fontId="16" fillId="0" borderId="0" applyNumberFormat="0" applyFill="0" applyBorder="0" applyAlignment="0" applyProtection="0">
      <protection locked="0"/>
    </xf>
    <xf numFmtId="0" fontId="17" fillId="0" borderId="0" applyNumberFormat="0" applyFill="0" applyBorder="0" applyAlignment="0" applyProtection="0">
      <alignment vertical="center"/>
      <protection locked="0"/>
    </xf>
    <xf numFmtId="0" fontId="18" fillId="30" borderId="0" applyNumberFormat="0" applyBorder="0" applyAlignment="0" applyProtection="0">
      <protection locked="0"/>
    </xf>
    <xf numFmtId="0" fontId="19" fillId="0" borderId="16" applyNumberFormat="0" applyFill="0" applyAlignment="0" applyProtection="0">
      <protection locked="0"/>
    </xf>
    <xf numFmtId="0" fontId="20" fillId="0" borderId="17" applyNumberFormat="0" applyFill="0" applyAlignment="0" applyProtection="0">
      <protection locked="0"/>
    </xf>
    <xf numFmtId="0" fontId="21" fillId="0" borderId="18" applyNumberFormat="0" applyFill="0" applyAlignment="0" applyProtection="0">
      <protection locked="0"/>
    </xf>
    <xf numFmtId="0" fontId="21" fillId="0" borderId="0" applyNumberFormat="0" applyFill="0" applyBorder="0" applyAlignment="0" applyProtection="0">
      <protection locked="0"/>
    </xf>
    <xf numFmtId="0" fontId="22" fillId="0" borderId="0" applyNumberFormat="0" applyFill="0" applyBorder="0" applyAlignment="0" applyProtection="0">
      <alignment vertical="center"/>
      <protection locked="0"/>
    </xf>
    <xf numFmtId="0" fontId="23" fillId="31" borderId="14" applyNumberFormat="0" applyAlignment="0" applyProtection="0">
      <protection locked="0"/>
    </xf>
    <xf numFmtId="0" fontId="24" fillId="0" borderId="19" applyNumberFormat="0" applyFill="0" applyAlignment="0" applyProtection="0">
      <protection locked="0"/>
    </xf>
    <xf numFmtId="0" fontId="25" fillId="32" borderId="0" applyNumberFormat="0" applyBorder="0" applyAlignment="0" applyProtection="0">
      <protection locked="0"/>
    </xf>
    <xf numFmtId="0" fontId="10" fillId="33" borderId="20" applyNumberFormat="0" applyFont="0" applyAlignment="0" applyProtection="0">
      <protection locked="0"/>
    </xf>
    <xf numFmtId="0" fontId="26" fillId="28" borderId="21" applyNumberFormat="0" applyAlignment="0" applyProtection="0">
      <protection locked="0"/>
    </xf>
    <xf numFmtId="9" fontId="10" fillId="0" borderId="0" applyFont="0" applyFill="0" applyBorder="0" applyAlignment="0" applyProtection="0">
      <protection locked="0"/>
    </xf>
    <xf numFmtId="0" fontId="27" fillId="0" borderId="0" applyNumberFormat="0" applyFill="0" applyBorder="0" applyAlignment="0" applyProtection="0">
      <protection locked="0"/>
    </xf>
    <xf numFmtId="0" fontId="28" fillId="0" borderId="22" applyNumberFormat="0" applyFill="0" applyAlignment="0" applyProtection="0">
      <protection locked="0"/>
    </xf>
    <xf numFmtId="0" fontId="29" fillId="0" borderId="0" applyNumberFormat="0" applyFill="0" applyBorder="0" applyAlignment="0" applyProtection="0">
      <protection locked="0"/>
    </xf>
  </cellStyleXfs>
  <cellXfs count="683">
    <xf numFmtId="0" fontId="0" fillId="0" borderId="0" xfId="0">
      <alignment vertical="center"/>
      <protection locked="0"/>
    </xf>
    <xf numFmtId="0" fontId="0" fillId="35" borderId="0" xfId="0" applyFill="1">
      <alignment vertical="center"/>
      <protection locked="0"/>
    </xf>
    <xf numFmtId="0" fontId="0" fillId="35" borderId="1" xfId="0" applyFill="1" applyBorder="1" applyAlignment="1">
      <alignment vertical="center" wrapText="1"/>
      <protection locked="0"/>
    </xf>
    <xf numFmtId="0" fontId="31" fillId="35" borderId="2" xfId="0" applyFont="1" applyFill="1" applyBorder="1" applyAlignment="1">
      <alignment vertical="center" wrapText="1"/>
      <protection locked="0"/>
    </xf>
    <xf numFmtId="0" fontId="31" fillId="35" borderId="3" xfId="0" applyFont="1" applyFill="1" applyBorder="1" applyAlignment="1">
      <alignment vertical="center" wrapText="1"/>
      <protection locked="0"/>
    </xf>
    <xf numFmtId="0" fontId="31" fillId="35" borderId="4" xfId="0" applyFont="1" applyFill="1" applyBorder="1" applyAlignment="1">
      <alignment horizontal="center" vertical="center" wrapText="1"/>
      <protection locked="0"/>
    </xf>
    <xf numFmtId="0" fontId="31" fillId="35" borderId="0" xfId="0" applyFont="1" applyFill="1" applyAlignment="1">
      <alignment vertical="center" wrapText="1"/>
      <protection locked="0"/>
    </xf>
    <xf numFmtId="0" fontId="0" fillId="35" borderId="5" xfId="0" applyFill="1" applyBorder="1" applyAlignment="1">
      <alignment horizontal="left" vertical="center" wrapText="1"/>
      <protection locked="0"/>
    </xf>
    <xf numFmtId="0" fontId="0" fillId="35" borderId="4" xfId="0" applyFill="1" applyBorder="1" applyAlignment="1">
      <alignment vertical="center" wrapText="1"/>
      <protection locked="0"/>
    </xf>
    <xf numFmtId="0" fontId="0" fillId="35" borderId="2" xfId="0" applyFill="1" applyBorder="1" applyAlignment="1">
      <alignment horizontal="left" vertical="center" wrapText="1"/>
      <protection locked="0"/>
    </xf>
    <xf numFmtId="0" fontId="9" fillId="36" borderId="4" xfId="0" applyFont="1" applyFill="1" applyBorder="1" applyAlignment="1">
      <alignment horizontal="left" vertical="center" wrapText="1"/>
      <protection locked="0"/>
    </xf>
    <xf numFmtId="0" fontId="31" fillId="35" borderId="4" xfId="0" applyFont="1" applyFill="1" applyBorder="1">
      <alignment vertical="center"/>
      <protection locked="0"/>
    </xf>
    <xf numFmtId="0" fontId="4" fillId="36" borderId="4" xfId="0" applyFont="1" applyFill="1" applyBorder="1" applyAlignment="1">
      <alignment horizontal="left" vertical="center" wrapText="1"/>
      <protection locked="0"/>
    </xf>
    <xf numFmtId="171" fontId="5" fillId="36" borderId="4" xfId="0" applyNumberFormat="1" applyFont="1" applyFill="1" applyBorder="1" applyAlignment="1">
      <alignment vertical="center" wrapText="1"/>
      <protection locked="0"/>
    </xf>
    <xf numFmtId="0" fontId="5" fillId="36" borderId="4" xfId="0" applyFont="1" applyFill="1" applyBorder="1" applyAlignment="1">
      <alignment horizontal="left" vertical="center" wrapText="1"/>
      <protection locked="0"/>
    </xf>
    <xf numFmtId="0" fontId="5" fillId="36" borderId="4" xfId="0" applyFont="1" applyFill="1" applyBorder="1" applyAlignment="1">
      <alignment vertical="center" wrapText="1"/>
      <protection locked="0"/>
    </xf>
    <xf numFmtId="172" fontId="5" fillId="36" borderId="4" xfId="0" applyNumberFormat="1" applyFont="1" applyFill="1" applyBorder="1" applyAlignment="1">
      <alignment vertical="center" wrapText="1"/>
      <protection locked="0"/>
    </xf>
    <xf numFmtId="171" fontId="5" fillId="36" borderId="4" xfId="0" applyNumberFormat="1" applyFont="1" applyFill="1" applyBorder="1" applyAlignment="1">
      <alignment horizontal="right" vertical="center" wrapText="1"/>
      <protection locked="0"/>
    </xf>
    <xf numFmtId="0" fontId="34" fillId="36" borderId="4" xfId="0" applyFont="1" applyFill="1" applyBorder="1" applyAlignment="1">
      <alignment horizontal="left" vertical="center" wrapText="1"/>
      <protection locked="0"/>
    </xf>
    <xf numFmtId="0" fontId="6" fillId="36" borderId="4" xfId="0" applyFont="1" applyFill="1" applyBorder="1" applyAlignment="1">
      <alignment horizontal="left" vertical="center" wrapText="1"/>
      <protection locked="0"/>
    </xf>
    <xf numFmtId="0" fontId="31" fillId="0" borderId="3" xfId="39" applyNumberFormat="1" applyFont="1" applyFill="1" applyBorder="1" applyAlignment="1" applyProtection="1">
      <alignment vertical="center" wrapText="1"/>
    </xf>
    <xf numFmtId="0" fontId="36" fillId="37" borderId="0" xfId="0" applyFont="1" applyFill="1">
      <alignment vertical="center"/>
      <protection locked="0"/>
    </xf>
    <xf numFmtId="0" fontId="32" fillId="0" borderId="0" xfId="0" applyFont="1">
      <alignment vertical="center"/>
      <protection locked="0"/>
    </xf>
    <xf numFmtId="0" fontId="5" fillId="38" borderId="4" xfId="0" applyFont="1" applyFill="1" applyBorder="1" applyAlignment="1" applyProtection="1">
      <alignment horizontal="center" vertical="center" wrapText="1"/>
    </xf>
    <xf numFmtId="0" fontId="5" fillId="38" borderId="4" xfId="0" applyFont="1" applyFill="1" applyBorder="1" applyAlignment="1" applyProtection="1">
      <alignment horizontal="left" vertical="center" wrapText="1"/>
    </xf>
    <xf numFmtId="0" fontId="4" fillId="38" borderId="4" xfId="0" applyFont="1" applyFill="1" applyBorder="1" applyAlignment="1" applyProtection="1">
      <alignment horizontal="left" vertical="center" wrapText="1"/>
    </xf>
    <xf numFmtId="0" fontId="31" fillId="38" borderId="4" xfId="0" applyFont="1" applyFill="1" applyBorder="1" applyAlignment="1">
      <alignment horizontal="center" vertical="center"/>
      <protection locked="0"/>
    </xf>
    <xf numFmtId="171" fontId="10" fillId="38" borderId="4" xfId="33" applyNumberFormat="1" applyFont="1" applyFill="1" applyBorder="1" applyAlignment="1" applyProtection="1">
      <alignment vertical="center"/>
    </xf>
    <xf numFmtId="10" fontId="10" fillId="38" borderId="4" xfId="39" applyNumberFormat="1" applyFont="1" applyFill="1" applyBorder="1" applyAlignment="1" applyProtection="1">
      <alignment horizontal="right" vertical="center"/>
    </xf>
    <xf numFmtId="10" fontId="10" fillId="36" borderId="4" xfId="39" applyNumberFormat="1" applyFont="1" applyFill="1" applyBorder="1" applyAlignment="1" applyProtection="1">
      <alignment horizontal="right" vertical="center"/>
    </xf>
    <xf numFmtId="171" fontId="31" fillId="38" borderId="4" xfId="33" applyNumberFormat="1" applyFont="1" applyFill="1" applyBorder="1" applyAlignment="1" applyProtection="1">
      <alignment vertical="center"/>
    </xf>
    <xf numFmtId="0" fontId="31" fillId="0" borderId="0" xfId="0" applyFont="1" applyAlignment="1">
      <alignment vertical="center" wrapText="1"/>
      <protection locked="0"/>
    </xf>
    <xf numFmtId="0" fontId="5" fillId="0" borderId="4" xfId="0" applyFont="1" applyBorder="1" applyAlignment="1">
      <alignment horizontal="center" vertical="center" wrapText="1"/>
      <protection locked="0"/>
    </xf>
    <xf numFmtId="171" fontId="10" fillId="38" borderId="4" xfId="33" applyNumberFormat="1" applyFont="1" applyFill="1" applyBorder="1" applyAlignment="1" applyProtection="1">
      <alignment horizontal="right" vertical="center"/>
    </xf>
    <xf numFmtId="171" fontId="31" fillId="38" borderId="4" xfId="33" applyNumberFormat="1" applyFont="1" applyFill="1" applyBorder="1" applyAlignment="1" applyProtection="1">
      <alignment horizontal="right" vertical="center"/>
    </xf>
    <xf numFmtId="171" fontId="31" fillId="38" borderId="4" xfId="33" applyNumberFormat="1" applyFont="1" applyFill="1" applyBorder="1" applyAlignment="1" applyProtection="1">
      <alignment vertical="center" wrapText="1"/>
    </xf>
    <xf numFmtId="165" fontId="31" fillId="38" borderId="4" xfId="0" applyNumberFormat="1" applyFont="1" applyFill="1" applyBorder="1" applyProtection="1">
      <alignment vertical="center"/>
    </xf>
    <xf numFmtId="0" fontId="0" fillId="38" borderId="4" xfId="0" applyFill="1" applyBorder="1">
      <alignment vertical="center"/>
      <protection locked="0"/>
    </xf>
    <xf numFmtId="174" fontId="38" fillId="0" borderId="0" xfId="0" applyNumberFormat="1" applyFont="1" applyAlignment="1">
      <protection locked="0"/>
    </xf>
    <xf numFmtId="0" fontId="38" fillId="0" borderId="0" xfId="0" applyFont="1" applyAlignment="1">
      <protection locked="0"/>
    </xf>
    <xf numFmtId="10" fontId="39" fillId="39" borderId="4" xfId="39" applyNumberFormat="1" applyFont="1" applyFill="1" applyBorder="1" applyAlignment="1" applyProtection="1">
      <alignment horizontal="right" vertical="center" wrapText="1"/>
    </xf>
    <xf numFmtId="0" fontId="40" fillId="36" borderId="4" xfId="39" applyNumberFormat="1" applyFont="1" applyFill="1" applyBorder="1" applyAlignment="1" applyProtection="1">
      <alignment vertical="center"/>
    </xf>
    <xf numFmtId="171" fontId="0" fillId="36" borderId="4" xfId="0" applyNumberFormat="1" applyFill="1" applyBorder="1">
      <alignment vertical="center"/>
      <protection locked="0"/>
    </xf>
    <xf numFmtId="0" fontId="31" fillId="35" borderId="4" xfId="0" applyFont="1" applyFill="1" applyBorder="1" applyAlignment="1">
      <alignment horizontal="left" vertical="center" wrapText="1"/>
      <protection locked="0"/>
    </xf>
    <xf numFmtId="10" fontId="10" fillId="38" borderId="4" xfId="39" applyNumberFormat="1" applyFont="1" applyFill="1" applyBorder="1" applyAlignment="1" applyProtection="1">
      <alignment vertical="center" wrapText="1"/>
    </xf>
    <xf numFmtId="10" fontId="10" fillId="38" borderId="4" xfId="39" applyNumberFormat="1" applyFont="1" applyFill="1" applyBorder="1" applyAlignment="1" applyProtection="1">
      <alignment vertical="center"/>
    </xf>
    <xf numFmtId="0" fontId="6" fillId="0" borderId="4" xfId="0" applyFont="1" applyBorder="1" applyAlignment="1">
      <alignment horizontal="center" vertical="center"/>
      <protection locked="0"/>
    </xf>
    <xf numFmtId="10" fontId="10" fillId="36" borderId="4" xfId="39" applyNumberFormat="1" applyFont="1" applyFill="1" applyBorder="1" applyAlignment="1" applyProtection="1">
      <alignment vertical="center" wrapText="1"/>
    </xf>
    <xf numFmtId="10" fontId="41" fillId="36" borderId="4" xfId="39" applyNumberFormat="1" applyFont="1" applyFill="1" applyBorder="1" applyAlignment="1" applyProtection="1">
      <alignment vertical="center"/>
      <protection locked="0"/>
    </xf>
    <xf numFmtId="10" fontId="10" fillId="36" borderId="4" xfId="39" applyNumberFormat="1" applyFont="1" applyFill="1" applyBorder="1" applyAlignment="1" applyProtection="1">
      <alignment horizontal="right" vertical="center"/>
      <protection locked="0"/>
    </xf>
    <xf numFmtId="10" fontId="10" fillId="36" borderId="4" xfId="39" applyNumberFormat="1" applyFont="1" applyFill="1" applyBorder="1" applyAlignment="1" applyProtection="1">
      <alignment vertical="center"/>
    </xf>
    <xf numFmtId="172" fontId="0" fillId="36" borderId="4" xfId="0" applyNumberFormat="1" applyFill="1" applyBorder="1">
      <alignment vertical="center"/>
      <protection locked="0"/>
    </xf>
    <xf numFmtId="0" fontId="42" fillId="35" borderId="4" xfId="0" applyFont="1" applyFill="1" applyBorder="1" applyAlignment="1">
      <alignment horizontal="center" vertical="center"/>
      <protection locked="0"/>
    </xf>
    <xf numFmtId="0" fontId="31" fillId="35" borderId="2" xfId="0" applyFont="1" applyFill="1" applyBorder="1" applyAlignment="1" applyProtection="1">
      <alignment vertical="center" wrapText="1"/>
    </xf>
    <xf numFmtId="0" fontId="0" fillId="35" borderId="4" xfId="0" applyFill="1" applyBorder="1" applyAlignment="1" applyProtection="1">
      <alignment vertical="center" wrapText="1"/>
    </xf>
    <xf numFmtId="0" fontId="39" fillId="35" borderId="4" xfId="0" applyFont="1" applyFill="1" applyBorder="1" applyAlignment="1" applyProtection="1">
      <alignment horizontal="center" vertical="center"/>
    </xf>
    <xf numFmtId="0" fontId="31" fillId="35" borderId="2" xfId="0" applyFont="1" applyFill="1" applyBorder="1" applyProtection="1">
      <alignment vertical="center"/>
    </xf>
    <xf numFmtId="171" fontId="0" fillId="38" borderId="4" xfId="0" applyNumberFormat="1" applyFill="1" applyBorder="1" applyProtection="1">
      <alignment vertical="center"/>
    </xf>
    <xf numFmtId="0" fontId="31" fillId="38" borderId="9" xfId="0" applyFont="1" applyFill="1" applyBorder="1" applyAlignment="1" applyProtection="1">
      <alignment horizontal="center" vertical="center"/>
    </xf>
    <xf numFmtId="0" fontId="0" fillId="35" borderId="5" xfId="0" applyFill="1" applyBorder="1" applyAlignment="1" applyProtection="1">
      <alignment horizontal="left" vertical="center" wrapText="1"/>
    </xf>
    <xf numFmtId="0" fontId="31" fillId="35" borderId="4" xfId="0" applyFont="1" applyFill="1" applyBorder="1" applyProtection="1">
      <alignment vertical="center"/>
    </xf>
    <xf numFmtId="0" fontId="31" fillId="35" borderId="4" xfId="0" applyFont="1" applyFill="1" applyBorder="1" applyAlignment="1" applyProtection="1">
      <alignment horizontal="center" vertical="center" wrapText="1"/>
    </xf>
    <xf numFmtId="0" fontId="0" fillId="38" borderId="4" xfId="0" applyFill="1" applyBorder="1" applyAlignment="1" applyProtection="1">
      <alignment horizontal="center" vertical="center"/>
    </xf>
    <xf numFmtId="0" fontId="31" fillId="41" borderId="4" xfId="0" applyFont="1" applyFill="1" applyBorder="1" applyAlignment="1" applyProtection="1">
      <alignment horizontal="center" vertical="center"/>
    </xf>
    <xf numFmtId="0" fontId="11" fillId="0" borderId="0" xfId="0" applyFont="1" applyProtection="1">
      <alignment vertical="center"/>
    </xf>
    <xf numFmtId="0" fontId="42" fillId="35" borderId="4" xfId="0" applyFont="1" applyFill="1" applyBorder="1" applyProtection="1">
      <alignment vertical="center"/>
    </xf>
    <xf numFmtId="0" fontId="6" fillId="41" borderId="4" xfId="0" applyFont="1" applyFill="1" applyBorder="1" applyAlignment="1">
      <alignment vertical="center" wrapText="1"/>
      <protection locked="0"/>
    </xf>
    <xf numFmtId="0" fontId="29" fillId="0" borderId="4" xfId="0" applyFont="1" applyBorder="1" applyAlignment="1" applyProtection="1">
      <alignment horizontal="center" vertical="top"/>
    </xf>
    <xf numFmtId="0" fontId="42" fillId="35" borderId="4" xfId="0" applyFont="1" applyFill="1" applyBorder="1" applyAlignment="1" applyProtection="1">
      <alignment horizontal="left" vertical="center"/>
    </xf>
    <xf numFmtId="0" fontId="29" fillId="0" borderId="4" xfId="0" applyFont="1" applyBorder="1" applyAlignment="1" applyProtection="1">
      <alignment horizontal="center" vertical="center"/>
    </xf>
    <xf numFmtId="0" fontId="5" fillId="36" borderId="4" xfId="0" applyFont="1" applyFill="1" applyBorder="1" applyAlignment="1">
      <alignment horizontal="center" vertical="center" wrapText="1"/>
      <protection locked="0"/>
    </xf>
    <xf numFmtId="1" fontId="31" fillId="38" borderId="4" xfId="0" applyNumberFormat="1" applyFont="1" applyFill="1" applyBorder="1" applyAlignment="1" applyProtection="1">
      <alignment horizontal="center" vertical="center"/>
    </xf>
    <xf numFmtId="0" fontId="43" fillId="37" borderId="0" xfId="0" applyFont="1" applyFill="1" applyProtection="1">
      <alignment vertical="center"/>
    </xf>
    <xf numFmtId="0" fontId="5" fillId="0" borderId="0" xfId="0" applyFont="1" applyAlignment="1" applyProtection="1">
      <alignment horizontal="center" vertical="center"/>
    </xf>
    <xf numFmtId="0" fontId="31" fillId="38" borderId="4" xfId="0" applyFont="1" applyFill="1" applyBorder="1" applyAlignment="1" applyProtection="1">
      <alignment horizontal="center" vertical="center"/>
    </xf>
    <xf numFmtId="0" fontId="31" fillId="35" borderId="4" xfId="0" applyFont="1" applyFill="1" applyBorder="1" applyAlignment="1">
      <alignment horizontal="center" vertical="center"/>
      <protection locked="0"/>
    </xf>
    <xf numFmtId="0" fontId="31" fillId="35" borderId="2" xfId="0" applyFont="1" applyFill="1" applyBorder="1">
      <alignment vertical="center"/>
      <protection locked="0"/>
    </xf>
    <xf numFmtId="0" fontId="40" fillId="38" borderId="2" xfId="0" applyFont="1" applyFill="1" applyBorder="1" applyProtection="1">
      <alignment vertical="center"/>
    </xf>
    <xf numFmtId="0" fontId="31" fillId="35" borderId="2" xfId="0" applyFont="1" applyFill="1" applyBorder="1" applyAlignment="1">
      <alignment horizontal="left" vertical="center" wrapText="1"/>
      <protection locked="0"/>
    </xf>
    <xf numFmtId="0" fontId="40" fillId="36" borderId="4" xfId="0" applyFont="1" applyFill="1" applyBorder="1" applyAlignment="1">
      <alignment vertical="center" wrapText="1"/>
      <protection locked="0"/>
    </xf>
    <xf numFmtId="0" fontId="40" fillId="38" borderId="4" xfId="0" applyFont="1" applyFill="1" applyBorder="1" applyProtection="1">
      <alignment vertical="center"/>
    </xf>
    <xf numFmtId="0" fontId="0" fillId="35" borderId="4" xfId="0" applyFill="1" applyBorder="1">
      <alignment vertical="center"/>
      <protection locked="0"/>
    </xf>
    <xf numFmtId="0" fontId="0" fillId="35" borderId="4" xfId="0" applyFill="1" applyBorder="1" applyProtection="1">
      <alignment vertical="center"/>
    </xf>
    <xf numFmtId="0" fontId="44" fillId="40" borderId="0" xfId="0" applyFont="1" applyFill="1" applyAlignment="1" applyProtection="1">
      <alignment horizontal="center" vertical="center"/>
    </xf>
    <xf numFmtId="0" fontId="5" fillId="0" borderId="4" xfId="0" applyFont="1" applyBorder="1" applyAlignment="1" applyProtection="1">
      <alignment vertical="center" wrapText="1"/>
    </xf>
    <xf numFmtId="0" fontId="6" fillId="0" borderId="0" xfId="0" applyFont="1" applyProtection="1">
      <alignment vertical="center"/>
    </xf>
    <xf numFmtId="0" fontId="6" fillId="0" borderId="8" xfId="0" applyFont="1" applyBorder="1" applyAlignment="1" applyProtection="1">
      <alignment horizontal="center" vertical="center"/>
    </xf>
    <xf numFmtId="0" fontId="5" fillId="0" borderId="4" xfId="0" applyFont="1" applyBorder="1" applyAlignment="1" applyProtection="1">
      <alignment horizontal="left" vertical="center" wrapText="1"/>
    </xf>
    <xf numFmtId="0" fontId="45" fillId="37" borderId="0" xfId="0" applyFont="1" applyFill="1" applyProtection="1">
      <alignment vertical="center"/>
    </xf>
    <xf numFmtId="0" fontId="11" fillId="0" borderId="4" xfId="0" applyFont="1" applyBorder="1" applyAlignment="1" applyProtection="1">
      <alignment vertical="center" wrapText="1"/>
    </xf>
    <xf numFmtId="0" fontId="5" fillId="0" borderId="0" xfId="0" applyFont="1" applyProtection="1">
      <alignment vertical="center"/>
    </xf>
    <xf numFmtId="0" fontId="29" fillId="0" borderId="0" xfId="0" applyFont="1" applyProtection="1">
      <alignment vertical="center"/>
    </xf>
    <xf numFmtId="0" fontId="11" fillId="2" borderId="0" xfId="0" applyFont="1" applyFill="1" applyProtection="1">
      <alignment vertical="center"/>
    </xf>
    <xf numFmtId="0" fontId="11" fillId="35" borderId="0" xfId="0" applyFont="1" applyFill="1" applyProtection="1">
      <alignment vertical="center"/>
    </xf>
    <xf numFmtId="0" fontId="5" fillId="0" borderId="0" xfId="0" applyFont="1" applyAlignment="1" applyProtection="1">
      <alignment vertical="center" wrapText="1"/>
    </xf>
    <xf numFmtId="0" fontId="12" fillId="37" borderId="0" xfId="0" applyFont="1" applyFill="1" applyProtection="1">
      <alignment vertical="center"/>
    </xf>
    <xf numFmtId="0" fontId="29" fillId="36" borderId="4" xfId="0" applyFont="1" applyFill="1" applyBorder="1">
      <alignment vertical="center"/>
      <protection locked="0"/>
    </xf>
    <xf numFmtId="0" fontId="47" fillId="34" borderId="0" xfId="0" applyFont="1" applyFill="1" applyProtection="1">
      <alignment vertical="center"/>
    </xf>
    <xf numFmtId="0" fontId="48" fillId="34" borderId="0" xfId="0" applyFont="1" applyFill="1" applyProtection="1">
      <alignment vertical="center"/>
    </xf>
    <xf numFmtId="0" fontId="30" fillId="34" borderId="0" xfId="0" applyFont="1" applyFill="1" applyProtection="1">
      <alignment vertical="center"/>
    </xf>
    <xf numFmtId="0" fontId="43" fillId="34" borderId="0" xfId="0" applyFont="1" applyFill="1" applyAlignment="1" applyProtection="1">
      <alignment horizontal="left" vertical="center"/>
    </xf>
    <xf numFmtId="0" fontId="0" fillId="34" borderId="0" xfId="0" applyFill="1" applyProtection="1">
      <alignment vertical="center"/>
    </xf>
    <xf numFmtId="0" fontId="36" fillId="37" borderId="0" xfId="0" applyFont="1" applyFill="1" applyProtection="1">
      <alignment vertical="center"/>
    </xf>
    <xf numFmtId="0" fontId="0" fillId="0" borderId="0" xfId="0" applyProtection="1">
      <alignment vertical="center"/>
    </xf>
    <xf numFmtId="0" fontId="49" fillId="37" borderId="0" xfId="0" applyFont="1" applyFill="1" applyProtection="1">
      <alignment vertical="center"/>
    </xf>
    <xf numFmtId="0" fontId="30" fillId="37" borderId="0" xfId="0" applyFont="1" applyFill="1" applyProtection="1">
      <alignment vertical="center"/>
    </xf>
    <xf numFmtId="0" fontId="48" fillId="34" borderId="0" xfId="0" applyFont="1" applyFill="1">
      <alignment vertical="center"/>
      <protection locked="0"/>
    </xf>
    <xf numFmtId="0" fontId="30" fillId="34" borderId="0" xfId="0" applyFont="1" applyFill="1">
      <alignment vertical="center"/>
      <protection locked="0"/>
    </xf>
    <xf numFmtId="0" fontId="0" fillId="34" borderId="0" xfId="0" applyFill="1">
      <alignment vertical="center"/>
      <protection locked="0"/>
    </xf>
    <xf numFmtId="0" fontId="48" fillId="34" borderId="0" xfId="0" applyFont="1" applyFill="1" applyAlignment="1" applyProtection="1">
      <alignment horizontal="center" vertical="center"/>
    </xf>
    <xf numFmtId="0" fontId="37" fillId="0" borderId="0" xfId="0" applyFont="1">
      <alignment vertical="center"/>
      <protection locked="0"/>
    </xf>
    <xf numFmtId="0" fontId="43" fillId="37" borderId="0" xfId="0" applyFont="1" applyFill="1">
      <alignment vertical="center"/>
      <protection locked="0"/>
    </xf>
    <xf numFmtId="0" fontId="49" fillId="37" borderId="0" xfId="0" applyFont="1" applyFill="1">
      <alignment vertical="center"/>
      <protection locked="0"/>
    </xf>
    <xf numFmtId="0" fontId="30" fillId="37" borderId="0" xfId="0" applyFont="1" applyFill="1">
      <alignment vertical="center"/>
      <protection locked="0"/>
    </xf>
    <xf numFmtId="0" fontId="54" fillId="0" borderId="0" xfId="0" applyFont="1">
      <alignment vertical="center"/>
      <protection locked="0"/>
    </xf>
    <xf numFmtId="171" fontId="0" fillId="39" borderId="4" xfId="0" applyNumberFormat="1" applyFill="1" applyBorder="1" applyProtection="1">
      <alignment vertical="center"/>
    </xf>
    <xf numFmtId="0" fontId="51" fillId="37" borderId="0" xfId="0" applyFont="1" applyFill="1">
      <alignment vertical="center"/>
      <protection locked="0"/>
    </xf>
    <xf numFmtId="0" fontId="52" fillId="37" borderId="0" xfId="0" applyFont="1" applyFill="1" applyAlignment="1">
      <alignment horizontal="right" vertical="center"/>
      <protection locked="0"/>
    </xf>
    <xf numFmtId="0" fontId="43" fillId="37" borderId="0" xfId="0" applyFont="1" applyFill="1" applyAlignment="1">
      <alignment horizontal="right" vertical="center"/>
      <protection locked="0"/>
    </xf>
    <xf numFmtId="0" fontId="39" fillId="0" borderId="0" xfId="0" applyFont="1">
      <alignment vertical="center"/>
      <protection locked="0"/>
    </xf>
    <xf numFmtId="171" fontId="41" fillId="38" borderId="4" xfId="33" applyNumberFormat="1" applyFont="1" applyFill="1" applyBorder="1" applyAlignment="1" applyProtection="1">
      <alignment vertical="center"/>
    </xf>
    <xf numFmtId="0" fontId="40" fillId="0" borderId="0" xfId="0" applyFont="1">
      <alignment vertical="center"/>
      <protection locked="0"/>
    </xf>
    <xf numFmtId="0" fontId="55" fillId="37" borderId="0" xfId="0" applyFont="1" applyFill="1">
      <alignment vertical="center"/>
      <protection locked="0"/>
    </xf>
    <xf numFmtId="0" fontId="52" fillId="37" borderId="0" xfId="0" applyFont="1" applyFill="1">
      <alignment vertical="center"/>
      <protection locked="0"/>
    </xf>
    <xf numFmtId="0" fontId="38" fillId="35" borderId="0" xfId="0" applyFont="1" applyFill="1">
      <alignment vertical="center"/>
      <protection locked="0"/>
    </xf>
    <xf numFmtId="0" fontId="39" fillId="35" borderId="4" xfId="0" applyFont="1" applyFill="1" applyBorder="1" applyAlignment="1">
      <alignment horizontal="center" vertical="center"/>
      <protection locked="0"/>
    </xf>
    <xf numFmtId="0" fontId="30" fillId="37" borderId="0" xfId="0" applyFont="1" applyFill="1" applyAlignment="1">
      <alignment vertical="center" wrapText="1"/>
      <protection locked="0"/>
    </xf>
    <xf numFmtId="171" fontId="0" fillId="0" borderId="0" xfId="0" applyNumberFormat="1">
      <alignment vertical="center"/>
      <protection locked="0"/>
    </xf>
    <xf numFmtId="9" fontId="10" fillId="0" borderId="0" xfId="39" applyNumberFormat="1" applyFont="1" applyFill="1" applyBorder="1" applyAlignment="1" applyProtection="1">
      <alignment vertical="center"/>
    </xf>
    <xf numFmtId="0" fontId="52" fillId="37" borderId="0" xfId="0" applyFont="1" applyFill="1" applyProtection="1">
      <alignment vertical="center"/>
    </xf>
    <xf numFmtId="0" fontId="40" fillId="35" borderId="0" xfId="0" applyFont="1" applyFill="1">
      <alignment vertical="center"/>
      <protection locked="0"/>
    </xf>
    <xf numFmtId="0" fontId="36" fillId="37" borderId="0" xfId="0" applyFont="1" applyFill="1" applyAlignment="1">
      <alignment vertical="center" wrapText="1"/>
      <protection locked="0"/>
    </xf>
    <xf numFmtId="0" fontId="59" fillId="35" borderId="0" xfId="0" applyFont="1" applyFill="1">
      <alignment vertical="center"/>
      <protection locked="0"/>
    </xf>
    <xf numFmtId="10" fontId="10" fillId="36" borderId="4" xfId="39" applyNumberFormat="1" applyFont="1" applyFill="1" applyBorder="1" applyAlignment="1" applyProtection="1">
      <alignment vertical="center"/>
      <protection locked="0"/>
    </xf>
    <xf numFmtId="2" fontId="10" fillId="36" borderId="4" xfId="33" applyNumberFormat="1" applyFont="1" applyFill="1" applyBorder="1" applyAlignment="1" applyProtection="1">
      <alignment vertical="center"/>
    </xf>
    <xf numFmtId="2" fontId="10" fillId="38" borderId="4" xfId="33" applyNumberFormat="1" applyFont="1" applyFill="1" applyBorder="1" applyAlignment="1" applyProtection="1">
      <alignment vertical="center"/>
    </xf>
    <xf numFmtId="0" fontId="30" fillId="0" borderId="0" xfId="0" applyFont="1">
      <alignment vertical="center"/>
      <protection locked="0"/>
    </xf>
    <xf numFmtId="0" fontId="49" fillId="37" borderId="0" xfId="0" applyFont="1" applyFill="1" applyAlignment="1">
      <alignment vertical="center" wrapText="1"/>
      <protection locked="0"/>
    </xf>
    <xf numFmtId="0" fontId="0" fillId="36" borderId="4" xfId="0" applyFill="1" applyBorder="1" applyAlignment="1">
      <alignment horizontal="center" vertical="center" wrapText="1"/>
      <protection locked="0"/>
    </xf>
    <xf numFmtId="0" fontId="0" fillId="38" borderId="4" xfId="0" applyFill="1" applyBorder="1" applyAlignment="1">
      <alignment vertical="center" wrapText="1"/>
      <protection locked="0"/>
    </xf>
    <xf numFmtId="0" fontId="46" fillId="41" borderId="4" xfId="0" applyFont="1" applyFill="1" applyBorder="1" applyAlignment="1" applyProtection="1">
      <alignment horizontal="center" vertical="center"/>
    </xf>
    <xf numFmtId="176" fontId="29" fillId="0" borderId="4" xfId="0" applyNumberFormat="1" applyFont="1" applyBorder="1">
      <alignment vertical="center"/>
      <protection locked="0"/>
    </xf>
    <xf numFmtId="0" fontId="29" fillId="38" borderId="4" xfId="0" applyFont="1" applyFill="1" applyBorder="1" applyAlignment="1" applyProtection="1">
      <alignment horizontal="center" vertical="center"/>
    </xf>
    <xf numFmtId="0" fontId="0" fillId="35" borderId="2" xfId="0" applyFill="1" applyBorder="1">
      <alignment vertical="center"/>
      <protection locked="0"/>
    </xf>
    <xf numFmtId="171" fontId="38" fillId="38" borderId="4" xfId="33" applyNumberFormat="1" applyFont="1" applyFill="1" applyBorder="1" applyAlignment="1" applyProtection="1">
      <alignment vertical="center" wrapText="1"/>
    </xf>
    <xf numFmtId="0" fontId="0" fillId="35" borderId="3" xfId="0" applyFill="1" applyBorder="1">
      <alignment vertical="center"/>
      <protection locked="0"/>
    </xf>
    <xf numFmtId="171" fontId="50" fillId="38" borderId="4" xfId="33" applyNumberFormat="1" applyFont="1" applyFill="1" applyBorder="1" applyAlignment="1" applyProtection="1">
      <alignment vertical="center" wrapText="1"/>
    </xf>
    <xf numFmtId="0" fontId="31" fillId="35" borderId="3" xfId="0" applyFont="1" applyFill="1" applyBorder="1">
      <alignment vertical="center"/>
      <protection locked="0"/>
    </xf>
    <xf numFmtId="0" fontId="38" fillId="35" borderId="0" xfId="0" applyFont="1" applyFill="1" applyAlignment="1">
      <alignment horizontal="center" vertical="center" wrapText="1"/>
      <protection locked="0"/>
    </xf>
    <xf numFmtId="0" fontId="0" fillId="38" borderId="4" xfId="0" applyFill="1" applyBorder="1" applyAlignment="1" applyProtection="1">
      <alignment horizontal="center" vertical="center" wrapText="1"/>
    </xf>
    <xf numFmtId="0" fontId="0" fillId="38" borderId="2" xfId="0" applyFill="1" applyBorder="1" applyAlignment="1">
      <alignment vertical="center" wrapText="1"/>
      <protection locked="0"/>
    </xf>
    <xf numFmtId="171" fontId="10" fillId="38" borderId="4" xfId="33" applyNumberFormat="1" applyFont="1" applyFill="1" applyBorder="1" applyAlignment="1" applyProtection="1">
      <alignment vertical="center" wrapText="1"/>
    </xf>
    <xf numFmtId="0" fontId="60" fillId="35" borderId="0" xfId="0" applyFont="1" applyFill="1">
      <alignment vertical="center"/>
      <protection locked="0"/>
    </xf>
    <xf numFmtId="171" fontId="0" fillId="35" borderId="4" xfId="0" applyNumberFormat="1" applyFill="1" applyBorder="1" applyProtection="1">
      <alignment vertical="center"/>
    </xf>
    <xf numFmtId="0" fontId="61" fillId="37" borderId="0" xfId="0" applyFont="1" applyFill="1">
      <alignment vertical="center"/>
      <protection locked="0"/>
    </xf>
    <xf numFmtId="171" fontId="49" fillId="0" borderId="0" xfId="0" applyNumberFormat="1" applyFont="1" applyProtection="1">
      <alignment vertical="center"/>
    </xf>
    <xf numFmtId="0" fontId="31" fillId="38" borderId="4" xfId="0" applyFont="1" applyFill="1" applyBorder="1">
      <alignment vertical="center"/>
      <protection locked="0"/>
    </xf>
    <xf numFmtId="0" fontId="6" fillId="0" borderId="4" xfId="0" applyFont="1" applyBorder="1" applyAlignment="1">
      <alignment horizontal="center" vertical="center" wrapText="1"/>
      <protection locked="0"/>
    </xf>
    <xf numFmtId="0" fontId="4" fillId="0" borderId="0" xfId="0" applyFont="1" applyAlignment="1">
      <alignment vertical="center" wrapText="1"/>
      <protection locked="0"/>
    </xf>
    <xf numFmtId="0" fontId="4" fillId="0" borderId="0" xfId="0" applyFont="1">
      <alignment vertical="center"/>
      <protection locked="0"/>
    </xf>
    <xf numFmtId="1" fontId="5" fillId="0" borderId="4" xfId="0" applyNumberFormat="1" applyFont="1" applyBorder="1" applyAlignment="1">
      <alignment horizontal="center" vertical="center"/>
      <protection locked="0"/>
    </xf>
    <xf numFmtId="171" fontId="5" fillId="41" borderId="4" xfId="0" applyNumberFormat="1" applyFont="1" applyFill="1" applyBorder="1">
      <alignment vertical="center"/>
      <protection locked="0"/>
    </xf>
    <xf numFmtId="3" fontId="5" fillId="41" borderId="4" xfId="0" applyNumberFormat="1" applyFont="1" applyFill="1" applyBorder="1" applyProtection="1">
      <alignment vertical="center"/>
    </xf>
    <xf numFmtId="4" fontId="5" fillId="41" borderId="4" xfId="0" applyNumberFormat="1" applyFont="1" applyFill="1" applyBorder="1" applyProtection="1">
      <alignment vertical="center"/>
    </xf>
    <xf numFmtId="0" fontId="5" fillId="41" borderId="4" xfId="0" applyFont="1" applyFill="1" applyBorder="1" applyProtection="1">
      <alignment vertical="center"/>
    </xf>
    <xf numFmtId="10" fontId="5" fillId="41" borderId="4" xfId="0" applyNumberFormat="1" applyFont="1" applyFill="1" applyBorder="1" applyProtection="1">
      <alignment vertical="center"/>
    </xf>
    <xf numFmtId="173" fontId="4" fillId="0" borderId="0" xfId="0" applyNumberFormat="1" applyFont="1" applyAlignment="1">
      <alignment horizontal="left" vertical="center"/>
      <protection locked="0"/>
    </xf>
    <xf numFmtId="174" fontId="4" fillId="0" borderId="0" xfId="0" applyNumberFormat="1" applyFont="1">
      <alignment vertical="center"/>
      <protection locked="0"/>
    </xf>
    <xf numFmtId="175" fontId="4" fillId="0" borderId="0" xfId="0" applyNumberFormat="1" applyFont="1">
      <alignment vertical="center"/>
      <protection locked="0"/>
    </xf>
    <xf numFmtId="3" fontId="4" fillId="0" borderId="0" xfId="0" applyNumberFormat="1" applyFont="1">
      <alignment vertical="center"/>
      <protection locked="0"/>
    </xf>
    <xf numFmtId="4" fontId="4" fillId="0" borderId="0" xfId="0" applyNumberFormat="1" applyFont="1">
      <alignment vertical="center"/>
      <protection locked="0"/>
    </xf>
    <xf numFmtId="10" fontId="4" fillId="0" borderId="0" xfId="0" applyNumberFormat="1" applyFont="1">
      <alignment vertical="center"/>
      <protection locked="0"/>
    </xf>
    <xf numFmtId="0" fontId="38" fillId="0" borderId="0" xfId="0" applyFont="1">
      <alignment vertical="center"/>
      <protection locked="0"/>
    </xf>
    <xf numFmtId="174" fontId="38" fillId="0" borderId="0" xfId="0" applyNumberFormat="1" applyFont="1">
      <alignment vertical="center"/>
      <protection locked="0"/>
    </xf>
    <xf numFmtId="0" fontId="62" fillId="42" borderId="0" xfId="0" applyFont="1" applyFill="1" applyProtection="1">
      <alignment vertical="center"/>
    </xf>
    <xf numFmtId="0" fontId="48" fillId="42" borderId="0" xfId="0" applyFont="1" applyFill="1">
      <alignment vertical="center"/>
      <protection locked="0"/>
    </xf>
    <xf numFmtId="0" fontId="30" fillId="42" borderId="0" xfId="0" applyFont="1" applyFill="1">
      <alignment vertical="center"/>
      <protection locked="0"/>
    </xf>
    <xf numFmtId="0" fontId="43" fillId="42" borderId="0" xfId="0" applyFont="1" applyFill="1" applyAlignment="1" applyProtection="1">
      <alignment horizontal="left" vertical="center"/>
    </xf>
    <xf numFmtId="0" fontId="0" fillId="36" borderId="10" xfId="0" applyFill="1" applyBorder="1" applyAlignment="1">
      <alignment vertical="center" wrapText="1"/>
      <protection locked="0"/>
    </xf>
    <xf numFmtId="0" fontId="0" fillId="36" borderId="4" xfId="0" applyFill="1" applyBorder="1" applyAlignment="1">
      <alignment vertical="center" wrapText="1"/>
      <protection locked="0"/>
    </xf>
    <xf numFmtId="0" fontId="49" fillId="40" borderId="0" xfId="0" applyFont="1" applyFill="1">
      <alignment vertical="center"/>
      <protection locked="0"/>
    </xf>
    <xf numFmtId="0" fontId="48" fillId="40" borderId="0" xfId="0" applyFont="1" applyFill="1">
      <alignment vertical="center"/>
      <protection locked="0"/>
    </xf>
    <xf numFmtId="0" fontId="43" fillId="40" borderId="0" xfId="0" applyFont="1" applyFill="1" applyAlignment="1">
      <alignment horizontal="left" vertical="center"/>
      <protection locked="0"/>
    </xf>
    <xf numFmtId="0" fontId="36" fillId="40" borderId="0" xfId="0" applyFont="1" applyFill="1">
      <alignment vertical="center"/>
      <protection locked="0"/>
    </xf>
    <xf numFmtId="0" fontId="6" fillId="41" borderId="4" xfId="0" applyFont="1" applyFill="1" applyBorder="1" applyAlignment="1">
      <alignment horizontal="center" vertical="center" wrapText="1"/>
      <protection locked="0"/>
    </xf>
    <xf numFmtId="1" fontId="31" fillId="41" borderId="4" xfId="0" applyNumberFormat="1" applyFont="1" applyFill="1" applyBorder="1" applyAlignment="1" applyProtection="1">
      <alignment horizontal="center" vertical="center"/>
    </xf>
    <xf numFmtId="0" fontId="40" fillId="0" borderId="4" xfId="0" applyFont="1" applyBorder="1" applyAlignment="1">
      <alignment horizontal="center" vertical="center"/>
      <protection locked="0"/>
    </xf>
    <xf numFmtId="0" fontId="5" fillId="0" borderId="11" xfId="0" applyFont="1" applyBorder="1">
      <alignment vertical="center"/>
      <protection locked="0"/>
    </xf>
    <xf numFmtId="0" fontId="11" fillId="0" borderId="11" xfId="0" applyFont="1" applyBorder="1">
      <alignment vertical="center"/>
      <protection locked="0"/>
    </xf>
    <xf numFmtId="0" fontId="40" fillId="0" borderId="4" xfId="0" applyFont="1" applyBorder="1" applyProtection="1">
      <alignment vertical="center"/>
    </xf>
    <xf numFmtId="0" fontId="40" fillId="0" borderId="4" xfId="0" applyFont="1" applyBorder="1" applyAlignment="1" applyProtection="1">
      <alignment horizontal="center" vertical="center"/>
    </xf>
    <xf numFmtId="0" fontId="5" fillId="0" borderId="0" xfId="0" applyFont="1">
      <alignment vertical="center"/>
      <protection locked="0"/>
    </xf>
    <xf numFmtId="0" fontId="11" fillId="0" borderId="10" xfId="0" applyFont="1" applyBorder="1" applyAlignment="1" applyProtection="1">
      <alignment vertical="center" wrapText="1"/>
    </xf>
    <xf numFmtId="0" fontId="63" fillId="40" borderId="0" xfId="0" applyFont="1" applyFill="1" applyProtection="1">
      <alignment vertical="center"/>
    </xf>
    <xf numFmtId="0" fontId="12" fillId="40" borderId="0" xfId="0" applyFont="1" applyFill="1" applyProtection="1">
      <alignment vertical="center"/>
    </xf>
    <xf numFmtId="0" fontId="64" fillId="40" borderId="0" xfId="0" applyFont="1" applyFill="1" applyProtection="1">
      <alignment vertical="center"/>
    </xf>
    <xf numFmtId="0" fontId="12" fillId="0" borderId="0" xfId="0" applyFont="1" applyProtection="1">
      <alignment vertical="center"/>
    </xf>
    <xf numFmtId="0" fontId="45" fillId="40" borderId="0" xfId="0" applyFont="1" applyFill="1" applyAlignment="1" applyProtection="1">
      <alignment horizontal="left" vertical="center"/>
    </xf>
    <xf numFmtId="0" fontId="29" fillId="35" borderId="4" xfId="0" applyFont="1" applyFill="1" applyBorder="1" applyProtection="1">
      <alignment vertical="center"/>
    </xf>
    <xf numFmtId="0" fontId="65" fillId="0" borderId="4" xfId="0" applyFont="1" applyBorder="1" applyProtection="1">
      <alignment vertical="center"/>
    </xf>
    <xf numFmtId="0" fontId="65" fillId="0" borderId="0" xfId="0" applyFont="1" applyProtection="1">
      <alignment vertical="center"/>
    </xf>
    <xf numFmtId="0" fontId="39" fillId="35" borderId="12" xfId="0" applyFont="1" applyFill="1" applyBorder="1">
      <alignment vertical="center"/>
      <protection locked="0"/>
    </xf>
    <xf numFmtId="0" fontId="33" fillId="35" borderId="4" xfId="0" applyFont="1" applyFill="1" applyBorder="1" applyAlignment="1">
      <alignment horizontal="center" vertical="center"/>
      <protection locked="0"/>
    </xf>
    <xf numFmtId="0" fontId="33" fillId="35" borderId="4" xfId="0" applyFont="1" applyFill="1" applyBorder="1" applyAlignment="1">
      <alignment horizontal="center" vertical="center" wrapText="1"/>
      <protection locked="0"/>
    </xf>
    <xf numFmtId="0" fontId="33" fillId="35" borderId="4" xfId="0" applyFont="1" applyFill="1" applyBorder="1" applyAlignment="1" applyProtection="1">
      <alignment horizontal="center" vertical="center" wrapText="1"/>
    </xf>
    <xf numFmtId="0" fontId="33" fillId="0" borderId="4" xfId="0" applyFont="1" applyBorder="1" applyAlignment="1">
      <alignment horizontal="center" vertical="center"/>
      <protection locked="0"/>
    </xf>
    <xf numFmtId="0" fontId="40" fillId="36" borderId="4" xfId="39" applyNumberFormat="1" applyFont="1" applyFill="1" applyBorder="1" applyAlignment="1" applyProtection="1">
      <alignment vertical="center" wrapText="1"/>
    </xf>
    <xf numFmtId="0" fontId="39" fillId="35" borderId="4" xfId="0" applyFont="1" applyFill="1" applyBorder="1" applyProtection="1">
      <alignment vertical="center"/>
    </xf>
    <xf numFmtId="172" fontId="0" fillId="36" borderId="4" xfId="0" applyNumberFormat="1" applyFill="1" applyBorder="1" applyProtection="1">
      <alignment vertical="center"/>
    </xf>
    <xf numFmtId="0" fontId="42" fillId="35" borderId="4" xfId="0" applyFont="1" applyFill="1" applyBorder="1" applyAlignment="1" applyProtection="1">
      <alignment horizontal="center" vertical="center"/>
    </xf>
    <xf numFmtId="10" fontId="0" fillId="36" borderId="4" xfId="0" applyNumberFormat="1" applyFill="1" applyBorder="1">
      <alignment vertical="center"/>
      <protection locked="0"/>
    </xf>
    <xf numFmtId="165" fontId="29" fillId="0" borderId="4" xfId="0" applyNumberFormat="1" applyFont="1" applyBorder="1" applyProtection="1">
      <alignment vertical="center"/>
    </xf>
    <xf numFmtId="164" fontId="39" fillId="35" borderId="4" xfId="0" applyNumberFormat="1" applyFont="1" applyFill="1" applyBorder="1" applyProtection="1">
      <alignment vertical="center"/>
    </xf>
    <xf numFmtId="0" fontId="31" fillId="35" borderId="4" xfId="0" applyFont="1" applyFill="1" applyBorder="1" applyAlignment="1" applyProtection="1">
      <alignment vertical="center" wrapText="1"/>
    </xf>
    <xf numFmtId="171" fontId="39" fillId="35" borderId="4" xfId="0" applyNumberFormat="1" applyFont="1" applyFill="1" applyBorder="1" applyProtection="1">
      <alignment vertical="center"/>
    </xf>
    <xf numFmtId="0" fontId="0" fillId="0" borderId="4" xfId="0" applyBorder="1">
      <alignment vertical="center"/>
      <protection locked="0"/>
    </xf>
    <xf numFmtId="0" fontId="31" fillId="0" borderId="0" xfId="0" applyFont="1" applyAlignment="1">
      <alignment horizontal="center" vertical="center"/>
      <protection locked="0"/>
    </xf>
    <xf numFmtId="0" fontId="0" fillId="36" borderId="4" xfId="0" applyFill="1" applyBorder="1">
      <alignment vertical="center"/>
      <protection locked="0"/>
    </xf>
    <xf numFmtId="0" fontId="0" fillId="43" borderId="4" xfId="0" applyFill="1" applyBorder="1">
      <alignment vertical="center"/>
      <protection locked="0"/>
    </xf>
    <xf numFmtId="0" fontId="0" fillId="40" borderId="4" xfId="0" applyFill="1" applyBorder="1">
      <alignment vertical="center"/>
      <protection locked="0"/>
    </xf>
    <xf numFmtId="0" fontId="0" fillId="34" borderId="4" xfId="0" applyFill="1" applyBorder="1">
      <alignment vertical="center"/>
      <protection locked="0"/>
    </xf>
    <xf numFmtId="0" fontId="0" fillId="44" borderId="4" xfId="0" applyFill="1" applyBorder="1">
      <alignment vertical="center"/>
      <protection locked="0"/>
    </xf>
    <xf numFmtId="0" fontId="0" fillId="42" borderId="4" xfId="0" applyFill="1" applyBorder="1">
      <alignment vertical="center"/>
      <protection locked="0"/>
    </xf>
    <xf numFmtId="0" fontId="31" fillId="0" borderId="0" xfId="0" applyFont="1" applyAlignment="1" applyProtection="1">
      <alignment horizontal="center" vertical="center"/>
    </xf>
    <xf numFmtId="0" fontId="0" fillId="37" borderId="0" xfId="0" applyFill="1">
      <alignment vertical="center"/>
      <protection locked="0"/>
    </xf>
    <xf numFmtId="0" fontId="6" fillId="0" borderId="4" xfId="0" applyFont="1" applyBorder="1" applyAlignment="1" applyProtection="1">
      <alignment vertical="center" wrapText="1"/>
    </xf>
    <xf numFmtId="0" fontId="6" fillId="0" borderId="2" xfId="0" applyFont="1" applyBorder="1" applyAlignment="1" applyProtection="1">
      <alignment vertical="center" wrapText="1"/>
    </xf>
    <xf numFmtId="0" fontId="0" fillId="36" borderId="4" xfId="0" applyFill="1" applyBorder="1" applyAlignment="1">
      <alignment horizontal="center" vertical="center"/>
      <protection locked="0"/>
    </xf>
    <xf numFmtId="0" fontId="0" fillId="36" borderId="10" xfId="0" applyFill="1" applyBorder="1" applyAlignment="1">
      <alignment horizontal="center" vertical="center"/>
      <protection locked="0"/>
    </xf>
    <xf numFmtId="17" fontId="5" fillId="36" borderId="4" xfId="0" applyNumberFormat="1" applyFont="1" applyFill="1" applyBorder="1" applyAlignment="1">
      <alignment horizontal="center" vertical="center" wrapText="1"/>
      <protection locked="0"/>
    </xf>
    <xf numFmtId="0" fontId="41" fillId="36" borderId="4" xfId="33" applyNumberFormat="1" applyFont="1" applyFill="1" applyBorder="1" applyAlignment="1" applyProtection="1">
      <alignment vertical="center" wrapText="1"/>
    </xf>
    <xf numFmtId="2" fontId="10" fillId="36" borderId="4" xfId="33" applyNumberFormat="1" applyFont="1" applyFill="1" applyBorder="1" applyAlignment="1" applyProtection="1">
      <alignment horizontal="center" vertical="center"/>
    </xf>
    <xf numFmtId="0" fontId="45" fillId="37" borderId="0" xfId="0" applyFont="1" applyFill="1" applyAlignment="1" applyProtection="1">
      <alignment horizontal="center" vertical="center"/>
    </xf>
    <xf numFmtId="0" fontId="31" fillId="0" borderId="4" xfId="0" applyFont="1" applyBorder="1">
      <alignment vertical="center"/>
      <protection locked="0"/>
    </xf>
    <xf numFmtId="0" fontId="0" fillId="36" borderId="4" xfId="39" applyNumberFormat="1" applyFont="1" applyFill="1" applyBorder="1" applyAlignment="1" applyProtection="1">
      <alignment vertical="center" wrapText="1"/>
    </xf>
    <xf numFmtId="0" fontId="4" fillId="36" borderId="4" xfId="0" applyFont="1" applyFill="1" applyBorder="1">
      <alignment vertical="center"/>
      <protection locked="0"/>
    </xf>
    <xf numFmtId="0" fontId="4" fillId="36" borderId="8" xfId="0" applyFont="1" applyFill="1" applyBorder="1">
      <alignment vertical="center"/>
      <protection locked="0"/>
    </xf>
    <xf numFmtId="0" fontId="22" fillId="36" borderId="4" xfId="0" applyFont="1" applyFill="1" applyBorder="1" applyAlignment="1">
      <alignment vertical="center" wrapText="1"/>
      <protection locked="0"/>
    </xf>
    <xf numFmtId="6" fontId="0" fillId="38" borderId="4" xfId="0" applyNumberFormat="1" applyFill="1" applyBorder="1" applyAlignment="1" applyProtection="1">
      <alignment vertical="center" wrapText="1"/>
    </xf>
    <xf numFmtId="6" fontId="0" fillId="38" borderId="4" xfId="0" applyNumberFormat="1" applyFill="1" applyBorder="1" applyProtection="1">
      <alignment vertical="center"/>
    </xf>
    <xf numFmtId="6" fontId="31" fillId="38" borderId="4" xfId="0" applyNumberFormat="1" applyFont="1" applyFill="1" applyBorder="1" applyProtection="1">
      <alignment vertical="center"/>
    </xf>
    <xf numFmtId="6" fontId="31" fillId="0" borderId="4" xfId="0" applyNumberFormat="1" applyFont="1" applyBorder="1" applyProtection="1">
      <alignment vertical="center"/>
    </xf>
    <xf numFmtId="6" fontId="31" fillId="38" borderId="4" xfId="0" applyNumberFormat="1" applyFont="1" applyFill="1" applyBorder="1" applyAlignment="1" applyProtection="1">
      <alignment vertical="center" wrapText="1"/>
    </xf>
    <xf numFmtId="8" fontId="0" fillId="36" borderId="4" xfId="0" applyNumberFormat="1" applyFill="1" applyBorder="1">
      <alignment vertical="center"/>
      <protection locked="0"/>
    </xf>
    <xf numFmtId="8" fontId="0" fillId="38" borderId="4" xfId="0" applyNumberFormat="1" applyFill="1" applyBorder="1" applyProtection="1">
      <alignment vertical="center"/>
    </xf>
    <xf numFmtId="8" fontId="5" fillId="38" borderId="4" xfId="0" applyNumberFormat="1" applyFont="1" applyFill="1" applyBorder="1" applyAlignment="1" applyProtection="1">
      <alignment vertical="center" wrapText="1"/>
    </xf>
    <xf numFmtId="0" fontId="42" fillId="0" borderId="4" xfId="0" applyFont="1" applyBorder="1" applyAlignment="1" applyProtection="1">
      <alignment horizontal="center" vertical="center"/>
    </xf>
    <xf numFmtId="171" fontId="0" fillId="38" borderId="4" xfId="33" applyNumberFormat="1" applyFont="1" applyFill="1" applyBorder="1" applyAlignment="1" applyProtection="1">
      <alignment vertical="center"/>
    </xf>
    <xf numFmtId="0" fontId="12" fillId="37" borderId="0" xfId="0" applyFont="1" applyFill="1" applyAlignment="1" applyProtection="1">
      <alignment horizontal="center" vertical="center"/>
    </xf>
    <xf numFmtId="0" fontId="42" fillId="35" borderId="4" xfId="0" applyFont="1" applyFill="1" applyBorder="1">
      <alignment vertical="center"/>
      <protection locked="0"/>
    </xf>
    <xf numFmtId="0" fontId="0" fillId="36" borderId="2" xfId="0" applyFill="1" applyBorder="1" applyAlignment="1">
      <alignment horizontal="center" vertical="center"/>
      <protection locked="0"/>
    </xf>
    <xf numFmtId="0" fontId="0" fillId="36" borderId="13" xfId="0" applyFill="1" applyBorder="1" applyAlignment="1">
      <alignment horizontal="center" vertical="center"/>
      <protection locked="0"/>
    </xf>
    <xf numFmtId="0" fontId="19" fillId="0" borderId="16" xfId="35" applyAlignment="1">
      <alignment vertical="center"/>
      <protection locked="0"/>
    </xf>
    <xf numFmtId="0" fontId="62" fillId="40" borderId="0" xfId="0" applyFont="1" applyFill="1" applyProtection="1">
      <alignment vertical="center"/>
    </xf>
    <xf numFmtId="0" fontId="30" fillId="40" borderId="0" xfId="0" applyFont="1" applyFill="1">
      <alignment vertical="center"/>
      <protection locked="0"/>
    </xf>
    <xf numFmtId="0" fontId="43" fillId="40" borderId="0" xfId="0" applyFont="1" applyFill="1" applyAlignment="1" applyProtection="1">
      <alignment horizontal="left" vertical="center"/>
    </xf>
    <xf numFmtId="0" fontId="45" fillId="40" borderId="0" xfId="0" applyFont="1" applyFill="1" applyProtection="1">
      <alignment vertical="center"/>
    </xf>
    <xf numFmtId="179" fontId="0" fillId="38" borderId="4" xfId="45" applyNumberFormat="1" applyFont="1" applyFill="1" applyBorder="1" applyAlignment="1" applyProtection="1">
      <alignment vertical="center"/>
    </xf>
    <xf numFmtId="0" fontId="31" fillId="0" borderId="4" xfId="0" applyFont="1" applyBorder="1" applyAlignment="1">
      <alignment horizontal="center" vertical="center"/>
      <protection locked="0"/>
    </xf>
    <xf numFmtId="171" fontId="39" fillId="0" borderId="4" xfId="0" applyNumberFormat="1" applyFont="1" applyBorder="1" applyProtection="1">
      <alignment vertical="center"/>
    </xf>
    <xf numFmtId="0" fontId="31" fillId="0" borderId="0" xfId="0" applyFont="1">
      <alignment vertical="center"/>
      <protection locked="0"/>
    </xf>
    <xf numFmtId="3" fontId="38" fillId="39" borderId="4" xfId="0" applyNumberFormat="1" applyFont="1" applyFill="1" applyBorder="1" applyAlignment="1" applyProtection="1"/>
    <xf numFmtId="3" fontId="38" fillId="36" borderId="4" xfId="0" applyNumberFormat="1" applyFont="1" applyFill="1" applyBorder="1" applyAlignment="1" applyProtection="1"/>
    <xf numFmtId="3" fontId="31" fillId="0" borderId="4" xfId="0" applyNumberFormat="1" applyFont="1" applyBorder="1" applyProtection="1">
      <alignment vertical="center"/>
    </xf>
    <xf numFmtId="3" fontId="38" fillId="38" borderId="4" xfId="0" applyNumberFormat="1" applyFont="1" applyFill="1" applyBorder="1" applyAlignment="1" applyProtection="1"/>
    <xf numFmtId="0" fontId="40" fillId="43" borderId="4" xfId="0" applyFont="1" applyFill="1" applyBorder="1" applyProtection="1">
      <alignment vertical="center"/>
    </xf>
    <xf numFmtId="0" fontId="71" fillId="37" borderId="0" xfId="0" applyFont="1" applyFill="1" applyAlignment="1" applyProtection="1">
      <alignment horizontal="right" vertical="center"/>
    </xf>
    <xf numFmtId="14" fontId="4" fillId="36" borderId="4" xfId="0" applyNumberFormat="1" applyFont="1" applyFill="1" applyBorder="1">
      <alignment vertical="center"/>
      <protection locked="0"/>
    </xf>
    <xf numFmtId="0" fontId="4" fillId="41" borderId="4" xfId="0" applyFont="1" applyFill="1" applyBorder="1">
      <alignment vertical="center"/>
      <protection locked="0"/>
    </xf>
    <xf numFmtId="0" fontId="40" fillId="38" borderId="4" xfId="0" applyFont="1" applyFill="1" applyBorder="1" applyAlignment="1" applyProtection="1">
      <alignment vertical="center" wrapText="1"/>
    </xf>
    <xf numFmtId="0" fontId="0" fillId="45" borderId="4" xfId="0" applyFill="1" applyBorder="1">
      <alignment vertical="center"/>
      <protection locked="0"/>
    </xf>
    <xf numFmtId="0" fontId="0" fillId="46" borderId="4" xfId="0" applyFill="1" applyBorder="1">
      <alignment vertical="center"/>
      <protection locked="0"/>
    </xf>
    <xf numFmtId="0" fontId="47" fillId="45" borderId="0" xfId="0" applyFont="1" applyFill="1" applyProtection="1">
      <alignment vertical="center"/>
    </xf>
    <xf numFmtId="0" fontId="30" fillId="45" borderId="0" xfId="0" applyFont="1" applyFill="1">
      <alignment vertical="center"/>
      <protection locked="0"/>
    </xf>
    <xf numFmtId="0" fontId="48" fillId="45" borderId="0" xfId="0" applyFont="1" applyFill="1">
      <alignment vertical="center"/>
      <protection locked="0"/>
    </xf>
    <xf numFmtId="0" fontId="43" fillId="45" borderId="0" xfId="0" applyFont="1" applyFill="1" applyAlignment="1" applyProtection="1">
      <alignment horizontal="left" vertical="center"/>
    </xf>
    <xf numFmtId="0" fontId="72" fillId="45" borderId="0" xfId="0" applyFont="1" applyFill="1" applyProtection="1">
      <alignment vertical="center"/>
    </xf>
    <xf numFmtId="0" fontId="48" fillId="45" borderId="0" xfId="0" applyFont="1" applyFill="1" applyProtection="1">
      <alignment vertical="center"/>
    </xf>
    <xf numFmtId="0" fontId="48" fillId="45" borderId="0" xfId="0" applyFont="1" applyFill="1" applyAlignment="1">
      <alignment horizontal="left" vertical="center"/>
      <protection locked="0"/>
    </xf>
    <xf numFmtId="0" fontId="47" fillId="46" borderId="0" xfId="0" applyFont="1" applyFill="1" applyProtection="1">
      <alignment vertical="center"/>
    </xf>
    <xf numFmtId="0" fontId="30" fillId="46" borderId="0" xfId="0" applyFont="1" applyFill="1">
      <alignment vertical="center"/>
      <protection locked="0"/>
    </xf>
    <xf numFmtId="0" fontId="48" fillId="46" borderId="0" xfId="0" applyFont="1" applyFill="1">
      <alignment vertical="center"/>
      <protection locked="0"/>
    </xf>
    <xf numFmtId="0" fontId="43" fillId="46" borderId="0" xfId="0" applyFont="1" applyFill="1" applyAlignment="1" applyProtection="1">
      <alignment horizontal="left" vertical="center"/>
    </xf>
    <xf numFmtId="0" fontId="43" fillId="46" borderId="0" xfId="0" applyFont="1" applyFill="1" applyAlignment="1">
      <alignment horizontal="left" vertical="center"/>
      <protection locked="0"/>
    </xf>
    <xf numFmtId="0" fontId="73" fillId="46" borderId="0" xfId="0" applyFont="1" applyFill="1" applyProtection="1">
      <alignment vertical="center"/>
    </xf>
    <xf numFmtId="0" fontId="48" fillId="46" borderId="0" xfId="0" applyFont="1" applyFill="1" applyAlignment="1">
      <alignment horizontal="right" vertical="center"/>
      <protection locked="0"/>
    </xf>
    <xf numFmtId="0" fontId="48" fillId="46" borderId="0" xfId="0" applyFont="1" applyFill="1" applyAlignment="1" applyProtection="1">
      <alignment horizontal="center" vertical="center"/>
    </xf>
    <xf numFmtId="0" fontId="30" fillId="46" borderId="0" xfId="0" applyFont="1" applyFill="1" applyProtection="1">
      <alignment vertical="center"/>
    </xf>
    <xf numFmtId="0" fontId="48" fillId="46" borderId="0" xfId="0" applyFont="1" applyFill="1" applyProtection="1">
      <alignment vertical="center"/>
    </xf>
    <xf numFmtId="0" fontId="36" fillId="0" borderId="0" xfId="0" applyFont="1" applyAlignment="1" applyProtection="1">
      <alignment horizontal="center" vertical="center"/>
    </xf>
    <xf numFmtId="0" fontId="49" fillId="0" borderId="12" xfId="0" applyFont="1" applyBorder="1">
      <alignment vertical="center"/>
      <protection locked="0"/>
    </xf>
    <xf numFmtId="0" fontId="50" fillId="0" borderId="0" xfId="0" applyFont="1" applyAlignment="1" applyProtection="1">
      <alignment horizontal="center" vertical="center"/>
    </xf>
    <xf numFmtId="0" fontId="74" fillId="35" borderId="0" xfId="0" applyFont="1" applyFill="1">
      <alignment vertical="center"/>
      <protection locked="0"/>
    </xf>
    <xf numFmtId="2" fontId="0" fillId="36" borderId="4" xfId="33" applyNumberFormat="1" applyFont="1" applyFill="1" applyBorder="1" applyAlignment="1" applyProtection="1">
      <alignment horizontal="center" vertical="center"/>
    </xf>
    <xf numFmtId="171" fontId="0" fillId="36" borderId="4" xfId="0" applyNumberFormat="1" applyFill="1" applyBorder="1" applyProtection="1">
      <alignment vertical="center"/>
    </xf>
    <xf numFmtId="171" fontId="39" fillId="38" borderId="4" xfId="0" applyNumberFormat="1" applyFont="1" applyFill="1" applyBorder="1" applyProtection="1">
      <alignment vertical="center"/>
    </xf>
    <xf numFmtId="0" fontId="5" fillId="39" borderId="4" xfId="0" applyFont="1" applyFill="1" applyBorder="1" applyAlignment="1" applyProtection="1">
      <alignment horizontal="center" vertical="center"/>
    </xf>
    <xf numFmtId="180" fontId="4" fillId="36" borderId="4" xfId="0" applyNumberFormat="1" applyFont="1" applyFill="1" applyBorder="1">
      <alignment vertical="center"/>
      <protection locked="0"/>
    </xf>
    <xf numFmtId="180" fontId="4" fillId="41" borderId="4" xfId="0" applyNumberFormat="1" applyFont="1" applyFill="1" applyBorder="1" applyProtection="1">
      <alignment vertical="center"/>
    </xf>
    <xf numFmtId="180" fontId="0" fillId="38" borderId="4" xfId="0" applyNumberFormat="1" applyFill="1" applyBorder="1" applyProtection="1">
      <alignment vertical="center"/>
    </xf>
    <xf numFmtId="0" fontId="4" fillId="41" borderId="4" xfId="0" applyFont="1" applyFill="1" applyBorder="1" applyAlignment="1">
      <alignment horizontal="center" vertical="center"/>
      <protection locked="0"/>
    </xf>
    <xf numFmtId="0" fontId="40" fillId="36" borderId="4" xfId="0" applyFont="1" applyFill="1" applyBorder="1" applyAlignment="1">
      <alignment horizontal="left" vertical="center" wrapText="1"/>
      <protection locked="0"/>
    </xf>
    <xf numFmtId="171" fontId="39" fillId="38" borderId="24" xfId="33" applyNumberFormat="1" applyFont="1" applyFill="1" applyBorder="1" applyAlignment="1" applyProtection="1">
      <alignment vertical="center"/>
    </xf>
    <xf numFmtId="0" fontId="33" fillId="35" borderId="29" xfId="0" applyFont="1" applyFill="1" applyBorder="1" applyAlignment="1" applyProtection="1">
      <alignment horizontal="center" vertical="center" wrapText="1"/>
    </xf>
    <xf numFmtId="0" fontId="33" fillId="35" borderId="30" xfId="0" applyFont="1" applyFill="1" applyBorder="1" applyAlignment="1" applyProtection="1">
      <alignment horizontal="center" vertical="center" wrapText="1"/>
    </xf>
    <xf numFmtId="0" fontId="33" fillId="35" borderId="31" xfId="0" applyFont="1" applyFill="1" applyBorder="1" applyAlignment="1" applyProtection="1">
      <alignment horizontal="center" vertical="center" wrapText="1"/>
    </xf>
    <xf numFmtId="0" fontId="75" fillId="40" borderId="0" xfId="0" applyFont="1" applyFill="1" applyAlignment="1" applyProtection="1">
      <alignment horizontal="center" vertical="center"/>
    </xf>
    <xf numFmtId="0" fontId="64" fillId="40" borderId="0" xfId="0" applyFont="1" applyFill="1" applyAlignment="1" applyProtection="1">
      <alignment horizontal="center" vertical="center"/>
    </xf>
    <xf numFmtId="0" fontId="38" fillId="47" borderId="4" xfId="0" applyFont="1" applyFill="1" applyBorder="1">
      <alignment vertical="center"/>
      <protection locked="0"/>
    </xf>
    <xf numFmtId="0" fontId="5" fillId="47" borderId="4" xfId="0" applyFont="1" applyFill="1" applyBorder="1" applyAlignment="1">
      <alignment horizontal="center" vertical="center" wrapText="1"/>
      <protection locked="0"/>
    </xf>
    <xf numFmtId="49" fontId="5" fillId="47" borderId="4" xfId="0" applyNumberFormat="1" applyFont="1" applyFill="1" applyBorder="1" applyAlignment="1">
      <alignment horizontal="center" vertical="center" wrapText="1"/>
      <protection locked="0"/>
    </xf>
    <xf numFmtId="0" fontId="4" fillId="47" borderId="4" xfId="0" applyFont="1" applyFill="1" applyBorder="1" applyAlignment="1">
      <alignment horizontal="left" vertical="center" wrapText="1"/>
      <protection locked="0"/>
    </xf>
    <xf numFmtId="0" fontId="35" fillId="47" borderId="4" xfId="0" applyFont="1" applyFill="1" applyBorder="1" applyAlignment="1">
      <alignment horizontal="justify" vertical="center"/>
      <protection locked="0"/>
    </xf>
    <xf numFmtId="0" fontId="0" fillId="0" borderId="0" xfId="0" applyAlignment="1">
      <alignment horizontal="left" vertical="center" indent="1"/>
      <protection locked="0"/>
    </xf>
    <xf numFmtId="0" fontId="55" fillId="40" borderId="0" xfId="0" applyFont="1" applyFill="1" applyAlignment="1" applyProtection="1">
      <alignment horizontal="right" vertical="center"/>
    </xf>
    <xf numFmtId="0" fontId="75" fillId="40" borderId="0" xfId="0" applyFont="1" applyFill="1" applyAlignment="1" applyProtection="1">
      <alignment horizontal="right" vertical="center"/>
    </xf>
    <xf numFmtId="0" fontId="40" fillId="36" borderId="4" xfId="0" applyFont="1" applyFill="1" applyBorder="1">
      <alignment vertical="center"/>
      <protection locked="0"/>
    </xf>
    <xf numFmtId="0" fontId="5" fillId="0" borderId="0" xfId="0" applyFont="1" applyAlignment="1" applyProtection="1">
      <alignment horizontal="center" vertical="center" wrapText="1"/>
    </xf>
    <xf numFmtId="0" fontId="0" fillId="0" borderId="6" xfId="0" applyBorder="1" applyProtection="1">
      <alignment vertical="center"/>
    </xf>
    <xf numFmtId="0" fontId="49" fillId="0" borderId="0" xfId="0" applyFont="1">
      <alignment vertical="center"/>
      <protection locked="0"/>
    </xf>
    <xf numFmtId="0" fontId="6" fillId="0" borderId="4" xfId="0" applyFont="1" applyBorder="1" applyAlignment="1" applyProtection="1">
      <alignment horizontal="center" vertical="center" wrapText="1"/>
    </xf>
    <xf numFmtId="10" fontId="0" fillId="36" borderId="4" xfId="39" applyNumberFormat="1" applyFont="1" applyFill="1" applyBorder="1" applyAlignment="1" applyProtection="1">
      <alignment vertical="center"/>
      <protection locked="0"/>
    </xf>
    <xf numFmtId="0" fontId="2" fillId="0" borderId="0" xfId="0" applyFont="1" applyProtection="1">
      <alignment vertical="center"/>
    </xf>
    <xf numFmtId="0" fontId="2" fillId="2" borderId="0" xfId="0" applyFont="1" applyFill="1" applyProtection="1">
      <alignment vertical="center"/>
    </xf>
    <xf numFmtId="0" fontId="2" fillId="2" borderId="0" xfId="0" applyFont="1" applyFill="1" applyAlignment="1" applyProtection="1">
      <alignment vertical="center" wrapText="1"/>
    </xf>
    <xf numFmtId="0" fontId="2" fillId="0" borderId="10" xfId="0" applyFont="1" applyBorder="1" applyAlignment="1" applyProtection="1">
      <alignment vertical="center" wrapText="1"/>
    </xf>
    <xf numFmtId="0" fontId="4" fillId="36" borderId="8" xfId="0" applyFont="1" applyFill="1" applyBorder="1" applyAlignment="1">
      <alignment horizontal="center" vertical="center"/>
      <protection locked="0"/>
    </xf>
    <xf numFmtId="0" fontId="4" fillId="36" borderId="4" xfId="0" applyFont="1" applyFill="1" applyBorder="1" applyAlignment="1">
      <alignment horizontal="center" vertical="center"/>
      <protection locked="0"/>
    </xf>
    <xf numFmtId="0" fontId="4" fillId="36" borderId="8" xfId="0" applyFont="1" applyFill="1" applyBorder="1" applyAlignment="1" applyProtection="1">
      <alignment horizontal="center" vertical="center"/>
    </xf>
    <xf numFmtId="10" fontId="0" fillId="36" borderId="4" xfId="39" applyNumberFormat="1" applyFont="1" applyFill="1" applyBorder="1" applyAlignment="1" applyProtection="1">
      <alignment horizontal="right" vertical="center"/>
    </xf>
    <xf numFmtId="178" fontId="0" fillId="38" borderId="4" xfId="39" applyNumberFormat="1" applyFont="1" applyFill="1" applyBorder="1" applyAlignment="1" applyProtection="1">
      <alignment horizontal="right" vertical="center"/>
    </xf>
    <xf numFmtId="10" fontId="0" fillId="38" borderId="4" xfId="39" applyNumberFormat="1" applyFont="1" applyFill="1" applyBorder="1" applyAlignment="1" applyProtection="1">
      <alignment horizontal="right" vertical="center"/>
    </xf>
    <xf numFmtId="0" fontId="4" fillId="41" borderId="4" xfId="0" applyFont="1" applyFill="1" applyBorder="1" applyProtection="1">
      <alignment vertical="center"/>
    </xf>
    <xf numFmtId="0" fontId="31" fillId="35" borderId="0" xfId="0" applyFont="1" applyFill="1">
      <alignment vertical="center"/>
      <protection locked="0"/>
    </xf>
    <xf numFmtId="0" fontId="31" fillId="35" borderId="4" xfId="0" applyFont="1" applyFill="1" applyBorder="1" applyAlignment="1">
      <alignment vertical="center" wrapText="1"/>
      <protection locked="0"/>
    </xf>
    <xf numFmtId="0" fontId="1" fillId="0" borderId="4" xfId="0" applyFont="1" applyBorder="1" applyAlignment="1" applyProtection="1">
      <alignment vertical="center" wrapText="1"/>
    </xf>
    <xf numFmtId="0" fontId="10" fillId="36" borderId="4" xfId="39" applyNumberFormat="1" applyFont="1" applyFill="1" applyBorder="1" applyAlignment="1" applyProtection="1">
      <alignment horizontal="center" vertical="center"/>
    </xf>
    <xf numFmtId="0" fontId="39" fillId="0" borderId="4" xfId="0" applyFont="1" applyBorder="1">
      <alignment vertical="center"/>
      <protection locked="0"/>
    </xf>
    <xf numFmtId="8" fontId="0" fillId="0" borderId="4" xfId="0" applyNumberFormat="1" applyBorder="1" applyProtection="1">
      <alignment vertical="center"/>
    </xf>
    <xf numFmtId="10" fontId="10" fillId="36" borderId="10" xfId="39" applyNumberFormat="1" applyFont="1" applyFill="1" applyBorder="1" applyAlignment="1" applyProtection="1">
      <alignment vertical="center" wrapText="1"/>
    </xf>
    <xf numFmtId="10" fontId="39" fillId="38" borderId="4" xfId="0" applyNumberFormat="1" applyFont="1" applyFill="1" applyBorder="1" applyProtection="1">
      <alignment vertical="center"/>
    </xf>
    <xf numFmtId="8" fontId="39" fillId="38" borderId="4" xfId="0" applyNumberFormat="1" applyFont="1" applyFill="1" applyBorder="1" applyProtection="1">
      <alignment vertical="center"/>
    </xf>
    <xf numFmtId="171" fontId="39" fillId="0" borderId="0" xfId="0" applyNumberFormat="1" applyFont="1" applyProtection="1">
      <alignment vertical="center"/>
    </xf>
    <xf numFmtId="0" fontId="6" fillId="0" borderId="4" xfId="0" applyFont="1" applyBorder="1" applyAlignment="1">
      <alignment horizontal="center" vertical="top"/>
      <protection locked="0"/>
    </xf>
    <xf numFmtId="0" fontId="38" fillId="0" borderId="0" xfId="0" applyFont="1" applyProtection="1">
      <alignment vertical="center"/>
    </xf>
    <xf numFmtId="0" fontId="38" fillId="0" borderId="4" xfId="0" applyFont="1" applyBorder="1" applyAlignment="1" applyProtection="1">
      <alignment horizontal="center" vertical="center"/>
    </xf>
    <xf numFmtId="0" fontId="65" fillId="0" borderId="4" xfId="0" applyFont="1" applyBorder="1" applyAlignment="1" applyProtection="1">
      <alignment horizontal="center" vertical="center"/>
    </xf>
    <xf numFmtId="0" fontId="42" fillId="0" borderId="4" xfId="0" applyFont="1" applyBorder="1" applyProtection="1">
      <alignment vertical="center"/>
    </xf>
    <xf numFmtId="0" fontId="0" fillId="0" borderId="0" xfId="0" applyAlignment="1">
      <alignment horizontal="center" vertical="center"/>
      <protection locked="0"/>
    </xf>
    <xf numFmtId="0" fontId="10" fillId="36" borderId="4" xfId="33" applyNumberFormat="1" applyFont="1" applyFill="1" applyBorder="1" applyAlignment="1" applyProtection="1">
      <alignment vertical="center"/>
    </xf>
    <xf numFmtId="10" fontId="0" fillId="38" borderId="4" xfId="0" applyNumberFormat="1" applyFill="1" applyBorder="1" applyAlignment="1" applyProtection="1">
      <alignment vertical="center" wrapText="1"/>
    </xf>
    <xf numFmtId="0" fontId="40" fillId="36" borderId="2" xfId="0" applyFont="1" applyFill="1" applyBorder="1" applyProtection="1">
      <alignment vertical="center"/>
    </xf>
    <xf numFmtId="0" fontId="0" fillId="38" borderId="4" xfId="0" applyFill="1" applyBorder="1" applyProtection="1">
      <alignment vertical="center"/>
    </xf>
    <xf numFmtId="0" fontId="42" fillId="38" borderId="4" xfId="0" applyFont="1" applyFill="1" applyBorder="1" applyProtection="1">
      <alignment vertical="center"/>
    </xf>
    <xf numFmtId="0" fontId="48" fillId="46" borderId="0" xfId="0" applyFont="1" applyFill="1" applyAlignment="1" applyProtection="1">
      <alignment horizontal="right" vertical="center"/>
    </xf>
    <xf numFmtId="0" fontId="33" fillId="0" borderId="4" xfId="0" applyFont="1" applyBorder="1" applyAlignment="1" applyProtection="1">
      <alignment horizontal="center" vertical="center"/>
    </xf>
    <xf numFmtId="0" fontId="30" fillId="37" borderId="0" xfId="0" applyFont="1" applyFill="1" applyAlignment="1" applyProtection="1">
      <alignment vertical="center" wrapText="1"/>
    </xf>
    <xf numFmtId="0" fontId="49" fillId="0" borderId="0" xfId="0" applyFont="1" applyProtection="1">
      <alignment vertical="center"/>
    </xf>
    <xf numFmtId="0" fontId="38" fillId="35" borderId="1" xfId="0" applyFont="1" applyFill="1" applyBorder="1" applyAlignment="1" applyProtection="1">
      <alignment vertical="center" wrapText="1"/>
    </xf>
    <xf numFmtId="0" fontId="38" fillId="35" borderId="2" xfId="0" applyFont="1" applyFill="1" applyBorder="1" applyAlignment="1" applyProtection="1">
      <alignment vertical="center" wrapText="1"/>
    </xf>
    <xf numFmtId="0" fontId="31" fillId="0" borderId="0" xfId="0" applyFont="1" applyProtection="1">
      <alignment vertical="center"/>
    </xf>
    <xf numFmtId="8" fontId="10" fillId="36" borderId="4" xfId="39" applyNumberFormat="1" applyFont="1" applyFill="1" applyBorder="1" applyAlignment="1" applyProtection="1">
      <alignment vertical="center"/>
      <protection locked="0"/>
    </xf>
    <xf numFmtId="0" fontId="15" fillId="37" borderId="0" xfId="0" applyFont="1" applyFill="1" applyProtection="1">
      <alignment vertical="center"/>
    </xf>
    <xf numFmtId="9" fontId="4" fillId="36" borderId="4" xfId="45" applyFont="1" applyFill="1" applyBorder="1" applyAlignment="1">
      <alignment vertical="center"/>
      <protection locked="0"/>
    </xf>
    <xf numFmtId="0" fontId="0" fillId="35" borderId="4" xfId="0" applyFill="1" applyBorder="1" applyAlignment="1" applyProtection="1">
      <alignment horizontal="center" vertical="center" wrapText="1"/>
    </xf>
    <xf numFmtId="9" fontId="31" fillId="38" borderId="4" xfId="45" applyFont="1" applyFill="1" applyBorder="1" applyAlignment="1" applyProtection="1">
      <alignment vertical="center"/>
    </xf>
    <xf numFmtId="0" fontId="5" fillId="47" borderId="4" xfId="0" applyFont="1" applyFill="1" applyBorder="1" applyAlignment="1">
      <alignment vertical="center" wrapText="1"/>
      <protection locked="0"/>
    </xf>
    <xf numFmtId="171" fontId="5" fillId="36" borderId="4" xfId="0" applyNumberFormat="1" applyFont="1" applyFill="1" applyBorder="1" applyAlignment="1" applyProtection="1">
      <alignment vertical="center" wrapText="1"/>
    </xf>
    <xf numFmtId="0" fontId="0" fillId="36" borderId="4" xfId="0" applyFill="1" applyBorder="1" applyAlignment="1" applyProtection="1">
      <alignment horizontal="center" vertical="center"/>
    </xf>
    <xf numFmtId="171" fontId="42" fillId="38" borderId="4" xfId="33" applyNumberFormat="1" applyFont="1" applyFill="1" applyBorder="1" applyAlignment="1" applyProtection="1">
      <alignment vertical="center"/>
    </xf>
    <xf numFmtId="171" fontId="42" fillId="38" borderId="25" xfId="33" applyNumberFormat="1" applyFont="1" applyFill="1" applyBorder="1" applyAlignment="1" applyProtection="1">
      <alignment vertical="center"/>
    </xf>
    <xf numFmtId="171" fontId="42" fillId="38" borderId="24" xfId="33" applyNumberFormat="1" applyFont="1" applyFill="1" applyBorder="1" applyAlignment="1" applyProtection="1">
      <alignment vertical="center"/>
    </xf>
    <xf numFmtId="171" fontId="42" fillId="38" borderId="27" xfId="33" applyNumberFormat="1" applyFont="1" applyFill="1" applyBorder="1" applyAlignment="1" applyProtection="1">
      <alignment vertical="center"/>
    </xf>
    <xf numFmtId="171" fontId="42" fillId="38" borderId="28" xfId="33" applyNumberFormat="1" applyFont="1" applyFill="1" applyBorder="1" applyAlignment="1" applyProtection="1">
      <alignment vertical="center"/>
    </xf>
    <xf numFmtId="171" fontId="42" fillId="38" borderId="26" xfId="33" applyNumberFormat="1" applyFont="1" applyFill="1" applyBorder="1" applyAlignment="1" applyProtection="1">
      <alignment vertical="center"/>
    </xf>
    <xf numFmtId="6" fontId="42" fillId="35" borderId="4" xfId="0" applyNumberFormat="1" applyFont="1" applyFill="1" applyBorder="1" applyProtection="1">
      <alignment vertical="center"/>
    </xf>
    <xf numFmtId="181" fontId="0" fillId="36" borderId="4" xfId="0" applyNumberFormat="1" applyFill="1" applyBorder="1">
      <alignment vertical="center"/>
      <protection locked="0"/>
    </xf>
    <xf numFmtId="2" fontId="0" fillId="36" borderId="4" xfId="33" applyNumberFormat="1" applyFont="1" applyFill="1" applyBorder="1" applyAlignment="1" applyProtection="1">
      <alignment vertical="center"/>
    </xf>
    <xf numFmtId="0" fontId="0" fillId="0" borderId="0" xfId="0" applyAlignment="1" applyProtection="1"/>
    <xf numFmtId="1" fontId="10" fillId="38" borderId="4" xfId="39" applyNumberFormat="1" applyFont="1" applyFill="1" applyBorder="1" applyAlignment="1" applyProtection="1">
      <alignment horizontal="center" vertical="center"/>
    </xf>
    <xf numFmtId="0" fontId="52" fillId="37" borderId="0" xfId="0" applyFont="1" applyFill="1" applyAlignment="1" applyProtection="1">
      <alignment horizontal="center" vertical="center"/>
    </xf>
    <xf numFmtId="0" fontId="43" fillId="37" borderId="0" xfId="0" applyFont="1" applyFill="1" applyAlignment="1" applyProtection="1">
      <alignment horizontal="right" vertical="center"/>
    </xf>
    <xf numFmtId="0" fontId="52" fillId="37" borderId="0" xfId="0" applyFont="1" applyFill="1" applyAlignment="1" applyProtection="1">
      <alignment horizontal="right" vertical="center"/>
    </xf>
    <xf numFmtId="8" fontId="0" fillId="0" borderId="0" xfId="0" applyNumberFormat="1">
      <alignment vertical="center"/>
      <protection locked="0"/>
    </xf>
    <xf numFmtId="171" fontId="4" fillId="38" borderId="4" xfId="0" applyNumberFormat="1" applyFont="1" applyFill="1" applyBorder="1" applyProtection="1">
      <alignment vertical="center"/>
    </xf>
    <xf numFmtId="10" fontId="40" fillId="0" borderId="4" xfId="45" applyNumberFormat="1" applyFont="1" applyBorder="1" applyAlignment="1" applyProtection="1">
      <alignment vertical="center"/>
    </xf>
    <xf numFmtId="10" fontId="39" fillId="38" borderId="4" xfId="45" applyNumberFormat="1" applyFont="1" applyFill="1" applyBorder="1" applyAlignment="1" applyProtection="1">
      <alignment vertical="center"/>
    </xf>
    <xf numFmtId="171" fontId="42" fillId="38" borderId="4" xfId="0" applyNumberFormat="1" applyFont="1" applyFill="1" applyBorder="1" applyProtection="1">
      <alignment vertical="center"/>
    </xf>
    <xf numFmtId="171" fontId="42" fillId="38" borderId="4" xfId="0" applyNumberFormat="1" applyFont="1" applyFill="1" applyBorder="1" applyAlignment="1" applyProtection="1">
      <alignment horizontal="center" vertical="center"/>
    </xf>
    <xf numFmtId="2" fontId="0" fillId="36" borderId="4" xfId="0" applyNumberFormat="1" applyFill="1" applyBorder="1" applyProtection="1">
      <alignment vertical="center"/>
    </xf>
    <xf numFmtId="2" fontId="0" fillId="36" borderId="4" xfId="0" applyNumberFormat="1" applyFill="1" applyBorder="1">
      <alignment vertical="center"/>
      <protection locked="0"/>
    </xf>
    <xf numFmtId="3" fontId="10" fillId="39" borderId="4" xfId="0" applyNumberFormat="1" applyFont="1" applyFill="1" applyBorder="1" applyAlignment="1" applyProtection="1"/>
    <xf numFmtId="0" fontId="0" fillId="38" borderId="8" xfId="0" applyFill="1" applyBorder="1">
      <alignment vertical="center"/>
      <protection locked="0"/>
    </xf>
    <xf numFmtId="10" fontId="0" fillId="36" borderId="8" xfId="0" applyNumberFormat="1" applyFill="1" applyBorder="1">
      <alignment vertical="center"/>
      <protection locked="0"/>
    </xf>
    <xf numFmtId="10" fontId="42" fillId="0" borderId="4" xfId="45" applyNumberFormat="1" applyFont="1" applyBorder="1" applyAlignment="1" applyProtection="1">
      <alignment vertical="center"/>
    </xf>
    <xf numFmtId="3" fontId="10" fillId="38" borderId="4" xfId="0" applyNumberFormat="1" applyFont="1" applyFill="1" applyBorder="1" applyAlignment="1" applyProtection="1"/>
    <xf numFmtId="0" fontId="42" fillId="0" borderId="4" xfId="0" applyFont="1" applyBorder="1" applyAlignment="1">
      <alignment horizontal="center" vertical="center"/>
      <protection locked="0"/>
    </xf>
    <xf numFmtId="10" fontId="42" fillId="0" borderId="0" xfId="45" applyNumberFormat="1" applyFont="1" applyBorder="1" applyAlignment="1" applyProtection="1">
      <alignment vertical="center"/>
    </xf>
    <xf numFmtId="0" fontId="42" fillId="0" borderId="4" xfId="0" applyFont="1" applyBorder="1">
      <alignment vertical="center"/>
      <protection locked="0"/>
    </xf>
    <xf numFmtId="10" fontId="42" fillId="48" borderId="4" xfId="45" applyNumberFormat="1" applyFont="1" applyFill="1" applyBorder="1" applyAlignment="1" applyProtection="1">
      <alignment vertical="center"/>
    </xf>
    <xf numFmtId="0" fontId="77" fillId="0" borderId="0" xfId="0" applyFont="1">
      <alignment vertical="center"/>
      <protection locked="0"/>
    </xf>
    <xf numFmtId="171" fontId="42" fillId="0" borderId="4" xfId="0" applyNumberFormat="1" applyFont="1" applyBorder="1" applyAlignment="1" applyProtection="1"/>
    <xf numFmtId="0" fontId="78" fillId="35" borderId="4" xfId="0" applyFont="1" applyFill="1" applyBorder="1" applyAlignment="1" applyProtection="1">
      <alignment horizontal="center"/>
    </xf>
    <xf numFmtId="0" fontId="65" fillId="38" borderId="4" xfId="0" applyFont="1" applyFill="1" applyBorder="1" applyAlignment="1" applyProtection="1">
      <alignment horizontal="center" vertical="center"/>
    </xf>
    <xf numFmtId="0" fontId="42" fillId="38" borderId="4" xfId="0" applyFont="1" applyFill="1" applyBorder="1" applyAlignment="1" applyProtection="1">
      <alignment horizontal="left" vertical="center"/>
    </xf>
    <xf numFmtId="171" fontId="42" fillId="38" borderId="4" xfId="0" applyNumberFormat="1" applyFont="1" applyFill="1" applyBorder="1" applyAlignment="1" applyProtection="1"/>
    <xf numFmtId="172" fontId="42" fillId="0" borderId="4" xfId="0" applyNumberFormat="1" applyFont="1" applyBorder="1" applyProtection="1">
      <alignment vertical="center"/>
    </xf>
    <xf numFmtId="10" fontId="0" fillId="36" borderId="4" xfId="0" applyNumberFormat="1" applyFill="1" applyBorder="1" applyProtection="1">
      <alignment vertical="center"/>
    </xf>
    <xf numFmtId="0" fontId="65" fillId="35" borderId="4" xfId="0" applyFont="1" applyFill="1" applyBorder="1" applyAlignment="1" applyProtection="1">
      <alignment horizontal="center" vertical="center"/>
    </xf>
    <xf numFmtId="4" fontId="4" fillId="36" borderId="4" xfId="0" applyNumberFormat="1" applyFont="1" applyFill="1" applyBorder="1">
      <alignment vertical="center"/>
      <protection locked="0"/>
    </xf>
    <xf numFmtId="4" fontId="4" fillId="36" borderId="4" xfId="0" applyNumberFormat="1" applyFont="1" applyFill="1" applyBorder="1" applyProtection="1">
      <alignment vertical="center"/>
    </xf>
    <xf numFmtId="171" fontId="5" fillId="0" borderId="7" xfId="0" applyNumberFormat="1" applyFont="1" applyBorder="1" applyProtection="1">
      <alignment vertical="center"/>
    </xf>
    <xf numFmtId="182" fontId="29" fillId="0" borderId="4" xfId="0" applyNumberFormat="1" applyFont="1" applyBorder="1" applyProtection="1">
      <alignment vertical="center"/>
    </xf>
    <xf numFmtId="0" fontId="5" fillId="35" borderId="4" xfId="0" applyFont="1" applyFill="1" applyBorder="1">
      <alignment vertical="center"/>
      <protection locked="0"/>
    </xf>
    <xf numFmtId="182" fontId="46" fillId="0" borderId="4" xfId="0" applyNumberFormat="1" applyFont="1" applyBorder="1" applyProtection="1">
      <alignment vertical="center"/>
    </xf>
    <xf numFmtId="0" fontId="5" fillId="0" borderId="4" xfId="0" applyFont="1" applyBorder="1" applyAlignment="1" applyProtection="1"/>
    <xf numFmtId="2" fontId="0" fillId="0" borderId="0" xfId="0" applyNumberFormat="1">
      <alignment vertical="center"/>
      <protection locked="0"/>
    </xf>
    <xf numFmtId="183" fontId="29" fillId="0" borderId="4" xfId="0" applyNumberFormat="1" applyFont="1" applyBorder="1" applyProtection="1">
      <alignment vertical="center"/>
    </xf>
    <xf numFmtId="0" fontId="0" fillId="38" borderId="4" xfId="33" applyNumberFormat="1" applyFont="1" applyFill="1" applyBorder="1" applyAlignment="1" applyProtection="1">
      <alignment horizontal="center" vertical="center"/>
    </xf>
    <xf numFmtId="0" fontId="29" fillId="0" borderId="0" xfId="0" applyFont="1">
      <alignment vertical="center"/>
      <protection locked="0"/>
    </xf>
    <xf numFmtId="0" fontId="28" fillId="35" borderId="4" xfId="0" applyFont="1" applyFill="1" applyBorder="1" applyProtection="1">
      <alignment vertical="center"/>
    </xf>
    <xf numFmtId="171" fontId="28" fillId="38" borderId="4" xfId="0" applyNumberFormat="1" applyFont="1" applyFill="1" applyBorder="1" applyProtection="1">
      <alignment vertical="center"/>
    </xf>
    <xf numFmtId="0" fontId="65" fillId="0" borderId="0" xfId="0" applyFont="1" applyAlignment="1" applyProtection="1">
      <alignment horizontal="center" vertical="center"/>
    </xf>
    <xf numFmtId="171" fontId="4" fillId="43" borderId="4" xfId="0" applyNumberFormat="1" applyFont="1" applyFill="1" applyBorder="1" applyProtection="1">
      <alignment vertical="center"/>
    </xf>
    <xf numFmtId="0" fontId="46" fillId="0" borderId="4" xfId="0" applyFont="1" applyBorder="1" applyAlignment="1">
      <alignment horizontal="center" vertical="top"/>
      <protection locked="0"/>
    </xf>
    <xf numFmtId="0" fontId="79" fillId="0" borderId="4" xfId="0" applyFont="1" applyBorder="1" applyAlignment="1">
      <alignment horizontal="center" vertical="top"/>
      <protection locked="0"/>
    </xf>
    <xf numFmtId="0" fontId="39" fillId="35" borderId="4" xfId="0" applyFont="1" applyFill="1" applyBorder="1">
      <alignment vertical="center"/>
      <protection locked="0"/>
    </xf>
    <xf numFmtId="0" fontId="4" fillId="0" borderId="4" xfId="0" applyFont="1" applyBorder="1" applyAlignment="1" applyProtection="1">
      <alignment vertical="center" wrapText="1"/>
    </xf>
    <xf numFmtId="0" fontId="5" fillId="0" borderId="4" xfId="0" applyFont="1" applyBorder="1" applyAlignment="1" applyProtection="1">
      <alignment horizontal="center" vertical="center" wrapText="1"/>
    </xf>
    <xf numFmtId="0" fontId="4" fillId="0" borderId="4" xfId="0" applyFont="1" applyBorder="1" applyAlignment="1" applyProtection="1">
      <alignment horizontal="center" vertical="center" wrapText="1"/>
    </xf>
    <xf numFmtId="0" fontId="6" fillId="0" borderId="4" xfId="0" applyFont="1" applyBorder="1" applyAlignment="1" applyProtection="1">
      <alignment horizontal="center" vertical="center"/>
    </xf>
    <xf numFmtId="180" fontId="5" fillId="36" borderId="4" xfId="0" applyNumberFormat="1" applyFont="1" applyFill="1" applyBorder="1" applyProtection="1">
      <alignment vertical="center"/>
    </xf>
    <xf numFmtId="180" fontId="0" fillId="36" borderId="4" xfId="0" applyNumberFormat="1" applyFill="1" applyBorder="1">
      <alignment vertical="center"/>
      <protection locked="0"/>
    </xf>
    <xf numFmtId="180" fontId="6" fillId="38" borderId="4" xfId="0" applyNumberFormat="1" applyFont="1" applyFill="1" applyBorder="1" applyAlignment="1" applyProtection="1">
      <alignment vertical="center" wrapText="1"/>
    </xf>
    <xf numFmtId="10" fontId="40" fillId="0" borderId="0" xfId="45" applyNumberFormat="1" applyFont="1" applyBorder="1" applyAlignment="1" applyProtection="1">
      <alignment vertical="center"/>
    </xf>
    <xf numFmtId="1" fontId="31" fillId="41" borderId="8" xfId="0" applyNumberFormat="1" applyFont="1" applyFill="1" applyBorder="1" applyAlignment="1" applyProtection="1">
      <alignment horizontal="center" vertical="center"/>
    </xf>
    <xf numFmtId="0" fontId="31" fillId="41" borderId="8" xfId="0" applyFont="1" applyFill="1" applyBorder="1" applyAlignment="1" applyProtection="1">
      <alignment horizontal="center" vertical="center"/>
    </xf>
    <xf numFmtId="0" fontId="28" fillId="0" borderId="0" xfId="0" applyFont="1" applyProtection="1">
      <alignment vertical="center"/>
    </xf>
    <xf numFmtId="171" fontId="12" fillId="0" borderId="0" xfId="0" applyNumberFormat="1" applyFont="1">
      <alignment vertical="center"/>
      <protection locked="0"/>
    </xf>
    <xf numFmtId="181" fontId="29" fillId="0" borderId="0" xfId="0" applyNumberFormat="1" applyFont="1">
      <alignment vertical="center"/>
      <protection locked="0"/>
    </xf>
    <xf numFmtId="171" fontId="29" fillId="0" borderId="0" xfId="0" applyNumberFormat="1" applyFont="1">
      <alignment vertical="center"/>
      <protection locked="0"/>
    </xf>
    <xf numFmtId="0" fontId="11" fillId="0" borderId="0" xfId="0" applyFont="1" applyAlignment="1" applyProtection="1">
      <alignment vertical="center" wrapText="1"/>
    </xf>
    <xf numFmtId="0" fontId="2" fillId="0" borderId="0" xfId="0" applyFont="1" applyAlignment="1" applyProtection="1">
      <alignment vertical="center" wrapText="1"/>
    </xf>
    <xf numFmtId="0" fontId="38" fillId="0" borderId="0" xfId="0" applyFont="1" applyAlignment="1" applyProtection="1">
      <alignment horizontal="center" vertical="center"/>
    </xf>
    <xf numFmtId="0" fontId="0" fillId="0" borderId="0" xfId="0" applyAlignment="1" applyProtection="1">
      <alignment horizontal="center" vertical="center"/>
    </xf>
    <xf numFmtId="0" fontId="71" fillId="37" borderId="0" xfId="0" applyFont="1" applyFill="1" applyProtection="1">
      <alignment vertical="center"/>
    </xf>
    <xf numFmtId="0" fontId="39" fillId="0" borderId="0" xfId="0" applyFont="1" applyProtection="1">
      <alignment vertical="center"/>
    </xf>
    <xf numFmtId="0" fontId="0" fillId="0" borderId="0" xfId="0" applyAlignment="1">
      <alignment horizontal="left" vertical="center"/>
      <protection locked="0"/>
    </xf>
    <xf numFmtId="0" fontId="30" fillId="0" borderId="0" xfId="0" applyFont="1" applyProtection="1">
      <alignment vertical="center"/>
    </xf>
    <xf numFmtId="0" fontId="56" fillId="0" borderId="0" xfId="0" applyFont="1">
      <alignment vertical="center"/>
      <protection locked="0"/>
    </xf>
    <xf numFmtId="0" fontId="60" fillId="0" borderId="0" xfId="0" applyFont="1">
      <alignment vertical="center"/>
      <protection locked="0"/>
    </xf>
    <xf numFmtId="0" fontId="42" fillId="0" borderId="0" xfId="0" applyFont="1">
      <alignment vertical="center"/>
      <protection locked="0"/>
    </xf>
    <xf numFmtId="1" fontId="31" fillId="0" borderId="0" xfId="0" applyNumberFormat="1" applyFont="1" applyAlignment="1" applyProtection="1">
      <alignment horizontal="center" vertical="center"/>
    </xf>
    <xf numFmtId="171" fontId="0" fillId="0" borderId="0" xfId="0" applyNumberFormat="1" applyProtection="1">
      <alignment vertical="center"/>
    </xf>
    <xf numFmtId="0" fontId="53" fillId="0" borderId="0" xfId="0" applyFont="1">
      <alignment vertical="center"/>
      <protection locked="0"/>
    </xf>
    <xf numFmtId="0" fontId="0" fillId="0" borderId="0" xfId="0" applyAlignment="1">
      <alignment vertical="center" wrapText="1"/>
      <protection locked="0"/>
    </xf>
    <xf numFmtId="0" fontId="38" fillId="0" borderId="0" xfId="0" applyFont="1" applyAlignment="1">
      <alignment horizontal="left" vertical="center" wrapText="1"/>
      <protection locked="0"/>
    </xf>
    <xf numFmtId="0" fontId="33" fillId="0" borderId="0" xfId="0" applyFont="1">
      <alignment vertical="center"/>
      <protection locked="0"/>
    </xf>
    <xf numFmtId="0" fontId="59" fillId="0" borderId="0" xfId="0" applyFont="1">
      <alignment vertical="center"/>
      <protection locked="0"/>
    </xf>
    <xf numFmtId="0" fontId="0" fillId="0" borderId="0" xfId="0" applyAlignment="1">
      <alignment horizontal="left" vertical="center" wrapText="1"/>
      <protection locked="0"/>
    </xf>
    <xf numFmtId="0" fontId="31" fillId="0" borderId="0" xfId="0" applyFont="1" applyAlignment="1" applyProtection="1">
      <alignment vertical="center" wrapText="1"/>
    </xf>
    <xf numFmtId="0" fontId="55" fillId="0" borderId="0" xfId="0" applyFont="1">
      <alignment vertical="center"/>
      <protection locked="0"/>
    </xf>
    <xf numFmtId="0" fontId="59" fillId="0" borderId="0" xfId="0" applyFont="1" applyProtection="1">
      <alignment vertical="center"/>
    </xf>
    <xf numFmtId="0" fontId="33" fillId="0" borderId="0" xfId="0" applyFont="1" applyProtection="1">
      <alignment vertical="center"/>
    </xf>
    <xf numFmtId="0" fontId="31" fillId="0" borderId="7" xfId="0" applyFont="1" applyBorder="1" applyAlignment="1" applyProtection="1">
      <alignment vertical="center" wrapText="1"/>
    </xf>
    <xf numFmtId="164" fontId="39" fillId="0" borderId="0" xfId="0" applyNumberFormat="1" applyFont="1" applyProtection="1">
      <alignment vertical="center"/>
    </xf>
    <xf numFmtId="0" fontId="53" fillId="0" borderId="0" xfId="0" applyFont="1" applyProtection="1">
      <alignment vertical="center"/>
    </xf>
    <xf numFmtId="0" fontId="0" fillId="0" borderId="0" xfId="0" applyAlignment="1" applyProtection="1">
      <alignment vertical="center" wrapText="1"/>
    </xf>
    <xf numFmtId="0" fontId="40" fillId="0" borderId="0" xfId="0" applyFont="1" applyProtection="1">
      <alignment vertical="center"/>
    </xf>
    <xf numFmtId="169" fontId="0" fillId="0" borderId="0" xfId="0" applyNumberFormat="1" applyAlignment="1" applyProtection="1">
      <alignment horizontal="center"/>
    </xf>
    <xf numFmtId="0" fontId="50" fillId="0" borderId="0" xfId="0" applyFont="1" applyProtection="1">
      <alignment vertical="center"/>
    </xf>
    <xf numFmtId="0" fontId="76" fillId="0" borderId="0" xfId="0" applyFont="1" applyProtection="1">
      <alignment vertical="center"/>
    </xf>
    <xf numFmtId="169" fontId="0" fillId="0" borderId="0" xfId="0" applyNumberFormat="1" applyAlignment="1" applyProtection="1">
      <alignment horizontal="center" vertical="center"/>
    </xf>
    <xf numFmtId="0" fontId="38" fillId="0" borderId="0" xfId="0" applyFont="1" applyAlignment="1" applyProtection="1">
      <alignment vertical="center" wrapText="1"/>
    </xf>
    <xf numFmtId="3" fontId="0" fillId="0" borderId="0" xfId="0" applyNumberFormat="1">
      <alignment vertical="center"/>
      <protection locked="0"/>
    </xf>
    <xf numFmtId="3" fontId="0" fillId="0" borderId="0" xfId="0" applyNumberFormat="1" applyProtection="1">
      <alignment vertical="center"/>
    </xf>
    <xf numFmtId="171" fontId="39" fillId="0" borderId="0" xfId="0" applyNumberFormat="1" applyFont="1">
      <alignment vertical="center"/>
      <protection locked="0"/>
    </xf>
    <xf numFmtId="0" fontId="58" fillId="35" borderId="4" xfId="0" applyFont="1" applyFill="1" applyBorder="1" applyAlignment="1">
      <alignment horizontal="center" vertical="center" wrapText="1"/>
      <protection locked="0"/>
    </xf>
    <xf numFmtId="171" fontId="42" fillId="35" borderId="4" xfId="0" applyNumberFormat="1" applyFont="1" applyFill="1" applyBorder="1">
      <alignment vertical="center"/>
      <protection locked="0"/>
    </xf>
    <xf numFmtId="171" fontId="42" fillId="35" borderId="4" xfId="0" applyNumberFormat="1" applyFont="1" applyFill="1" applyBorder="1" applyProtection="1">
      <alignment vertical="center"/>
    </xf>
    <xf numFmtId="0" fontId="31" fillId="0" borderId="0" xfId="0" applyFont="1" applyAlignment="1">
      <alignment horizontal="center" vertical="center" wrapText="1"/>
      <protection locked="0"/>
    </xf>
    <xf numFmtId="0" fontId="38" fillId="0" borderId="0" xfId="0" applyFont="1" applyAlignment="1">
      <alignment horizontal="center" vertical="center" wrapText="1"/>
      <protection locked="0"/>
    </xf>
    <xf numFmtId="170" fontId="0" fillId="0" borderId="0" xfId="0" applyNumberFormat="1">
      <alignment vertical="center"/>
      <protection locked="0"/>
    </xf>
    <xf numFmtId="0" fontId="57" fillId="0" borderId="0" xfId="0" applyFont="1">
      <alignment vertical="center"/>
      <protection locked="0"/>
    </xf>
    <xf numFmtId="0" fontId="0" fillId="0" borderId="0" xfId="0" applyAlignment="1">
      <alignment vertical="top"/>
      <protection locked="0"/>
    </xf>
    <xf numFmtId="170" fontId="31" fillId="0" borderId="0" xfId="33" applyNumberFormat="1" applyFont="1" applyFill="1" applyBorder="1" applyAlignment="1" applyProtection="1">
      <alignment horizontal="center" vertical="center" wrapText="1"/>
    </xf>
    <xf numFmtId="0" fontId="70" fillId="0" borderId="0" xfId="0" applyFont="1" applyAlignment="1">
      <alignment horizontal="center" vertical="center"/>
      <protection locked="0"/>
    </xf>
    <xf numFmtId="0" fontId="42" fillId="0" borderId="0" xfId="0" applyFont="1" applyAlignment="1">
      <alignment horizontal="center" vertical="center"/>
      <protection locked="0"/>
    </xf>
    <xf numFmtId="0" fontId="31" fillId="0" borderId="0" xfId="0" applyFont="1" applyAlignment="1">
      <alignment horizontal="left" vertical="center" wrapText="1"/>
      <protection locked="0"/>
    </xf>
    <xf numFmtId="10" fontId="10" fillId="0" borderId="0" xfId="39" applyNumberFormat="1" applyFont="1" applyFill="1" applyBorder="1" applyAlignment="1" applyProtection="1">
      <alignment vertical="center"/>
    </xf>
    <xf numFmtId="168" fontId="0" fillId="0" borderId="0" xfId="0" applyNumberFormat="1" applyAlignment="1">
      <alignment vertical="center" wrapText="1"/>
      <protection locked="0"/>
    </xf>
    <xf numFmtId="10" fontId="31" fillId="0" borderId="0" xfId="33" applyNumberFormat="1" applyFont="1" applyFill="1" applyBorder="1" applyAlignment="1" applyProtection="1">
      <alignment horizontal="center" vertical="center" wrapText="1"/>
    </xf>
    <xf numFmtId="0" fontId="0" fillId="0" borderId="6" xfId="0" applyBorder="1">
      <alignment vertical="center"/>
      <protection locked="0"/>
    </xf>
    <xf numFmtId="10" fontId="0" fillId="0" borderId="0" xfId="39" applyNumberFormat="1" applyFont="1" applyFill="1" applyBorder="1" applyAlignment="1" applyProtection="1">
      <alignment vertical="center"/>
    </xf>
    <xf numFmtId="1" fontId="0" fillId="0" borderId="0" xfId="0" applyNumberFormat="1">
      <alignment vertical="center"/>
      <protection locked="0"/>
    </xf>
    <xf numFmtId="177" fontId="0" fillId="0" borderId="0" xfId="0" applyNumberFormat="1">
      <alignment vertical="center"/>
      <protection locked="0"/>
    </xf>
    <xf numFmtId="171" fontId="49" fillId="0" borderId="0" xfId="0" applyNumberFormat="1" applyFont="1">
      <alignment vertical="center"/>
      <protection locked="0"/>
    </xf>
    <xf numFmtId="0" fontId="39" fillId="0" borderId="12" xfId="0" applyFont="1" applyBorder="1">
      <alignment vertical="center"/>
      <protection locked="0"/>
    </xf>
    <xf numFmtId="0" fontId="31" fillId="0" borderId="6" xfId="0" applyFont="1" applyBorder="1" applyAlignment="1">
      <alignment vertical="center" wrapText="1"/>
      <protection locked="0"/>
    </xf>
    <xf numFmtId="0" fontId="31" fillId="0" borderId="4" xfId="0" applyFont="1" applyBorder="1" applyAlignment="1">
      <alignment vertical="center" wrapText="1"/>
      <protection locked="0"/>
    </xf>
    <xf numFmtId="0" fontId="4" fillId="38" borderId="4" xfId="0" applyFont="1" applyFill="1" applyBorder="1" applyProtection="1">
      <alignment vertical="center"/>
    </xf>
    <xf numFmtId="0" fontId="33" fillId="35" borderId="0" xfId="0" applyFont="1" applyFill="1" applyAlignment="1" applyProtection="1">
      <alignment horizontal="center" vertical="center" wrapText="1"/>
    </xf>
    <xf numFmtId="0" fontId="42" fillId="35" borderId="0" xfId="0" applyFont="1" applyFill="1" applyAlignment="1" applyProtection="1">
      <alignment horizontal="center" vertical="center"/>
    </xf>
    <xf numFmtId="6" fontId="42" fillId="35" borderId="0" xfId="0" applyNumberFormat="1" applyFont="1" applyFill="1" applyProtection="1">
      <alignment vertical="center"/>
    </xf>
    <xf numFmtId="0" fontId="33" fillId="38" borderId="4" xfId="0" applyFont="1" applyFill="1" applyBorder="1" applyAlignment="1" applyProtection="1">
      <alignment horizontal="center" vertical="center"/>
    </xf>
    <xf numFmtId="0" fontId="39" fillId="38" borderId="4" xfId="0" applyFont="1" applyFill="1" applyBorder="1" applyAlignment="1" applyProtection="1">
      <alignment vertical="center" wrapText="1"/>
    </xf>
    <xf numFmtId="171" fontId="39" fillId="38" borderId="10" xfId="0" applyNumberFormat="1" applyFont="1" applyFill="1" applyBorder="1" applyProtection="1">
      <alignment vertical="center"/>
    </xf>
    <xf numFmtId="0" fontId="33" fillId="35" borderId="4" xfId="0" applyFont="1" applyFill="1" applyBorder="1" applyAlignment="1" applyProtection="1">
      <alignment vertical="center" wrapText="1"/>
    </xf>
    <xf numFmtId="0" fontId="33" fillId="35" borderId="35" xfId="0" applyFont="1" applyFill="1" applyBorder="1" applyAlignment="1" applyProtection="1">
      <alignment horizontal="center" vertical="center" wrapText="1"/>
    </xf>
    <xf numFmtId="171" fontId="42" fillId="38" borderId="10" xfId="33" applyNumberFormat="1" applyFont="1" applyFill="1" applyBorder="1" applyAlignment="1" applyProtection="1">
      <alignment vertical="center"/>
    </xf>
    <xf numFmtId="171" fontId="42" fillId="38" borderId="38" xfId="33" applyNumberFormat="1" applyFont="1" applyFill="1" applyBorder="1" applyAlignment="1" applyProtection="1">
      <alignment vertical="center"/>
    </xf>
    <xf numFmtId="0" fontId="33" fillId="35" borderId="33" xfId="0" applyFont="1" applyFill="1" applyBorder="1" applyAlignment="1" applyProtection="1">
      <alignment horizontal="center" vertical="center" wrapText="1"/>
    </xf>
    <xf numFmtId="171" fontId="42" fillId="38" borderId="2" xfId="33" applyNumberFormat="1" applyFont="1" applyFill="1" applyBorder="1" applyAlignment="1" applyProtection="1">
      <alignment vertical="center"/>
    </xf>
    <xf numFmtId="171" fontId="42" fillId="38" borderId="36" xfId="33" applyNumberFormat="1" applyFont="1" applyFill="1" applyBorder="1" applyAlignment="1" applyProtection="1">
      <alignment vertical="center"/>
    </xf>
    <xf numFmtId="9" fontId="38" fillId="0" borderId="0" xfId="0" applyNumberFormat="1" applyFont="1" applyAlignment="1" applyProtection="1">
      <alignment vertical="center" wrapText="1"/>
    </xf>
    <xf numFmtId="8" fontId="42" fillId="38" borderId="4" xfId="39" applyNumberFormat="1" applyFont="1" applyFill="1" applyBorder="1" applyAlignment="1" applyProtection="1">
      <alignment vertical="center"/>
    </xf>
    <xf numFmtId="8" fontId="42" fillId="0" borderId="4" xfId="0" applyNumberFormat="1" applyFont="1" applyBorder="1" applyProtection="1">
      <alignment vertical="center"/>
    </xf>
    <xf numFmtId="0" fontId="78" fillId="35" borderId="4" xfId="0" applyFont="1" applyFill="1" applyBorder="1" applyAlignment="1">
      <alignment horizontal="center" vertical="center" wrapText="1"/>
      <protection locked="0"/>
    </xf>
    <xf numFmtId="1" fontId="42" fillId="0" borderId="4" xfId="0" applyNumberFormat="1" applyFont="1" applyBorder="1" applyProtection="1">
      <alignment vertical="center"/>
    </xf>
    <xf numFmtId="1" fontId="42" fillId="0" borderId="4" xfId="0" applyNumberFormat="1" applyFont="1" applyBorder="1" applyAlignment="1" applyProtection="1">
      <alignment horizontal="center" vertical="center"/>
    </xf>
    <xf numFmtId="0" fontId="5" fillId="0" borderId="4" xfId="0" applyFont="1" applyBorder="1" applyProtection="1">
      <alignment vertical="center"/>
    </xf>
    <xf numFmtId="0" fontId="5" fillId="47" borderId="9" xfId="0" applyFont="1" applyFill="1" applyBorder="1" applyAlignment="1">
      <alignment horizontal="center" vertical="center" wrapText="1"/>
      <protection locked="0"/>
    </xf>
    <xf numFmtId="171" fontId="42" fillId="38" borderId="46" xfId="33" applyNumberFormat="1" applyFont="1" applyFill="1" applyBorder="1" applyAlignment="1" applyProtection="1">
      <alignment vertical="center"/>
    </xf>
    <xf numFmtId="171" fontId="42" fillId="38" borderId="41" xfId="33" applyNumberFormat="1" applyFont="1" applyFill="1" applyBorder="1" applyAlignment="1" applyProtection="1">
      <alignment vertical="center"/>
    </xf>
    <xf numFmtId="0" fontId="33" fillId="35" borderId="47" xfId="0" applyFont="1" applyFill="1" applyBorder="1" applyAlignment="1" applyProtection="1">
      <alignment horizontal="center" vertical="center" wrapText="1"/>
    </xf>
    <xf numFmtId="0" fontId="33" fillId="35" borderId="48" xfId="0" applyFont="1" applyFill="1" applyBorder="1" applyAlignment="1" applyProtection="1">
      <alignment horizontal="center" vertical="center" wrapText="1"/>
    </xf>
    <xf numFmtId="171" fontId="42" fillId="38" borderId="29" xfId="33" applyNumberFormat="1" applyFont="1" applyFill="1" applyBorder="1" applyAlignment="1" applyProtection="1">
      <alignment vertical="center"/>
    </xf>
    <xf numFmtId="171" fontId="42" fillId="38" borderId="30" xfId="33" applyNumberFormat="1" applyFont="1" applyFill="1" applyBorder="1" applyAlignment="1" applyProtection="1">
      <alignment vertical="center"/>
    </xf>
    <xf numFmtId="171" fontId="42" fillId="38" borderId="31" xfId="33" applyNumberFormat="1" applyFont="1" applyFill="1" applyBorder="1" applyAlignment="1" applyProtection="1">
      <alignment vertical="center"/>
    </xf>
    <xf numFmtId="0" fontId="4" fillId="0" borderId="0" xfId="0" applyFont="1" applyAlignment="1" applyProtection="1">
      <alignment horizontal="center" vertical="center"/>
    </xf>
    <xf numFmtId="171" fontId="5" fillId="38" borderId="4" xfId="0" applyNumberFormat="1" applyFont="1" applyFill="1" applyBorder="1">
      <alignment vertical="center"/>
      <protection locked="0"/>
    </xf>
    <xf numFmtId="2" fontId="4" fillId="36" borderId="4" xfId="0" applyNumberFormat="1" applyFont="1" applyFill="1" applyBorder="1" applyAlignment="1">
      <alignment horizontal="right" vertical="center"/>
      <protection locked="0"/>
    </xf>
    <xf numFmtId="0" fontId="65" fillId="49" borderId="4" xfId="0" applyFont="1" applyFill="1" applyBorder="1" applyAlignment="1" applyProtection="1">
      <alignment horizontal="center" vertical="center"/>
    </xf>
    <xf numFmtId="0" fontId="0" fillId="36" borderId="2" xfId="0" applyFill="1" applyBorder="1" applyAlignment="1">
      <alignment horizontal="center" vertical="center"/>
      <protection locked="0"/>
    </xf>
    <xf numFmtId="0" fontId="0" fillId="36" borderId="13" xfId="0" applyFill="1" applyBorder="1" applyAlignment="1">
      <alignment horizontal="center" vertical="center"/>
      <protection locked="0"/>
    </xf>
    <xf numFmtId="0" fontId="0" fillId="36" borderId="10" xfId="0" applyFill="1" applyBorder="1" applyAlignment="1">
      <alignment horizontal="center" vertical="center"/>
      <protection locked="0"/>
    </xf>
    <xf numFmtId="0" fontId="45" fillId="37" borderId="0" xfId="0" applyFont="1" applyFill="1" applyAlignment="1" applyProtection="1">
      <alignment horizontal="center" vertical="center"/>
    </xf>
    <xf numFmtId="0" fontId="30" fillId="40" borderId="4" xfId="39" applyFont="1" applyFill="1" applyBorder="1" applyAlignment="1">
      <alignment vertical="center"/>
      <protection locked="0"/>
    </xf>
    <xf numFmtId="0" fontId="30" fillId="0" borderId="4" xfId="39" applyFont="1" applyBorder="1" applyAlignment="1">
      <alignment vertical="center"/>
      <protection locked="0"/>
    </xf>
    <xf numFmtId="0" fontId="30" fillId="34" borderId="4" xfId="39" applyFont="1" applyFill="1" applyBorder="1" applyAlignment="1">
      <alignment vertical="center"/>
      <protection locked="0"/>
    </xf>
    <xf numFmtId="0" fontId="30" fillId="45" borderId="4" xfId="39" applyFont="1" applyFill="1" applyBorder="1" applyAlignment="1">
      <alignment vertical="center"/>
      <protection locked="0"/>
    </xf>
    <xf numFmtId="0" fontId="30" fillId="46" borderId="4" xfId="39" applyFont="1" applyFill="1" applyBorder="1" applyAlignment="1">
      <alignment vertical="center"/>
      <protection locked="0"/>
    </xf>
    <xf numFmtId="0" fontId="0" fillId="0" borderId="0" xfId="0" applyAlignment="1" applyProtection="1">
      <alignment horizontal="center" vertical="center"/>
    </xf>
    <xf numFmtId="0" fontId="30" fillId="42" borderId="4" xfId="39" applyFont="1" applyFill="1" applyBorder="1" applyAlignment="1">
      <alignment vertical="center"/>
      <protection locked="0"/>
    </xf>
    <xf numFmtId="0" fontId="5" fillId="0" borderId="2" xfId="0" applyFont="1" applyBorder="1" applyAlignment="1" applyProtection="1">
      <alignment horizontal="left" vertical="center" wrapText="1"/>
    </xf>
    <xf numFmtId="0" fontId="2" fillId="0" borderId="10" xfId="0" applyFont="1" applyBorder="1" applyAlignment="1" applyProtection="1">
      <alignment horizontal="left" vertical="center" wrapText="1"/>
    </xf>
    <xf numFmtId="0" fontId="11" fillId="0" borderId="10" xfId="0" applyFont="1" applyBorder="1" applyAlignment="1" applyProtection="1">
      <alignment horizontal="left" vertical="center" wrapText="1"/>
    </xf>
    <xf numFmtId="0" fontId="66" fillId="41" borderId="2" xfId="0" applyFont="1" applyFill="1" applyBorder="1" applyProtection="1">
      <alignment vertical="center"/>
    </xf>
    <xf numFmtId="0" fontId="67" fillId="0" borderId="13" xfId="0" applyFont="1" applyBorder="1" applyProtection="1">
      <alignment vertical="center"/>
    </xf>
    <xf numFmtId="0" fontId="67" fillId="0" borderId="10" xfId="0" applyFont="1" applyBorder="1" applyProtection="1">
      <alignment vertical="center"/>
    </xf>
    <xf numFmtId="0" fontId="45" fillId="37" borderId="4" xfId="0" applyFont="1" applyFill="1" applyBorder="1" applyAlignment="1" applyProtection="1">
      <alignment horizontal="center" vertical="center"/>
    </xf>
    <xf numFmtId="0" fontId="49" fillId="35" borderId="0" xfId="0" applyFont="1" applyFill="1" applyAlignment="1" applyProtection="1">
      <alignment horizontal="center" vertical="center"/>
    </xf>
    <xf numFmtId="0" fontId="0" fillId="0" borderId="4" xfId="0" applyBorder="1" applyProtection="1">
      <alignment vertical="center"/>
    </xf>
    <xf numFmtId="0" fontId="5" fillId="0" borderId="6" xfId="0" applyFont="1" applyBorder="1" applyAlignment="1" applyProtection="1">
      <alignment vertical="center" wrapText="1"/>
    </xf>
    <xf numFmtId="0" fontId="11" fillId="0" borderId="7" xfId="0" applyFont="1" applyBorder="1" applyAlignment="1" applyProtection="1">
      <alignment vertical="center" wrapText="1"/>
    </xf>
    <xf numFmtId="0" fontId="12" fillId="0" borderId="0" xfId="0" applyFont="1" applyAlignment="1" applyProtection="1">
      <alignment horizontal="center" vertical="center"/>
    </xf>
    <xf numFmtId="0" fontId="6" fillId="0" borderId="4" xfId="0" applyFont="1" applyBorder="1" applyAlignment="1" applyProtection="1">
      <alignment vertical="center" wrapText="1"/>
    </xf>
    <xf numFmtId="0" fontId="49" fillId="34" borderId="4" xfId="0" applyFont="1" applyFill="1" applyBorder="1">
      <alignment vertical="center"/>
      <protection locked="0"/>
    </xf>
    <xf numFmtId="0" fontId="4" fillId="36" borderId="2" xfId="0" applyFont="1" applyFill="1" applyBorder="1" applyAlignment="1">
      <alignment vertical="center" wrapText="1"/>
      <protection locked="0"/>
    </xf>
    <xf numFmtId="0" fontId="4" fillId="36" borderId="10" xfId="0" applyFont="1" applyFill="1" applyBorder="1" applyAlignment="1">
      <alignment vertical="center" wrapText="1"/>
      <protection locked="0"/>
    </xf>
    <xf numFmtId="0" fontId="5" fillId="0" borderId="10" xfId="0" applyFont="1" applyBorder="1" applyAlignment="1" applyProtection="1">
      <alignment horizontal="left" vertical="center" wrapText="1"/>
    </xf>
    <xf numFmtId="0" fontId="6" fillId="0" borderId="2" xfId="0" applyFont="1" applyBorder="1" applyAlignment="1" applyProtection="1">
      <alignment horizontal="center" vertical="center" wrapText="1"/>
    </xf>
    <xf numFmtId="0" fontId="68" fillId="0" borderId="13" xfId="0" applyFont="1" applyBorder="1" applyAlignment="1" applyProtection="1">
      <alignment horizontal="center" vertical="center" wrapText="1"/>
    </xf>
    <xf numFmtId="0" fontId="68" fillId="0" borderId="10" xfId="0" applyFont="1" applyBorder="1" applyAlignment="1" applyProtection="1">
      <alignment horizontal="center" vertical="center" wrapText="1"/>
    </xf>
    <xf numFmtId="0" fontId="31" fillId="35" borderId="4" xfId="0" applyFont="1" applyFill="1" applyBorder="1">
      <alignment vertical="center"/>
      <protection locked="0"/>
    </xf>
    <xf numFmtId="0" fontId="0" fillId="35" borderId="4" xfId="0" applyFill="1" applyBorder="1">
      <alignment vertical="center"/>
      <protection locked="0"/>
    </xf>
    <xf numFmtId="0" fontId="80" fillId="37" borderId="4" xfId="0" applyFont="1" applyFill="1" applyBorder="1" applyAlignment="1" applyProtection="1">
      <alignment horizontal="center" vertical="center"/>
    </xf>
    <xf numFmtId="0" fontId="5" fillId="36" borderId="2" xfId="0" applyFont="1" applyFill="1" applyBorder="1" applyAlignment="1">
      <alignment vertical="center" wrapText="1"/>
      <protection locked="0"/>
    </xf>
    <xf numFmtId="0" fontId="11" fillId="36" borderId="10" xfId="0" applyFont="1" applyFill="1" applyBorder="1" applyAlignment="1">
      <alignment vertical="center" wrapText="1"/>
      <protection locked="0"/>
    </xf>
    <xf numFmtId="0" fontId="6" fillId="0" borderId="2" xfId="0" applyFont="1" applyBorder="1" applyAlignment="1" applyProtection="1">
      <alignment horizontal="center" vertical="center"/>
    </xf>
    <xf numFmtId="0" fontId="6" fillId="0" borderId="10" xfId="0" applyFont="1" applyBorder="1" applyAlignment="1" applyProtection="1">
      <alignment horizontal="center" vertical="center"/>
    </xf>
    <xf numFmtId="0" fontId="6" fillId="0" borderId="4" xfId="0" applyFont="1" applyBorder="1" applyAlignment="1" applyProtection="1">
      <alignment horizontal="center" vertical="center" wrapText="1"/>
    </xf>
    <xf numFmtId="0" fontId="0" fillId="0" borderId="4" xfId="0" applyBorder="1" applyAlignment="1" applyProtection="1">
      <alignment horizontal="center" vertical="center" wrapText="1"/>
    </xf>
    <xf numFmtId="0" fontId="66" fillId="41" borderId="13" xfId="0" applyFont="1" applyFill="1" applyBorder="1" applyProtection="1">
      <alignment vertical="center"/>
    </xf>
    <xf numFmtId="0" fontId="66" fillId="41" borderId="10" xfId="0" applyFont="1" applyFill="1" applyBorder="1" applyProtection="1">
      <alignment vertical="center"/>
    </xf>
    <xf numFmtId="0" fontId="0" fillId="36" borderId="4" xfId="0" applyFill="1" applyBorder="1">
      <alignment vertical="center"/>
      <protection locked="0"/>
    </xf>
    <xf numFmtId="0" fontId="0" fillId="0" borderId="10" xfId="0" applyBorder="1" applyAlignment="1">
      <alignment vertical="center" wrapText="1"/>
      <protection locked="0"/>
    </xf>
    <xf numFmtId="0" fontId="5" fillId="36" borderId="4" xfId="0" applyFont="1" applyFill="1" applyBorder="1" applyProtection="1">
      <alignment vertical="center"/>
    </xf>
    <xf numFmtId="0" fontId="0" fillId="0" borderId="4" xfId="0" applyBorder="1" applyAlignment="1">
      <alignment horizontal="center" vertical="center"/>
      <protection locked="0"/>
    </xf>
    <xf numFmtId="0" fontId="38" fillId="0" borderId="0" xfId="0" applyFont="1" applyAlignment="1" applyProtection="1">
      <alignment horizontal="center" vertical="center"/>
    </xf>
    <xf numFmtId="0" fontId="41" fillId="36" borderId="4" xfId="33" applyNumberFormat="1" applyFont="1" applyFill="1" applyBorder="1" applyAlignment="1" applyProtection="1">
      <alignment vertical="center" wrapText="1"/>
    </xf>
    <xf numFmtId="0" fontId="0" fillId="36" borderId="4" xfId="0" applyFill="1" applyBorder="1" applyAlignment="1">
      <alignment vertical="center" wrapText="1"/>
      <protection locked="0"/>
    </xf>
    <xf numFmtId="0" fontId="31" fillId="38" borderId="4" xfId="0" applyFont="1" applyFill="1" applyBorder="1" applyAlignment="1" applyProtection="1">
      <alignment horizontal="center" vertical="center"/>
    </xf>
    <xf numFmtId="0" fontId="48" fillId="34" borderId="0" xfId="0" applyFont="1" applyFill="1" applyAlignment="1">
      <alignment horizontal="center" vertical="center"/>
      <protection locked="0"/>
    </xf>
    <xf numFmtId="0" fontId="41" fillId="36" borderId="2" xfId="33" applyNumberFormat="1" applyFont="1" applyFill="1" applyBorder="1" applyAlignment="1" applyProtection="1">
      <alignment vertical="center" wrapText="1"/>
    </xf>
    <xf numFmtId="0" fontId="0" fillId="36" borderId="13" xfId="0" applyFill="1" applyBorder="1" applyAlignment="1">
      <alignment vertical="center" wrapText="1"/>
      <protection locked="0"/>
    </xf>
    <xf numFmtId="0" fontId="0" fillId="36" borderId="10" xfId="0" applyFill="1" applyBorder="1" applyAlignment="1">
      <alignment vertical="center" wrapText="1"/>
      <protection locked="0"/>
    </xf>
    <xf numFmtId="0" fontId="48" fillId="34" borderId="0" xfId="0" applyFont="1" applyFill="1" applyAlignment="1" applyProtection="1">
      <alignment horizontal="center" vertical="center"/>
    </xf>
    <xf numFmtId="0" fontId="52" fillId="37" borderId="0" xfId="0" applyFont="1" applyFill="1" applyAlignment="1" applyProtection="1">
      <alignment horizontal="center" vertical="center"/>
    </xf>
    <xf numFmtId="0" fontId="40" fillId="36" borderId="4" xfId="39" applyNumberFormat="1" applyFont="1" applyFill="1" applyBorder="1" applyAlignment="1" applyProtection="1">
      <alignment vertical="center" wrapText="1"/>
      <protection locked="0"/>
    </xf>
    <xf numFmtId="0" fontId="40" fillId="0" borderId="4" xfId="0" applyFont="1" applyBorder="1" applyAlignment="1">
      <alignment vertical="center" wrapText="1"/>
      <protection locked="0"/>
    </xf>
    <xf numFmtId="0" fontId="31" fillId="35" borderId="2" xfId="0" applyFont="1" applyFill="1" applyBorder="1" applyAlignment="1">
      <alignment horizontal="center" vertical="center"/>
      <protection locked="0"/>
    </xf>
    <xf numFmtId="0" fontId="31" fillId="35" borderId="10" xfId="0" applyFont="1" applyFill="1" applyBorder="1" applyAlignment="1">
      <alignment horizontal="center" vertical="center"/>
      <protection locked="0"/>
    </xf>
    <xf numFmtId="0" fontId="31" fillId="35" borderId="4" xfId="0" applyFont="1" applyFill="1" applyBorder="1" applyAlignment="1">
      <alignment horizontal="center" vertical="center" wrapText="1"/>
      <protection locked="0"/>
    </xf>
    <xf numFmtId="0" fontId="0" fillId="35" borderId="4" xfId="0" applyFill="1" applyBorder="1" applyAlignment="1">
      <alignment horizontal="center" vertical="center" wrapText="1"/>
      <protection locked="0"/>
    </xf>
    <xf numFmtId="0" fontId="0" fillId="0" borderId="4" xfId="0" applyBorder="1">
      <alignment vertical="center"/>
      <protection locked="0"/>
    </xf>
    <xf numFmtId="0" fontId="31" fillId="35" borderId="2" xfId="0" applyFont="1" applyFill="1" applyBorder="1" applyAlignment="1">
      <alignment horizontal="center" vertical="center" wrapText="1"/>
      <protection locked="0"/>
    </xf>
    <xf numFmtId="0" fontId="31" fillId="35" borderId="13" xfId="0" applyFont="1" applyFill="1" applyBorder="1" applyAlignment="1">
      <alignment horizontal="center" vertical="center" wrapText="1"/>
      <protection locked="0"/>
    </xf>
    <xf numFmtId="0" fontId="31" fillId="35" borderId="10" xfId="0" applyFont="1" applyFill="1" applyBorder="1" applyAlignment="1">
      <alignment horizontal="center" vertical="center" wrapText="1"/>
      <protection locked="0"/>
    </xf>
    <xf numFmtId="0" fontId="40" fillId="36" borderId="2" xfId="0" applyFont="1" applyFill="1" applyBorder="1" applyAlignment="1">
      <alignment vertical="center" wrapText="1"/>
      <protection locked="0"/>
    </xf>
    <xf numFmtId="0" fontId="40" fillId="36" borderId="13" xfId="0" applyFont="1" applyFill="1" applyBorder="1" applyAlignment="1">
      <alignment vertical="center" wrapText="1"/>
      <protection locked="0"/>
    </xf>
    <xf numFmtId="0" fontId="40" fillId="36" borderId="10" xfId="0" applyFont="1" applyFill="1" applyBorder="1" applyAlignment="1">
      <alignment vertical="center" wrapText="1"/>
      <protection locked="0"/>
    </xf>
    <xf numFmtId="0" fontId="31" fillId="35" borderId="4" xfId="0" applyFont="1" applyFill="1" applyBorder="1" applyAlignment="1">
      <alignment horizontal="center" vertical="center"/>
      <protection locked="0"/>
    </xf>
    <xf numFmtId="0" fontId="40" fillId="36" borderId="4" xfId="0" applyFont="1" applyFill="1" applyBorder="1" applyAlignment="1">
      <alignment vertical="center" wrapText="1"/>
      <protection locked="0"/>
    </xf>
    <xf numFmtId="0" fontId="69" fillId="45" borderId="0" xfId="0" applyFont="1" applyFill="1" applyAlignment="1" applyProtection="1">
      <alignment horizontal="center" vertical="center"/>
    </xf>
    <xf numFmtId="0" fontId="43" fillId="37" borderId="0" xfId="0" applyFont="1" applyFill="1" applyAlignment="1" applyProtection="1">
      <alignment horizontal="right" vertical="center"/>
    </xf>
    <xf numFmtId="0" fontId="52" fillId="37" borderId="0" xfId="0" applyFont="1" applyFill="1" applyAlignment="1" applyProtection="1">
      <alignment horizontal="right" vertical="center"/>
    </xf>
    <xf numFmtId="0" fontId="0" fillId="35" borderId="13" xfId="0" applyFill="1" applyBorder="1" applyAlignment="1">
      <alignment horizontal="center" vertical="center" wrapText="1"/>
      <protection locked="0"/>
    </xf>
    <xf numFmtId="0" fontId="0" fillId="35" borderId="10" xfId="0" applyFill="1" applyBorder="1" applyAlignment="1">
      <alignment horizontal="center" vertical="center" wrapText="1"/>
      <protection locked="0"/>
    </xf>
    <xf numFmtId="0" fontId="42" fillId="0" borderId="4" xfId="0" applyFont="1" applyBorder="1" applyProtection="1">
      <alignment vertical="center"/>
    </xf>
    <xf numFmtId="171" fontId="40" fillId="36" borderId="4" xfId="0" applyNumberFormat="1" applyFont="1" applyFill="1" applyBorder="1">
      <alignment vertical="center"/>
      <protection locked="0"/>
    </xf>
    <xf numFmtId="0" fontId="40" fillId="36" borderId="4" xfId="0" applyFont="1" applyFill="1" applyBorder="1">
      <alignment vertical="center"/>
      <protection locked="0"/>
    </xf>
    <xf numFmtId="0" fontId="0" fillId="0" borderId="4" xfId="0" applyBorder="1" applyAlignment="1">
      <alignment vertical="center" wrapText="1"/>
      <protection locked="0"/>
    </xf>
    <xf numFmtId="0" fontId="4" fillId="36" borderId="4" xfId="0" applyFont="1" applyFill="1" applyBorder="1" applyAlignment="1">
      <alignment vertical="center" wrapText="1"/>
      <protection locked="0"/>
    </xf>
    <xf numFmtId="0" fontId="33" fillId="35" borderId="2" xfId="0" applyFont="1" applyFill="1" applyBorder="1" applyAlignment="1">
      <alignment horizontal="center" vertical="center"/>
      <protection locked="0"/>
    </xf>
    <xf numFmtId="0" fontId="33" fillId="35" borderId="13" xfId="0" applyFont="1" applyFill="1" applyBorder="1" applyAlignment="1">
      <alignment horizontal="center" vertical="center"/>
      <protection locked="0"/>
    </xf>
    <xf numFmtId="0" fontId="33" fillId="35" borderId="10" xfId="0" applyFont="1" applyFill="1" applyBorder="1" applyAlignment="1">
      <alignment horizontal="center" vertical="center"/>
      <protection locked="0"/>
    </xf>
    <xf numFmtId="0" fontId="33" fillId="35" borderId="4" xfId="0" applyFont="1" applyFill="1" applyBorder="1" applyAlignment="1" applyProtection="1">
      <alignment horizontal="center" vertical="center"/>
    </xf>
    <xf numFmtId="0" fontId="33" fillId="35" borderId="4" xfId="0" applyFont="1" applyFill="1" applyBorder="1" applyAlignment="1">
      <alignment horizontal="center" vertical="center"/>
      <protection locked="0"/>
    </xf>
    <xf numFmtId="0" fontId="50" fillId="35" borderId="2" xfId="0" applyFont="1" applyFill="1" applyBorder="1" applyAlignment="1">
      <alignment horizontal="center" vertical="center" wrapText="1"/>
      <protection locked="0"/>
    </xf>
    <xf numFmtId="0" fontId="59" fillId="0" borderId="13" xfId="0" applyFont="1" applyBorder="1" applyAlignment="1">
      <alignment horizontal="center" vertical="center" wrapText="1"/>
      <protection locked="0"/>
    </xf>
    <xf numFmtId="0" fontId="59" fillId="0" borderId="10" xfId="0" applyFont="1" applyBorder="1" applyAlignment="1">
      <alignment horizontal="center" vertical="center" wrapText="1"/>
      <protection locked="0"/>
    </xf>
    <xf numFmtId="0" fontId="40" fillId="38" borderId="2" xfId="0" applyFont="1" applyFill="1" applyBorder="1" applyProtection="1">
      <alignment vertical="center"/>
    </xf>
    <xf numFmtId="0" fontId="0" fillId="0" borderId="13" xfId="0" applyBorder="1" applyProtection="1">
      <alignment vertical="center"/>
    </xf>
    <xf numFmtId="0" fontId="0" fillId="0" borderId="10" xfId="0" applyBorder="1" applyProtection="1">
      <alignment vertical="center"/>
    </xf>
    <xf numFmtId="0" fontId="31" fillId="0" borderId="6" xfId="0" applyFont="1" applyBorder="1" applyAlignment="1" applyProtection="1">
      <alignment horizontal="center" vertical="center"/>
    </xf>
    <xf numFmtId="0" fontId="0" fillId="0" borderId="13" xfId="0" applyBorder="1" applyAlignment="1">
      <alignment horizontal="center" vertical="center" wrapText="1"/>
      <protection locked="0"/>
    </xf>
    <xf numFmtId="0" fontId="0" fillId="0" borderId="10" xfId="0" applyBorder="1" applyAlignment="1">
      <alignment horizontal="center" vertical="center" wrapText="1"/>
      <protection locked="0"/>
    </xf>
    <xf numFmtId="0" fontId="48" fillId="46" borderId="0" xfId="0" applyFont="1" applyFill="1" applyAlignment="1" applyProtection="1">
      <alignment horizontal="center" vertical="center"/>
    </xf>
    <xf numFmtId="0" fontId="40" fillId="36" borderId="4" xfId="39" applyNumberFormat="1" applyFont="1" applyFill="1" applyBorder="1" applyAlignment="1" applyProtection="1">
      <alignment vertical="center" wrapText="1"/>
    </xf>
    <xf numFmtId="0" fontId="42" fillId="0" borderId="9" xfId="0" applyFont="1" applyBorder="1" applyAlignment="1">
      <alignment horizontal="center" vertical="center" wrapText="1"/>
      <protection locked="0"/>
    </xf>
    <xf numFmtId="0" fontId="42" fillId="0" borderId="8" xfId="0" applyFont="1" applyBorder="1" applyAlignment="1">
      <alignment horizontal="center" vertical="center" wrapText="1"/>
      <protection locked="0"/>
    </xf>
    <xf numFmtId="0" fontId="40" fillId="38" borderId="2" xfId="0" applyFont="1" applyFill="1" applyBorder="1" applyAlignment="1" applyProtection="1">
      <alignment vertical="center" wrapText="1"/>
    </xf>
    <xf numFmtId="0" fontId="40" fillId="38" borderId="13" xfId="0" applyFont="1" applyFill="1" applyBorder="1" applyAlignment="1" applyProtection="1">
      <alignment vertical="center" wrapText="1"/>
    </xf>
    <xf numFmtId="0" fontId="40" fillId="38" borderId="10" xfId="0" applyFont="1" applyFill="1" applyBorder="1" applyAlignment="1" applyProtection="1">
      <alignment vertical="center" wrapText="1"/>
    </xf>
    <xf numFmtId="0" fontId="40" fillId="0" borderId="13" xfId="0" applyFont="1" applyBorder="1" applyAlignment="1">
      <alignment vertical="center" wrapText="1"/>
      <protection locked="0"/>
    </xf>
    <xf numFmtId="0" fontId="40" fillId="0" borderId="10" xfId="0" applyFont="1" applyBorder="1" applyAlignment="1">
      <alignment vertical="center" wrapText="1"/>
      <protection locked="0"/>
    </xf>
    <xf numFmtId="0" fontId="31" fillId="0" borderId="0" xfId="0" applyFont="1" applyAlignment="1" applyProtection="1">
      <alignment horizontal="center" vertical="center"/>
    </xf>
    <xf numFmtId="0" fontId="48" fillId="45" borderId="0" xfId="0" applyFont="1" applyFill="1" applyAlignment="1" applyProtection="1">
      <alignment horizontal="center" vertical="center"/>
    </xf>
    <xf numFmtId="0" fontId="31" fillId="0" borderId="4" xfId="0" applyFont="1" applyBorder="1" applyAlignment="1">
      <alignment horizontal="center" vertical="center"/>
      <protection locked="0"/>
    </xf>
    <xf numFmtId="0" fontId="40" fillId="38" borderId="4" xfId="0" applyFont="1" applyFill="1" applyBorder="1" applyProtection="1">
      <alignment vertical="center"/>
    </xf>
    <xf numFmtId="0" fontId="31" fillId="35" borderId="2" xfId="0" applyFont="1" applyFill="1" applyBorder="1" applyAlignment="1">
      <alignment horizontal="left" vertical="center" wrapText="1"/>
      <protection locked="0"/>
    </xf>
    <xf numFmtId="0" fontId="0" fillId="0" borderId="13" xfId="0" applyBorder="1">
      <alignment vertical="center"/>
      <protection locked="0"/>
    </xf>
    <xf numFmtId="0" fontId="0" fillId="0" borderId="10" xfId="0" applyBorder="1">
      <alignment vertical="center"/>
      <protection locked="0"/>
    </xf>
    <xf numFmtId="0" fontId="40" fillId="38" borderId="2" xfId="0" applyFont="1" applyFill="1" applyBorder="1" applyAlignment="1" applyProtection="1">
      <alignment horizontal="left" vertical="center"/>
    </xf>
    <xf numFmtId="0" fontId="0" fillId="0" borderId="13" xfId="0" applyBorder="1" applyAlignment="1" applyProtection="1">
      <alignment horizontal="left" vertical="center"/>
    </xf>
    <xf numFmtId="0" fontId="0" fillId="0" borderId="10" xfId="0" applyBorder="1" applyAlignment="1" applyProtection="1">
      <alignment horizontal="left" vertical="center"/>
    </xf>
    <xf numFmtId="0" fontId="40" fillId="38" borderId="4" xfId="0" applyFont="1" applyFill="1" applyBorder="1" applyAlignment="1" applyProtection="1">
      <alignment vertical="center" wrapText="1"/>
    </xf>
    <xf numFmtId="0" fontId="33" fillId="35" borderId="39" xfId="0" applyFont="1" applyFill="1" applyBorder="1" applyAlignment="1" applyProtection="1">
      <alignment horizontal="center" vertical="center"/>
    </xf>
    <xf numFmtId="0" fontId="33" fillId="35" borderId="34" xfId="0" applyFont="1" applyFill="1" applyBorder="1" applyAlignment="1" applyProtection="1">
      <alignment horizontal="center" vertical="center"/>
    </xf>
    <xf numFmtId="0" fontId="33" fillId="35" borderId="40" xfId="0" applyFont="1" applyFill="1" applyBorder="1" applyAlignment="1" applyProtection="1">
      <alignment horizontal="center" vertical="center"/>
    </xf>
    <xf numFmtId="0" fontId="33" fillId="35" borderId="41" xfId="0" applyFont="1" applyFill="1" applyBorder="1" applyAlignment="1" applyProtection="1">
      <alignment horizontal="center" vertical="center"/>
    </xf>
    <xf numFmtId="0" fontId="33" fillId="35" borderId="37" xfId="0" applyFont="1" applyFill="1" applyBorder="1" applyAlignment="1" applyProtection="1">
      <alignment horizontal="center" vertical="center"/>
    </xf>
    <xf numFmtId="0" fontId="33" fillId="35" borderId="38" xfId="0" applyFont="1" applyFill="1" applyBorder="1" applyAlignment="1" applyProtection="1">
      <alignment horizontal="center" vertical="center"/>
    </xf>
    <xf numFmtId="0" fontId="33" fillId="35" borderId="36" xfId="0" applyFont="1" applyFill="1" applyBorder="1" applyAlignment="1" applyProtection="1">
      <alignment horizontal="center" vertical="center"/>
    </xf>
    <xf numFmtId="0" fontId="33" fillId="35" borderId="42" xfId="0" applyFont="1" applyFill="1" applyBorder="1" applyAlignment="1" applyProtection="1">
      <alignment horizontal="center" vertical="center"/>
    </xf>
    <xf numFmtId="0" fontId="31" fillId="35" borderId="4" xfId="0" applyFont="1" applyFill="1" applyBorder="1" applyAlignment="1" applyProtection="1">
      <alignment horizontal="center" vertical="center" wrapText="1"/>
    </xf>
    <xf numFmtId="0" fontId="0" fillId="0" borderId="4" xfId="0" applyBorder="1" applyAlignment="1" applyProtection="1">
      <alignment vertical="center" wrapText="1"/>
    </xf>
    <xf numFmtId="0" fontId="33" fillId="35" borderId="29" xfId="0" applyFont="1" applyFill="1" applyBorder="1" applyAlignment="1" applyProtection="1">
      <alignment horizontal="center" vertical="center"/>
    </xf>
    <xf numFmtId="0" fontId="33" fillId="35" borderId="30" xfId="0" applyFont="1" applyFill="1" applyBorder="1" applyAlignment="1" applyProtection="1">
      <alignment horizontal="center" vertical="center"/>
    </xf>
    <xf numFmtId="0" fontId="33" fillId="35" borderId="31" xfId="0" applyFont="1" applyFill="1" applyBorder="1" applyAlignment="1" applyProtection="1">
      <alignment horizontal="center" vertical="center"/>
    </xf>
    <xf numFmtId="0" fontId="33" fillId="35" borderId="43" xfId="0" applyFont="1" applyFill="1" applyBorder="1" applyAlignment="1" applyProtection="1">
      <alignment horizontal="center" vertical="center"/>
    </xf>
    <xf numFmtId="0" fontId="33" fillId="35" borderId="32" xfId="0" applyFont="1" applyFill="1" applyBorder="1" applyAlignment="1" applyProtection="1">
      <alignment horizontal="center" vertical="center"/>
    </xf>
    <xf numFmtId="0" fontId="33" fillId="35" borderId="23" xfId="0" applyFont="1" applyFill="1" applyBorder="1" applyAlignment="1" applyProtection="1">
      <alignment horizontal="center" vertical="center"/>
    </xf>
    <xf numFmtId="0" fontId="33" fillId="35" borderId="1" xfId="0" applyFont="1" applyFill="1" applyBorder="1" applyAlignment="1" applyProtection="1">
      <alignment horizontal="center" vertical="center"/>
    </xf>
    <xf numFmtId="0" fontId="33" fillId="35" borderId="9" xfId="0" applyFont="1" applyFill="1" applyBorder="1" applyAlignment="1" applyProtection="1">
      <alignment horizontal="center" vertical="center"/>
    </xf>
    <xf numFmtId="0" fontId="33" fillId="35" borderId="45" xfId="0" applyFont="1" applyFill="1" applyBorder="1" applyAlignment="1" applyProtection="1">
      <alignment horizontal="center" vertical="center"/>
    </xf>
    <xf numFmtId="0" fontId="33" fillId="35" borderId="44" xfId="0" applyFont="1" applyFill="1" applyBorder="1" applyAlignment="1" applyProtection="1">
      <alignment horizontal="center" vertical="center"/>
    </xf>
    <xf numFmtId="0" fontId="40" fillId="0" borderId="4" xfId="0" applyFont="1" applyBorder="1">
      <alignment vertical="center"/>
      <protection locked="0"/>
    </xf>
    <xf numFmtId="171" fontId="0" fillId="36" borderId="2" xfId="0" applyNumberFormat="1" applyFill="1" applyBorder="1">
      <alignment vertical="center"/>
      <protection locked="0"/>
    </xf>
    <xf numFmtId="0" fontId="81" fillId="38" borderId="2" xfId="0" applyFont="1" applyFill="1" applyBorder="1">
      <alignment vertical="center"/>
      <protection locked="0"/>
    </xf>
    <xf numFmtId="0" fontId="81" fillId="38" borderId="13" xfId="0" applyFont="1" applyFill="1" applyBorder="1">
      <alignment vertical="center"/>
      <protection locked="0"/>
    </xf>
    <xf numFmtId="0" fontId="81" fillId="38" borderId="10" xfId="0" applyFont="1" applyFill="1" applyBorder="1">
      <alignment vertical="center"/>
      <protection locked="0"/>
    </xf>
    <xf numFmtId="0" fontId="81" fillId="38" borderId="4" xfId="0" applyFont="1" applyFill="1" applyBorder="1">
      <alignment vertical="center"/>
      <protection locked="0"/>
    </xf>
    <xf numFmtId="0" fontId="0" fillId="38" borderId="2" xfId="0" applyFill="1" applyBorder="1">
      <alignment vertical="center"/>
      <protection locked="0"/>
    </xf>
    <xf numFmtId="0" fontId="0" fillId="38" borderId="4" xfId="0" applyFill="1" applyBorder="1" applyAlignment="1">
      <alignment horizontal="center" vertical="center"/>
      <protection locked="0"/>
    </xf>
    <xf numFmtId="0" fontId="40" fillId="0" borderId="4" xfId="0" applyFont="1" applyBorder="1" applyProtection="1">
      <alignment vertical="center"/>
    </xf>
    <xf numFmtId="0" fontId="6" fillId="41" borderId="4" xfId="0" applyFont="1" applyFill="1" applyBorder="1" applyAlignment="1">
      <alignment horizontal="center" vertical="center" wrapText="1"/>
      <protection locked="0"/>
    </xf>
    <xf numFmtId="0" fontId="6" fillId="41" borderId="4" xfId="0" applyFont="1" applyFill="1" applyBorder="1" applyAlignment="1">
      <alignment horizontal="center" vertical="center"/>
      <protection locked="0"/>
    </xf>
    <xf numFmtId="0" fontId="0" fillId="0" borderId="4" xfId="0" applyBorder="1" applyAlignment="1">
      <alignment horizontal="center" vertical="center" wrapText="1"/>
      <protection locked="0"/>
    </xf>
    <xf numFmtId="0" fontId="6" fillId="41" borderId="2" xfId="0" applyFont="1" applyFill="1" applyBorder="1" applyAlignment="1">
      <alignment horizontal="center" vertical="center" wrapText="1"/>
      <protection locked="0"/>
    </xf>
    <xf numFmtId="0" fontId="6" fillId="41" borderId="13" xfId="0" applyFont="1" applyFill="1" applyBorder="1" applyAlignment="1">
      <alignment horizontal="center" vertical="center" wrapText="1"/>
      <protection locked="0"/>
    </xf>
    <xf numFmtId="0" fontId="6" fillId="41" borderId="10" xfId="0" applyFont="1" applyFill="1" applyBorder="1" applyAlignment="1">
      <alignment horizontal="center" vertical="center" wrapText="1"/>
      <protection locked="0"/>
    </xf>
  </cellXfs>
  <cellStyles count="49">
    <cellStyle name="20% - Accent1" xfId="1" builtinId="30" customBuiltin="1"/>
    <cellStyle name="20% - Accent2" xfId="2" builtinId="34" customBuiltin="1"/>
    <cellStyle name="20% - Accent3" xfId="3" builtinId="38" customBuiltin="1"/>
    <cellStyle name="20% - Accent4" xfId="4" builtinId="42" customBuiltin="1"/>
    <cellStyle name="20% - Accent5" xfId="5" builtinId="46" customBuiltin="1"/>
    <cellStyle name="20% - Accent6" xfId="6" builtinId="50" customBuiltin="1"/>
    <cellStyle name="40% - Accent1" xfId="7" builtinId="31" customBuiltin="1"/>
    <cellStyle name="40% - Accent2" xfId="8" builtinId="35" customBuiltin="1"/>
    <cellStyle name="40% - Accent3" xfId="9" builtinId="39" customBuiltin="1"/>
    <cellStyle name="40% - Accent4" xfId="10" builtinId="43" customBuiltin="1"/>
    <cellStyle name="40% - Accent5" xfId="11" builtinId="47" customBuiltin="1"/>
    <cellStyle name="40% - Accent6" xfId="12" builtinId="51" customBuiltin="1"/>
    <cellStyle name="60% - Accent1" xfId="13" builtinId="32" customBuiltin="1"/>
    <cellStyle name="60% - Accent2" xfId="14" builtinId="36" customBuiltin="1"/>
    <cellStyle name="60% - Accent3" xfId="15" builtinId="40" customBuiltin="1"/>
    <cellStyle name="60% - Accent4" xfId="16" builtinId="44" customBuiltin="1"/>
    <cellStyle name="60% - Accent5" xfId="17" builtinId="48" customBuiltin="1"/>
    <cellStyle name="60% - Accent6" xfId="18" builtinId="52" customBuiltin="1"/>
    <cellStyle name="Accent1" xfId="19" builtinId="29" customBuiltin="1"/>
    <cellStyle name="Accent2" xfId="20" builtinId="33" customBuiltin="1"/>
    <cellStyle name="Accent3" xfId="21" builtinId="37" customBuiltin="1"/>
    <cellStyle name="Accent4" xfId="22" builtinId="41" customBuiltin="1"/>
    <cellStyle name="Accent5" xfId="23" builtinId="45" customBuiltin="1"/>
    <cellStyle name="Accent6" xfId="24" builtinId="49" customBuiltin="1"/>
    <cellStyle name="Bad" xfId="25" builtinId="27" customBuiltin="1"/>
    <cellStyle name="Calculation" xfId="26" builtinId="22" customBuiltin="1"/>
    <cellStyle name="Check Cell" xfId="27" builtinId="23" customBuiltin="1"/>
    <cellStyle name="Comma" xfId="28" builtinId="3" customBuiltin="1"/>
    <cellStyle name="Comma [0]" xfId="29" builtinId="6" customBuiltin="1"/>
    <cellStyle name="Currency" xfId="30" builtinId="4" customBuiltin="1"/>
    <cellStyle name="Currency [0]" xfId="31" builtinId="7" customBuiltin="1"/>
    <cellStyle name="Explanatory Text" xfId="32" builtinId="53" customBuiltin="1"/>
    <cellStyle name="Followed Hyperlink" xfId="33" builtinId="9"/>
    <cellStyle name="Good" xfId="34" builtinId="26" customBuiltin="1"/>
    <cellStyle name="Heading 1" xfId="35" builtinId="16" customBuiltin="1"/>
    <cellStyle name="Heading 2" xfId="36" builtinId="17" customBuiltin="1"/>
    <cellStyle name="Heading 3" xfId="37" builtinId="18" customBuiltin="1"/>
    <cellStyle name="Heading 4" xfId="38" builtinId="19" customBuiltin="1"/>
    <cellStyle name="Hyperlink" xfId="39" builtinId="8"/>
    <cellStyle name="Input" xfId="40" builtinId="20" customBuiltin="1"/>
    <cellStyle name="Linked Cell" xfId="41" builtinId="24" customBuiltin="1"/>
    <cellStyle name="Neutral" xfId="42" builtinId="28" customBuiltin="1"/>
    <cellStyle name="Normal" xfId="0" builtinId="0" customBuiltin="1"/>
    <cellStyle name="Note" xfId="43" builtinId="10" customBuiltin="1"/>
    <cellStyle name="Output" xfId="44" builtinId="21" customBuiltin="1"/>
    <cellStyle name="Per cent" xfId="45" builtinId="5" customBuiltin="1"/>
    <cellStyle name="Title" xfId="46" builtinId="15" customBuiltin="1"/>
    <cellStyle name="Total" xfId="47" builtinId="25" customBuiltin="1"/>
    <cellStyle name="Warning Text" xfId="48" builtinId="11" customBuiltin="1"/>
  </cellStyles>
  <dxfs count="592">
    <dxf>
      <font>
        <color theme="0"/>
      </font>
      <fill>
        <patternFill>
          <bgColor theme="4"/>
        </patternFill>
      </fill>
      <border>
        <left style="thin">
          <color auto="1"/>
        </left>
        <right style="thin">
          <color auto="1"/>
        </right>
        <top style="thin">
          <color auto="1"/>
        </top>
        <bottom style="thin">
          <color auto="1"/>
        </bottom>
        <vertical/>
        <horizontal/>
      </border>
    </dxf>
    <dxf>
      <font>
        <color theme="0"/>
      </font>
      <fill>
        <patternFill>
          <bgColor theme="4"/>
        </patternFill>
      </fill>
      <border>
        <left style="thin">
          <color auto="1"/>
        </left>
        <right style="thin">
          <color auto="1"/>
        </right>
        <top style="thin">
          <color auto="1"/>
        </top>
        <bottom style="thin">
          <color auto="1"/>
        </bottom>
        <vertical/>
        <horizontal/>
      </border>
    </dxf>
    <dxf>
      <font>
        <color theme="0"/>
      </font>
      <fill>
        <patternFill>
          <bgColor theme="4"/>
        </patternFill>
      </fill>
      <border>
        <left style="thin">
          <color auto="1"/>
        </left>
        <right style="thin">
          <color auto="1"/>
        </right>
        <top style="thin">
          <color auto="1"/>
        </top>
        <bottom style="thin">
          <color auto="1"/>
        </bottom>
        <vertical/>
        <horizontal/>
      </border>
    </dxf>
    <dxf>
      <font>
        <color theme="0"/>
      </font>
      <fill>
        <patternFill>
          <bgColor theme="4"/>
        </patternFill>
      </fill>
      <border>
        <left style="thin">
          <color auto="1"/>
        </left>
        <right style="thin">
          <color auto="1"/>
        </right>
        <top style="thin">
          <color auto="1"/>
        </top>
        <bottom style="thin">
          <color auto="1"/>
        </bottom>
        <vertical/>
        <horizontal/>
      </border>
    </dxf>
    <dxf>
      <font>
        <color theme="0"/>
      </font>
      <fill>
        <patternFill>
          <bgColor theme="4"/>
        </patternFill>
      </fill>
      <border>
        <left style="thin">
          <color auto="1"/>
        </left>
        <right style="thin">
          <color auto="1"/>
        </right>
        <top style="thin">
          <color auto="1"/>
        </top>
        <bottom style="thin">
          <color auto="1"/>
        </bottom>
        <vertical/>
        <horizontal/>
      </border>
    </dxf>
    <dxf>
      <font>
        <color theme="0"/>
      </font>
      <fill>
        <patternFill>
          <bgColor theme="4"/>
        </patternFill>
      </fill>
      <border>
        <left style="thin">
          <color auto="1"/>
        </left>
        <right style="thin">
          <color auto="1"/>
        </right>
        <top style="thin">
          <color auto="1"/>
        </top>
        <bottom style="thin">
          <color auto="1"/>
        </bottom>
        <vertical/>
        <horizontal/>
      </border>
    </dxf>
    <dxf>
      <font>
        <color theme="0"/>
      </font>
      <fill>
        <patternFill>
          <bgColor theme="4"/>
        </patternFill>
      </fill>
      <border>
        <left style="thin">
          <color auto="1"/>
        </left>
        <right style="thin">
          <color auto="1"/>
        </right>
        <top style="thin">
          <color auto="1"/>
        </top>
        <bottom style="thin">
          <color auto="1"/>
        </bottom>
        <vertical/>
        <horizontal/>
      </border>
    </dxf>
    <dxf>
      <font>
        <color theme="0"/>
      </font>
      <fill>
        <patternFill>
          <bgColor theme="4"/>
        </patternFill>
      </fill>
      <border>
        <left style="thin">
          <color auto="1"/>
        </left>
        <right style="thin">
          <color auto="1"/>
        </right>
        <top style="thin">
          <color auto="1"/>
        </top>
        <bottom style="thin">
          <color auto="1"/>
        </bottom>
        <vertical/>
        <horizontal/>
      </border>
    </dxf>
    <dxf>
      <font>
        <color theme="0"/>
      </font>
      <fill>
        <patternFill>
          <bgColor theme="4"/>
        </patternFill>
      </fill>
      <border>
        <left style="thin">
          <color auto="1"/>
        </left>
        <right style="thin">
          <color auto="1"/>
        </right>
        <top style="thin">
          <color auto="1"/>
        </top>
        <bottom style="thin">
          <color auto="1"/>
        </bottom>
        <vertical/>
        <horizontal/>
      </border>
    </dxf>
    <dxf>
      <font>
        <color theme="0"/>
      </font>
      <fill>
        <patternFill>
          <bgColor theme="4"/>
        </patternFill>
      </fill>
      <border>
        <left style="thin">
          <color auto="1"/>
        </left>
        <right style="thin">
          <color auto="1"/>
        </right>
        <top style="thin">
          <color auto="1"/>
        </top>
        <bottom style="thin">
          <color auto="1"/>
        </bottom>
        <vertical/>
        <horizontal/>
      </border>
    </dxf>
    <dxf>
      <font>
        <color theme="0"/>
      </font>
      <fill>
        <patternFill>
          <bgColor theme="4"/>
        </patternFill>
      </fill>
      <border>
        <left style="thin">
          <color auto="1"/>
        </left>
        <right style="thin">
          <color auto="1"/>
        </right>
        <top style="thin">
          <color auto="1"/>
        </top>
        <bottom style="thin">
          <color auto="1"/>
        </bottom>
        <vertical/>
        <horizontal/>
      </border>
    </dxf>
    <dxf>
      <font>
        <color theme="0"/>
      </font>
      <fill>
        <patternFill>
          <bgColor theme="4"/>
        </patternFill>
      </fill>
      <border>
        <left style="thin">
          <color auto="1"/>
        </left>
        <right style="thin">
          <color auto="1"/>
        </right>
        <top style="thin">
          <color auto="1"/>
        </top>
        <bottom style="thin">
          <color auto="1"/>
        </bottom>
        <vertical/>
        <horizontal/>
      </border>
    </dxf>
    <dxf>
      <font>
        <color theme="0"/>
      </font>
      <fill>
        <patternFill>
          <bgColor theme="4"/>
        </patternFill>
      </fill>
      <border>
        <left style="thin">
          <color auto="1"/>
        </left>
        <right style="thin">
          <color auto="1"/>
        </right>
        <top style="thin">
          <color auto="1"/>
        </top>
        <bottom style="thin">
          <color auto="1"/>
        </bottom>
        <vertical/>
        <horizontal/>
      </border>
    </dxf>
    <dxf>
      <font>
        <color theme="0"/>
      </font>
      <fill>
        <patternFill>
          <bgColor theme="4"/>
        </patternFill>
      </fill>
      <border>
        <left style="thin">
          <color auto="1"/>
        </left>
        <right style="thin">
          <color auto="1"/>
        </right>
        <top style="thin">
          <color auto="1"/>
        </top>
        <bottom style="thin">
          <color auto="1"/>
        </bottom>
        <vertical/>
        <horizontal/>
      </border>
    </dxf>
    <dxf>
      <font>
        <color theme="0"/>
      </font>
      <fill>
        <patternFill>
          <bgColor theme="4"/>
        </patternFill>
      </fill>
      <border>
        <left style="thin">
          <color auto="1"/>
        </left>
        <right style="thin">
          <color auto="1"/>
        </right>
        <top style="thin">
          <color auto="1"/>
        </top>
        <bottom style="thin">
          <color auto="1"/>
        </bottom>
        <vertical/>
        <horizontal/>
      </border>
    </dxf>
    <dxf>
      <font>
        <color theme="0"/>
      </font>
      <fill>
        <patternFill>
          <bgColor theme="4"/>
        </patternFill>
      </fill>
      <border>
        <left style="thin">
          <color auto="1"/>
        </left>
        <right style="thin">
          <color auto="1"/>
        </right>
        <top style="thin">
          <color auto="1"/>
        </top>
        <bottom style="thin">
          <color auto="1"/>
        </bottom>
        <vertical/>
        <horizontal/>
      </border>
    </dxf>
    <dxf>
      <font>
        <color theme="0"/>
      </font>
      <fill>
        <patternFill>
          <bgColor theme="4"/>
        </patternFill>
      </fill>
      <border>
        <left style="thin">
          <color auto="1"/>
        </left>
        <right style="thin">
          <color auto="1"/>
        </right>
        <top style="thin">
          <color auto="1"/>
        </top>
        <bottom style="thin">
          <color auto="1"/>
        </bottom>
        <vertical/>
        <horizontal/>
      </border>
    </dxf>
    <dxf>
      <font>
        <color theme="0"/>
      </font>
      <fill>
        <patternFill>
          <bgColor theme="4"/>
        </patternFill>
      </fill>
      <border>
        <left style="thin">
          <color auto="1"/>
        </left>
        <right style="thin">
          <color auto="1"/>
        </right>
        <top style="thin">
          <color auto="1"/>
        </top>
        <bottom style="thin">
          <color auto="1"/>
        </bottom>
        <vertical/>
        <horizontal/>
      </border>
    </dxf>
    <dxf>
      <font>
        <color theme="0"/>
      </font>
      <fill>
        <patternFill>
          <bgColor theme="4"/>
        </patternFill>
      </fill>
      <border>
        <left style="thin">
          <color auto="1"/>
        </left>
        <right style="thin">
          <color auto="1"/>
        </right>
        <top style="thin">
          <color auto="1"/>
        </top>
        <bottom style="thin">
          <color auto="1"/>
        </bottom>
        <vertical/>
        <horizontal/>
      </border>
    </dxf>
    <dxf>
      <font>
        <color theme="0"/>
      </font>
      <fill>
        <patternFill>
          <bgColor theme="4"/>
        </patternFill>
      </fill>
      <border>
        <left style="thin">
          <color auto="1"/>
        </left>
        <right style="thin">
          <color auto="1"/>
        </right>
        <top style="thin">
          <color auto="1"/>
        </top>
        <bottom style="thin">
          <color auto="1"/>
        </bottom>
        <vertical/>
        <horizontal/>
      </border>
    </dxf>
    <dxf>
      <fill>
        <patternFill patternType="lightUp">
          <bgColor theme="0" tint="-0.24994659260841701"/>
        </patternFill>
      </fill>
    </dxf>
    <dxf>
      <fill>
        <patternFill patternType="lightUp">
          <bgColor theme="0" tint="-0.24994659260841701"/>
        </patternFill>
      </fill>
    </dxf>
    <dxf>
      <fill>
        <patternFill patternType="lightUp">
          <bgColor theme="0" tint="-0.24994659260841701"/>
        </patternFill>
      </fill>
    </dxf>
    <dxf>
      <fill>
        <patternFill patternType="lightUp">
          <bgColor theme="0" tint="-0.24994659260841701"/>
        </patternFill>
      </fill>
    </dxf>
    <dxf>
      <fill>
        <patternFill patternType="lightUp">
          <bgColor theme="0" tint="-0.24994659260841701"/>
        </patternFill>
      </fill>
    </dxf>
    <dxf>
      <fill>
        <patternFill patternType="lightUp">
          <bgColor theme="0" tint="-0.24994659260841701"/>
        </patternFill>
      </fill>
    </dxf>
    <dxf>
      <fill>
        <patternFill patternType="lightUp">
          <bgColor theme="0" tint="-0.24994659260841701"/>
        </patternFill>
      </fill>
    </dxf>
    <dxf>
      <fill>
        <patternFill patternType="lightUp">
          <bgColor theme="0" tint="-0.24994659260841701"/>
        </patternFill>
      </fill>
    </dxf>
    <dxf>
      <fill>
        <patternFill patternType="lightUp">
          <bgColor theme="0" tint="-0.24994659260841701"/>
        </patternFill>
      </fill>
    </dxf>
    <dxf>
      <fill>
        <patternFill patternType="lightUp">
          <bgColor theme="0" tint="-0.24994659260841701"/>
        </patternFill>
      </fill>
    </dxf>
    <dxf>
      <fill>
        <patternFill patternType="lightUp">
          <bgColor theme="0" tint="-0.24994659260841701"/>
        </patternFill>
      </fill>
    </dxf>
    <dxf>
      <fill>
        <patternFill patternType="lightUp">
          <bgColor theme="0" tint="-0.24994659260841701"/>
        </patternFill>
      </fill>
    </dxf>
    <dxf>
      <fill>
        <patternFill patternType="lightUp">
          <bgColor theme="0" tint="-0.24994659260841701"/>
        </patternFill>
      </fill>
    </dxf>
    <dxf>
      <font>
        <color theme="0"/>
      </font>
      <fill>
        <patternFill>
          <bgColor theme="4"/>
        </patternFill>
      </fill>
      <border>
        <left style="thin">
          <color indexed="64"/>
        </left>
        <right style="thin">
          <color indexed="64"/>
        </right>
        <top style="thin">
          <color indexed="64"/>
        </top>
        <bottom style="thin">
          <color indexed="64"/>
        </bottom>
      </border>
    </dxf>
    <dxf>
      <font>
        <color theme="0"/>
      </font>
      <fill>
        <patternFill>
          <bgColor theme="4"/>
        </patternFill>
      </fill>
      <border>
        <left style="thin">
          <color indexed="64"/>
        </left>
        <right style="thin">
          <color indexed="64"/>
        </right>
        <top style="thin">
          <color indexed="64"/>
        </top>
        <bottom style="thin">
          <color indexed="64"/>
        </bottom>
      </border>
    </dxf>
    <dxf>
      <font>
        <color theme="0"/>
      </font>
      <fill>
        <patternFill>
          <bgColor theme="4"/>
        </patternFill>
      </fill>
      <border>
        <left style="thin">
          <color indexed="64"/>
        </left>
        <right style="thin">
          <color indexed="64"/>
        </right>
        <top style="thin">
          <color indexed="64"/>
        </top>
        <bottom style="thin">
          <color indexed="64"/>
        </bottom>
      </border>
    </dxf>
    <dxf>
      <font>
        <color theme="0"/>
      </font>
      <fill>
        <patternFill>
          <bgColor theme="4"/>
        </patternFill>
      </fill>
      <border>
        <left style="thin">
          <color indexed="64"/>
        </left>
        <right style="thin">
          <color indexed="64"/>
        </right>
        <top style="thin">
          <color indexed="64"/>
        </top>
        <bottom style="thin">
          <color indexed="64"/>
        </bottom>
      </border>
    </dxf>
    <dxf>
      <font>
        <color theme="0"/>
      </font>
      <fill>
        <patternFill>
          <bgColor theme="4"/>
        </patternFill>
      </fill>
      <border>
        <left style="thin">
          <color indexed="64"/>
        </left>
        <right style="thin">
          <color indexed="64"/>
        </right>
        <top style="thin">
          <color indexed="64"/>
        </top>
        <bottom style="thin">
          <color indexed="64"/>
        </bottom>
      </border>
    </dxf>
    <dxf>
      <font>
        <color theme="0"/>
      </font>
      <fill>
        <patternFill>
          <bgColor theme="4"/>
        </patternFill>
      </fill>
      <border>
        <left style="thin">
          <color indexed="64"/>
        </left>
        <right style="thin">
          <color indexed="64"/>
        </right>
        <top style="thin">
          <color indexed="64"/>
        </top>
        <bottom style="thin">
          <color indexed="64"/>
        </bottom>
      </border>
    </dxf>
    <dxf>
      <font>
        <color theme="0"/>
      </font>
      <fill>
        <patternFill>
          <bgColor theme="4"/>
        </patternFill>
      </fill>
      <border>
        <left style="thin">
          <color indexed="64"/>
        </left>
        <right style="thin">
          <color indexed="64"/>
        </right>
        <top style="thin">
          <color indexed="64"/>
        </top>
        <bottom style="thin">
          <color indexed="64"/>
        </bottom>
      </border>
    </dxf>
    <dxf>
      <font>
        <color theme="0"/>
      </font>
      <fill>
        <patternFill>
          <bgColor theme="4"/>
        </patternFill>
      </fill>
      <border>
        <left style="thin">
          <color indexed="64"/>
        </left>
        <right style="thin">
          <color indexed="64"/>
        </right>
        <top style="thin">
          <color indexed="64"/>
        </top>
        <bottom style="thin">
          <color indexed="64"/>
        </bottom>
      </border>
    </dxf>
    <dxf>
      <font>
        <color theme="0"/>
      </font>
      <fill>
        <patternFill>
          <bgColor theme="4"/>
        </patternFill>
      </fill>
      <border>
        <left style="thin">
          <color indexed="64"/>
        </left>
        <right style="thin">
          <color indexed="64"/>
        </right>
        <top style="thin">
          <color indexed="64"/>
        </top>
        <bottom style="thin">
          <color indexed="64"/>
        </bottom>
      </border>
    </dxf>
    <dxf>
      <font>
        <color theme="0"/>
      </font>
      <fill>
        <patternFill>
          <bgColor theme="4"/>
        </patternFill>
      </fill>
      <border>
        <left style="thin">
          <color indexed="64"/>
        </left>
        <right style="thin">
          <color indexed="64"/>
        </right>
        <top style="thin">
          <color indexed="64"/>
        </top>
        <bottom style="thin">
          <color indexed="64"/>
        </bottom>
      </border>
    </dxf>
    <dxf>
      <font>
        <color theme="0"/>
      </font>
      <fill>
        <patternFill>
          <bgColor theme="4"/>
        </patternFill>
      </fill>
      <border>
        <left style="thin">
          <color indexed="64"/>
        </left>
        <right style="thin">
          <color indexed="64"/>
        </right>
        <top style="thin">
          <color indexed="64"/>
        </top>
        <bottom style="thin">
          <color indexed="64"/>
        </bottom>
      </border>
    </dxf>
    <dxf>
      <font>
        <color theme="0"/>
      </font>
      <fill>
        <patternFill>
          <bgColor theme="4"/>
        </patternFill>
      </fill>
      <border>
        <left style="thin">
          <color indexed="64"/>
        </left>
        <right style="thin">
          <color indexed="64"/>
        </right>
        <top style="thin">
          <color indexed="64"/>
        </top>
        <bottom style="thin">
          <color indexed="64"/>
        </bottom>
      </border>
    </dxf>
    <dxf>
      <font>
        <color theme="0"/>
      </font>
      <fill>
        <patternFill>
          <bgColor theme="4"/>
        </patternFill>
      </fill>
      <border>
        <left style="thin">
          <color indexed="64"/>
        </left>
        <right style="thin">
          <color indexed="64"/>
        </right>
        <top style="thin">
          <color indexed="64"/>
        </top>
        <bottom style="thin">
          <color indexed="64"/>
        </bottom>
      </border>
    </dxf>
    <dxf>
      <font>
        <color theme="0"/>
      </font>
      <fill>
        <patternFill>
          <bgColor theme="4"/>
        </patternFill>
      </fill>
      <border>
        <left style="thin">
          <color indexed="64"/>
        </left>
        <right style="thin">
          <color indexed="64"/>
        </right>
        <top style="thin">
          <color indexed="64"/>
        </top>
        <bottom style="thin">
          <color indexed="64"/>
        </bottom>
      </border>
    </dxf>
    <dxf>
      <font>
        <color theme="0"/>
      </font>
      <fill>
        <patternFill>
          <bgColor theme="4"/>
        </patternFill>
      </fill>
      <border>
        <left style="thin">
          <color indexed="64"/>
        </left>
        <right style="thin">
          <color indexed="64"/>
        </right>
        <top style="thin">
          <color indexed="64"/>
        </top>
        <bottom style="thin">
          <color indexed="64"/>
        </bottom>
      </border>
    </dxf>
    <dxf>
      <font>
        <color theme="0"/>
      </font>
      <fill>
        <patternFill>
          <bgColor theme="4"/>
        </patternFill>
      </fill>
      <border>
        <left style="thin">
          <color indexed="64"/>
        </left>
        <right style="thin">
          <color indexed="64"/>
        </right>
        <top style="thin">
          <color indexed="64"/>
        </top>
        <bottom style="thin">
          <color indexed="64"/>
        </bottom>
      </border>
    </dxf>
    <dxf>
      <font>
        <color theme="0"/>
      </font>
      <fill>
        <patternFill>
          <bgColor theme="4"/>
        </patternFill>
      </fill>
      <border>
        <left style="thin">
          <color indexed="64"/>
        </left>
        <right style="thin">
          <color indexed="64"/>
        </right>
        <top style="thin">
          <color indexed="64"/>
        </top>
        <bottom style="thin">
          <color indexed="64"/>
        </bottom>
      </border>
    </dxf>
    <dxf>
      <font>
        <color theme="0"/>
      </font>
      <fill>
        <patternFill>
          <bgColor theme="4"/>
        </patternFill>
      </fill>
      <border>
        <left style="thin">
          <color indexed="64"/>
        </left>
        <right style="thin">
          <color indexed="64"/>
        </right>
        <top style="thin">
          <color indexed="64"/>
        </top>
        <bottom style="thin">
          <color indexed="64"/>
        </bottom>
      </border>
    </dxf>
    <dxf>
      <font>
        <color theme="0"/>
      </font>
      <fill>
        <patternFill>
          <bgColor theme="4"/>
        </patternFill>
      </fill>
      <border>
        <left style="thin">
          <color indexed="64"/>
        </left>
        <right style="thin">
          <color indexed="64"/>
        </right>
        <top style="thin">
          <color indexed="64"/>
        </top>
        <bottom style="thin">
          <color indexed="64"/>
        </bottom>
      </border>
    </dxf>
    <dxf>
      <font>
        <color theme="0"/>
      </font>
      <fill>
        <patternFill>
          <bgColor theme="4"/>
        </patternFill>
      </fill>
      <border>
        <left style="thin">
          <color indexed="64"/>
        </left>
        <right style="thin">
          <color indexed="64"/>
        </right>
        <top style="thin">
          <color indexed="64"/>
        </top>
        <bottom style="thin">
          <color indexed="64"/>
        </bottom>
      </border>
    </dxf>
    <dxf>
      <fill>
        <patternFill patternType="lightUp">
          <bgColor theme="0" tint="-0.24994659260841701"/>
        </patternFill>
      </fill>
    </dxf>
    <dxf>
      <fill>
        <patternFill patternType="lightUp">
          <bgColor theme="0" tint="-0.24994659260841701"/>
        </patternFill>
      </fill>
    </dxf>
    <dxf>
      <fill>
        <patternFill patternType="lightUp">
          <bgColor theme="0" tint="-0.24994659260841701"/>
        </patternFill>
      </fill>
    </dxf>
    <dxf>
      <border>
        <left style="thin">
          <color indexed="64"/>
        </left>
        <right style="thin">
          <color indexed="64"/>
        </right>
        <top style="thin">
          <color indexed="64"/>
        </top>
      </border>
    </dxf>
    <dxf>
      <fill>
        <patternFill patternType="lightUp">
          <bgColor theme="0" tint="-0.24994659260841701"/>
        </patternFill>
      </fill>
    </dxf>
    <dxf>
      <font>
        <color theme="0"/>
      </font>
      <fill>
        <patternFill>
          <bgColor theme="4"/>
        </patternFill>
      </fill>
      <border>
        <left style="thin">
          <color indexed="64"/>
        </left>
        <right style="thin">
          <color indexed="64"/>
        </right>
        <top style="thin">
          <color indexed="64"/>
        </top>
        <bottom style="thin">
          <color indexed="64"/>
        </bottom>
      </border>
    </dxf>
    <dxf>
      <font>
        <color theme="0"/>
      </font>
      <fill>
        <patternFill>
          <bgColor theme="4"/>
        </patternFill>
      </fill>
      <border>
        <left style="thin">
          <color indexed="64"/>
        </left>
        <right style="thin">
          <color indexed="64"/>
        </right>
        <top style="thin">
          <color indexed="64"/>
        </top>
        <bottom style="thin">
          <color indexed="64"/>
        </bottom>
      </border>
    </dxf>
    <dxf>
      <font>
        <color theme="0"/>
      </font>
      <fill>
        <patternFill>
          <bgColor theme="4"/>
        </patternFill>
      </fill>
      <border>
        <left style="thin">
          <color indexed="64"/>
        </left>
        <right style="thin">
          <color indexed="64"/>
        </right>
        <top style="thin">
          <color indexed="64"/>
        </top>
        <bottom style="thin">
          <color indexed="64"/>
        </bottom>
      </border>
    </dxf>
    <dxf>
      <font>
        <color theme="0"/>
      </font>
      <fill>
        <patternFill>
          <bgColor theme="4"/>
        </patternFill>
      </fill>
      <border>
        <left style="thin">
          <color indexed="64"/>
        </left>
        <right style="thin">
          <color indexed="64"/>
        </right>
        <top style="thin">
          <color indexed="64"/>
        </top>
        <bottom style="thin">
          <color indexed="64"/>
        </bottom>
      </border>
    </dxf>
    <dxf>
      <font>
        <color theme="0"/>
      </font>
      <fill>
        <patternFill>
          <bgColor theme="4"/>
        </patternFill>
      </fill>
      <border>
        <left style="thin">
          <color indexed="64"/>
        </left>
        <right style="thin">
          <color indexed="64"/>
        </right>
        <top style="thin">
          <color indexed="64"/>
        </top>
        <bottom style="thin">
          <color indexed="64"/>
        </bottom>
      </border>
    </dxf>
    <dxf>
      <font>
        <color theme="0"/>
      </font>
      <fill>
        <patternFill>
          <bgColor theme="4"/>
        </patternFill>
      </fill>
      <border>
        <left style="thin">
          <color indexed="64"/>
        </left>
        <right style="thin">
          <color indexed="64"/>
        </right>
        <top style="thin">
          <color indexed="64"/>
        </top>
        <bottom style="thin">
          <color indexed="64"/>
        </bottom>
      </border>
    </dxf>
    <dxf>
      <font>
        <color theme="0"/>
      </font>
      <fill>
        <patternFill>
          <bgColor theme="4"/>
        </patternFill>
      </fill>
      <border>
        <left style="thin">
          <color indexed="64"/>
        </left>
        <right style="thin">
          <color indexed="64"/>
        </right>
        <top style="thin">
          <color indexed="64"/>
        </top>
        <bottom style="thin">
          <color indexed="64"/>
        </bottom>
      </border>
    </dxf>
    <dxf>
      <font>
        <color theme="0"/>
      </font>
      <fill>
        <patternFill>
          <bgColor theme="4"/>
        </patternFill>
      </fill>
      <border>
        <left style="thin">
          <color indexed="64"/>
        </left>
        <right style="thin">
          <color indexed="64"/>
        </right>
        <top style="thin">
          <color indexed="64"/>
        </top>
        <bottom style="thin">
          <color indexed="64"/>
        </bottom>
      </border>
    </dxf>
    <dxf>
      <font>
        <color theme="0"/>
      </font>
      <fill>
        <patternFill>
          <bgColor theme="4"/>
        </patternFill>
      </fill>
      <border>
        <left style="thin">
          <color indexed="64"/>
        </left>
        <right style="thin">
          <color indexed="64"/>
        </right>
        <top style="thin">
          <color indexed="64"/>
        </top>
        <bottom style="thin">
          <color indexed="64"/>
        </bottom>
      </border>
    </dxf>
    <dxf>
      <font>
        <color theme="0"/>
      </font>
      <fill>
        <patternFill>
          <bgColor theme="4"/>
        </patternFill>
      </fill>
      <border>
        <left style="thin">
          <color indexed="64"/>
        </left>
        <right style="thin">
          <color indexed="64"/>
        </right>
        <top style="thin">
          <color indexed="64"/>
        </top>
        <bottom style="thin">
          <color indexed="64"/>
        </bottom>
      </border>
    </dxf>
    <dxf>
      <font>
        <color theme="0"/>
      </font>
      <fill>
        <patternFill>
          <bgColor theme="4"/>
        </patternFill>
      </fill>
      <border>
        <left style="thin">
          <color indexed="64"/>
        </left>
        <right style="thin">
          <color indexed="64"/>
        </right>
        <top style="thin">
          <color indexed="64"/>
        </top>
        <bottom style="thin">
          <color indexed="64"/>
        </bottom>
      </border>
    </dxf>
    <dxf>
      <font>
        <color theme="0"/>
      </font>
      <fill>
        <patternFill>
          <bgColor theme="4"/>
        </patternFill>
      </fill>
      <border>
        <left style="thin">
          <color indexed="64"/>
        </left>
        <right style="thin">
          <color indexed="64"/>
        </right>
        <top style="thin">
          <color indexed="64"/>
        </top>
        <bottom style="thin">
          <color indexed="64"/>
        </bottom>
      </border>
    </dxf>
    <dxf>
      <font>
        <color theme="0"/>
      </font>
      <fill>
        <patternFill>
          <bgColor theme="4"/>
        </patternFill>
      </fill>
      <border>
        <left style="thin">
          <color indexed="64"/>
        </left>
        <right style="thin">
          <color indexed="64"/>
        </right>
        <top style="thin">
          <color indexed="64"/>
        </top>
        <bottom style="thin">
          <color indexed="64"/>
        </bottom>
      </border>
    </dxf>
    <dxf>
      <font>
        <color theme="0"/>
      </font>
      <fill>
        <patternFill>
          <bgColor theme="4"/>
        </patternFill>
      </fill>
      <border>
        <left style="thin">
          <color indexed="64"/>
        </left>
        <right style="thin">
          <color indexed="64"/>
        </right>
        <top style="thin">
          <color indexed="64"/>
        </top>
        <bottom style="thin">
          <color indexed="64"/>
        </bottom>
      </border>
    </dxf>
    <dxf>
      <font>
        <color theme="0"/>
      </font>
      <fill>
        <patternFill>
          <bgColor theme="4"/>
        </patternFill>
      </fill>
      <border>
        <left style="thin">
          <color indexed="64"/>
        </left>
        <right style="thin">
          <color indexed="64"/>
        </right>
        <top style="thin">
          <color indexed="64"/>
        </top>
        <bottom style="thin">
          <color indexed="64"/>
        </bottom>
      </border>
    </dxf>
    <dxf>
      <font>
        <color theme="0"/>
      </font>
      <fill>
        <patternFill>
          <bgColor theme="4"/>
        </patternFill>
      </fill>
      <border>
        <left style="thin">
          <color indexed="64"/>
        </left>
        <right style="thin">
          <color indexed="64"/>
        </right>
        <top style="thin">
          <color indexed="64"/>
        </top>
        <bottom style="thin">
          <color indexed="64"/>
        </bottom>
      </border>
    </dxf>
    <dxf>
      <font>
        <color theme="0"/>
      </font>
      <fill>
        <patternFill>
          <bgColor theme="4"/>
        </patternFill>
      </fill>
      <border>
        <left style="thin">
          <color indexed="64"/>
        </left>
        <right style="thin">
          <color indexed="64"/>
        </right>
        <top style="thin">
          <color indexed="64"/>
        </top>
        <bottom style="thin">
          <color indexed="64"/>
        </bottom>
      </border>
    </dxf>
    <dxf>
      <font>
        <color theme="0"/>
      </font>
      <fill>
        <patternFill>
          <bgColor theme="4"/>
        </patternFill>
      </fill>
      <border>
        <left style="thin">
          <color indexed="64"/>
        </left>
        <right style="thin">
          <color indexed="64"/>
        </right>
        <top style="thin">
          <color indexed="64"/>
        </top>
        <bottom style="thin">
          <color indexed="64"/>
        </bottom>
      </border>
    </dxf>
    <dxf>
      <font>
        <color theme="0"/>
      </font>
      <fill>
        <patternFill>
          <bgColor theme="4"/>
        </patternFill>
      </fill>
      <border>
        <left style="thin">
          <color indexed="64"/>
        </left>
        <right style="thin">
          <color indexed="64"/>
        </right>
        <top style="thin">
          <color indexed="64"/>
        </top>
        <bottom style="thin">
          <color indexed="64"/>
        </bottom>
      </border>
    </dxf>
    <dxf>
      <font>
        <color theme="0"/>
      </font>
      <fill>
        <patternFill>
          <bgColor theme="4"/>
        </patternFill>
      </fill>
      <border>
        <left style="thin">
          <color indexed="64"/>
        </left>
        <right style="thin">
          <color indexed="64"/>
        </right>
        <top style="thin">
          <color indexed="64"/>
        </top>
        <bottom style="thin">
          <color indexed="64"/>
        </bottom>
      </border>
    </dxf>
    <dxf>
      <fill>
        <patternFill patternType="lightUp">
          <bgColor theme="0" tint="-0.24994659260841701"/>
        </patternFill>
      </fill>
    </dxf>
    <dxf>
      <fill>
        <patternFill patternType="lightUp">
          <bgColor theme="0" tint="-0.24994659260841701"/>
        </patternFill>
      </fill>
    </dxf>
    <dxf>
      <fill>
        <patternFill patternType="lightUp">
          <bgColor theme="0" tint="-0.24994659260841701"/>
        </patternFill>
      </fill>
    </dxf>
    <dxf>
      <border>
        <left style="thin">
          <color indexed="64"/>
        </left>
        <right style="thin">
          <color indexed="64"/>
        </right>
        <top style="thin">
          <color indexed="64"/>
        </top>
      </border>
    </dxf>
    <dxf>
      <fill>
        <patternFill patternType="lightUp">
          <bgColor theme="0" tint="-0.24994659260841701"/>
        </patternFill>
      </fill>
    </dxf>
    <dxf>
      <fill>
        <patternFill patternType="lightUp">
          <bgColor theme="0" tint="-0.24994659260841701"/>
        </patternFill>
      </fill>
    </dxf>
    <dxf>
      <fill>
        <patternFill patternType="lightUp">
          <bgColor theme="0" tint="-0.24994659260841701"/>
        </patternFill>
      </fill>
    </dxf>
    <dxf>
      <fill>
        <patternFill>
          <bgColor rgb="FFFFC000"/>
        </patternFill>
      </fill>
      <border>
        <left style="thin">
          <color auto="1"/>
        </left>
        <right style="thin">
          <color auto="1"/>
        </right>
        <top style="thin">
          <color auto="1"/>
        </top>
        <bottom style="thin">
          <color auto="1"/>
        </bottom>
        <vertical/>
        <horizontal/>
      </border>
    </dxf>
    <dxf>
      <font>
        <color theme="0"/>
      </font>
      <fill>
        <patternFill>
          <bgColor rgb="FFFF0000"/>
        </patternFill>
      </fill>
      <border>
        <left style="thin">
          <color auto="1"/>
        </left>
        <right style="thin">
          <color auto="1"/>
        </right>
        <top style="thin">
          <color auto="1"/>
        </top>
        <bottom style="thin">
          <color auto="1"/>
        </bottom>
        <vertical/>
        <horizontal/>
      </border>
    </dxf>
    <dxf>
      <font>
        <color theme="0"/>
      </font>
      <fill>
        <patternFill>
          <bgColor rgb="FFFF0000"/>
        </patternFill>
      </fill>
      <border>
        <left style="thin">
          <color auto="1"/>
        </left>
        <right style="thin">
          <color auto="1"/>
        </right>
        <top style="thin">
          <color auto="1"/>
        </top>
        <bottom style="thin">
          <color auto="1"/>
        </bottom>
        <vertical/>
        <horizontal/>
      </border>
    </dxf>
    <dxf>
      <fill>
        <patternFill patternType="lightUp">
          <bgColor theme="0" tint="-0.24994659260841701"/>
        </patternFill>
      </fill>
    </dxf>
    <dxf>
      <fill>
        <patternFill patternType="lightUp">
          <bgColor theme="0" tint="-0.24994659260841701"/>
        </patternFill>
      </fill>
    </dxf>
    <dxf>
      <fill>
        <patternFill patternType="lightUp">
          <bgColor theme="0" tint="-0.24994659260841701"/>
        </patternFill>
      </fill>
    </dxf>
    <dxf>
      <fill>
        <patternFill patternType="lightUp">
          <bgColor theme="0" tint="-0.24994659260841701"/>
        </patternFill>
      </fill>
    </dxf>
    <dxf>
      <fill>
        <patternFill patternType="lightUp">
          <bgColor theme="0" tint="-0.24994659260841701"/>
        </patternFill>
      </fill>
    </dxf>
    <dxf>
      <fill>
        <patternFill patternType="lightUp">
          <bgColor theme="0" tint="-0.24994659260841701"/>
        </patternFill>
      </fill>
    </dxf>
    <dxf>
      <fill>
        <patternFill patternType="lightUp">
          <bgColor theme="0" tint="-0.24994659260841701"/>
        </patternFill>
      </fill>
    </dxf>
    <dxf>
      <fill>
        <patternFill patternType="lightUp">
          <bgColor theme="0" tint="-0.24994659260841701"/>
        </patternFill>
      </fill>
    </dxf>
    <dxf>
      <fill>
        <patternFill patternType="lightUp">
          <bgColor theme="0" tint="-0.24994659260841701"/>
        </patternFill>
      </fill>
    </dxf>
    <dxf>
      <fill>
        <patternFill patternType="lightUp">
          <bgColor theme="0" tint="-0.24994659260841701"/>
        </patternFill>
      </fill>
    </dxf>
    <dxf>
      <fill>
        <patternFill patternType="lightUp">
          <bgColor theme="0" tint="-0.24994659260841701"/>
        </patternFill>
      </fill>
    </dxf>
    <dxf>
      <fill>
        <patternFill patternType="lightUp">
          <bgColor theme="0" tint="-0.24994659260841701"/>
        </patternFill>
      </fill>
    </dxf>
    <dxf>
      <fill>
        <patternFill patternType="lightUp">
          <bgColor theme="0" tint="-0.24994659260841701"/>
        </patternFill>
      </fill>
    </dxf>
    <dxf>
      <fill>
        <patternFill patternType="lightUp">
          <bgColor theme="0" tint="-0.24994659260841701"/>
        </patternFill>
      </fill>
    </dxf>
    <dxf>
      <fill>
        <patternFill patternType="lightUp">
          <bgColor theme="0" tint="-0.24994659260841701"/>
        </patternFill>
      </fill>
    </dxf>
    <dxf>
      <fill>
        <patternFill patternType="lightUp">
          <bgColor theme="0" tint="-0.24994659260841701"/>
        </patternFill>
      </fill>
    </dxf>
    <dxf>
      <fill>
        <patternFill patternType="lightUp">
          <bgColor theme="0" tint="-0.24994659260841701"/>
        </patternFill>
      </fill>
    </dxf>
    <dxf>
      <fill>
        <patternFill patternType="lightUp">
          <bgColor theme="0" tint="-0.24994659260841701"/>
        </patternFill>
      </fill>
    </dxf>
    <dxf>
      <fill>
        <patternFill patternType="lightUp">
          <bgColor theme="0" tint="-0.24994659260841701"/>
        </patternFill>
      </fill>
    </dxf>
    <dxf>
      <fill>
        <patternFill patternType="lightUp">
          <bgColor theme="0" tint="-0.24994659260841701"/>
        </patternFill>
      </fill>
    </dxf>
    <dxf>
      <fill>
        <patternFill patternType="lightUp">
          <bgColor theme="0" tint="-0.24994659260841701"/>
        </patternFill>
      </fill>
    </dxf>
    <dxf>
      <fill>
        <patternFill patternType="lightUp">
          <bgColor theme="0" tint="-0.24994659260841701"/>
        </patternFill>
      </fill>
    </dxf>
    <dxf>
      <fill>
        <patternFill patternType="lightUp">
          <bgColor theme="0" tint="-0.24994659260841701"/>
        </patternFill>
      </fill>
    </dxf>
    <dxf>
      <font>
        <color theme="0"/>
      </font>
      <fill>
        <patternFill>
          <bgColor theme="4"/>
        </patternFill>
      </fill>
      <border>
        <left style="thin">
          <color indexed="64"/>
        </left>
        <right style="thin">
          <color indexed="64"/>
        </right>
        <top style="thin">
          <color indexed="64"/>
        </top>
        <bottom style="thin">
          <color indexed="64"/>
        </bottom>
      </border>
    </dxf>
    <dxf>
      <font>
        <color theme="0"/>
      </font>
      <fill>
        <patternFill>
          <bgColor theme="4"/>
        </patternFill>
      </fill>
      <border>
        <left style="thin">
          <color indexed="64"/>
        </left>
        <right style="thin">
          <color indexed="64"/>
        </right>
        <top style="thin">
          <color indexed="64"/>
        </top>
        <bottom style="thin">
          <color indexed="64"/>
        </bottom>
      </border>
    </dxf>
    <dxf>
      <font>
        <color theme="0"/>
      </font>
      <fill>
        <patternFill>
          <bgColor theme="4"/>
        </patternFill>
      </fill>
      <border>
        <left style="thin">
          <color indexed="64"/>
        </left>
        <right style="thin">
          <color indexed="64"/>
        </right>
        <top style="thin">
          <color indexed="64"/>
        </top>
        <bottom style="thin">
          <color indexed="64"/>
        </bottom>
      </border>
    </dxf>
    <dxf>
      <font>
        <color theme="0"/>
      </font>
      <fill>
        <patternFill>
          <bgColor theme="4"/>
        </patternFill>
      </fill>
      <border>
        <left style="thin">
          <color indexed="64"/>
        </left>
        <right style="thin">
          <color indexed="64"/>
        </right>
        <top style="thin">
          <color indexed="64"/>
        </top>
        <bottom style="thin">
          <color indexed="64"/>
        </bottom>
      </border>
    </dxf>
    <dxf>
      <font>
        <color theme="0"/>
      </font>
      <fill>
        <patternFill>
          <bgColor theme="4"/>
        </patternFill>
      </fill>
      <border>
        <left style="thin">
          <color indexed="64"/>
        </left>
        <right style="thin">
          <color indexed="64"/>
        </right>
        <top style="thin">
          <color indexed="64"/>
        </top>
        <bottom style="thin">
          <color indexed="64"/>
        </bottom>
      </border>
    </dxf>
    <dxf>
      <font>
        <color theme="0"/>
      </font>
      <fill>
        <patternFill>
          <bgColor theme="4"/>
        </patternFill>
      </fill>
      <border>
        <left style="thin">
          <color indexed="64"/>
        </left>
        <right style="thin">
          <color indexed="64"/>
        </right>
        <top style="thin">
          <color indexed="64"/>
        </top>
        <bottom style="thin">
          <color indexed="64"/>
        </bottom>
      </border>
    </dxf>
    <dxf>
      <font>
        <color theme="0"/>
      </font>
      <fill>
        <patternFill>
          <bgColor theme="4"/>
        </patternFill>
      </fill>
      <border>
        <left style="thin">
          <color indexed="64"/>
        </left>
        <right style="thin">
          <color indexed="64"/>
        </right>
        <top style="thin">
          <color indexed="64"/>
        </top>
        <bottom style="thin">
          <color indexed="64"/>
        </bottom>
      </border>
    </dxf>
    <dxf>
      <font>
        <color theme="0"/>
      </font>
      <fill>
        <patternFill>
          <bgColor theme="4"/>
        </patternFill>
      </fill>
      <border>
        <left style="thin">
          <color indexed="64"/>
        </left>
        <right style="thin">
          <color indexed="64"/>
        </right>
        <top style="thin">
          <color indexed="64"/>
        </top>
        <bottom style="thin">
          <color indexed="64"/>
        </bottom>
      </border>
    </dxf>
    <dxf>
      <font>
        <color theme="0"/>
      </font>
      <fill>
        <patternFill>
          <bgColor theme="4"/>
        </patternFill>
      </fill>
      <border>
        <left style="thin">
          <color indexed="64"/>
        </left>
        <right style="thin">
          <color indexed="64"/>
        </right>
        <top style="thin">
          <color indexed="64"/>
        </top>
        <bottom style="thin">
          <color indexed="64"/>
        </bottom>
      </border>
    </dxf>
    <dxf>
      <font>
        <color theme="0"/>
      </font>
      <fill>
        <patternFill>
          <bgColor theme="4"/>
        </patternFill>
      </fill>
      <border>
        <left style="thin">
          <color indexed="64"/>
        </left>
        <right style="thin">
          <color indexed="64"/>
        </right>
        <top style="thin">
          <color indexed="64"/>
        </top>
        <bottom style="thin">
          <color indexed="64"/>
        </bottom>
      </border>
    </dxf>
    <dxf>
      <font>
        <color theme="0"/>
      </font>
      <fill>
        <patternFill>
          <bgColor theme="4"/>
        </patternFill>
      </fill>
      <border>
        <left style="thin">
          <color indexed="64"/>
        </left>
        <right style="thin">
          <color indexed="64"/>
        </right>
        <top style="thin">
          <color indexed="64"/>
        </top>
        <bottom style="thin">
          <color indexed="64"/>
        </bottom>
      </border>
    </dxf>
    <dxf>
      <font>
        <color theme="0"/>
      </font>
      <fill>
        <patternFill>
          <bgColor theme="4"/>
        </patternFill>
      </fill>
      <border>
        <left style="thin">
          <color indexed="64"/>
        </left>
        <right style="thin">
          <color indexed="64"/>
        </right>
        <top style="thin">
          <color indexed="64"/>
        </top>
        <bottom style="thin">
          <color indexed="64"/>
        </bottom>
      </border>
    </dxf>
    <dxf>
      <font>
        <color theme="0"/>
      </font>
      <fill>
        <patternFill>
          <bgColor theme="4"/>
        </patternFill>
      </fill>
      <border>
        <left style="thin">
          <color indexed="64"/>
        </left>
        <right style="thin">
          <color indexed="64"/>
        </right>
        <top style="thin">
          <color indexed="64"/>
        </top>
        <bottom style="thin">
          <color indexed="64"/>
        </bottom>
      </border>
    </dxf>
    <dxf>
      <font>
        <color theme="0"/>
      </font>
      <fill>
        <patternFill>
          <bgColor theme="4"/>
        </patternFill>
      </fill>
      <border>
        <left style="thin">
          <color indexed="64"/>
        </left>
        <right style="thin">
          <color indexed="64"/>
        </right>
        <top style="thin">
          <color indexed="64"/>
        </top>
        <bottom style="thin">
          <color indexed="64"/>
        </bottom>
      </border>
    </dxf>
    <dxf>
      <font>
        <color theme="0"/>
      </font>
      <fill>
        <patternFill>
          <bgColor theme="4"/>
        </patternFill>
      </fill>
      <border>
        <left style="thin">
          <color indexed="64"/>
        </left>
        <right style="thin">
          <color indexed="64"/>
        </right>
        <top style="thin">
          <color indexed="64"/>
        </top>
        <bottom style="thin">
          <color indexed="64"/>
        </bottom>
      </border>
    </dxf>
    <dxf>
      <font>
        <color theme="0"/>
      </font>
      <fill>
        <patternFill>
          <bgColor theme="4"/>
        </patternFill>
      </fill>
      <border>
        <left style="thin">
          <color indexed="64"/>
        </left>
        <right style="thin">
          <color indexed="64"/>
        </right>
        <top style="thin">
          <color indexed="64"/>
        </top>
        <bottom style="thin">
          <color indexed="64"/>
        </bottom>
      </border>
    </dxf>
    <dxf>
      <font>
        <color theme="0"/>
      </font>
      <fill>
        <patternFill>
          <bgColor theme="4"/>
        </patternFill>
      </fill>
      <border>
        <left style="thin">
          <color indexed="64"/>
        </left>
        <right style="thin">
          <color indexed="64"/>
        </right>
        <top style="thin">
          <color indexed="64"/>
        </top>
        <bottom style="thin">
          <color indexed="64"/>
        </bottom>
      </border>
    </dxf>
    <dxf>
      <font>
        <color theme="0"/>
      </font>
      <fill>
        <patternFill>
          <bgColor theme="4"/>
        </patternFill>
      </fill>
      <border>
        <left style="thin">
          <color indexed="64"/>
        </left>
        <right style="thin">
          <color indexed="64"/>
        </right>
        <top style="thin">
          <color indexed="64"/>
        </top>
        <bottom style="thin">
          <color indexed="64"/>
        </bottom>
      </border>
    </dxf>
    <dxf>
      <font>
        <color theme="0"/>
      </font>
      <fill>
        <patternFill>
          <bgColor theme="4"/>
        </patternFill>
      </fill>
      <border>
        <left style="thin">
          <color indexed="64"/>
        </left>
        <right style="thin">
          <color indexed="64"/>
        </right>
        <top style="thin">
          <color indexed="64"/>
        </top>
        <bottom style="thin">
          <color indexed="64"/>
        </bottom>
      </border>
    </dxf>
    <dxf>
      <font>
        <color theme="0"/>
      </font>
      <fill>
        <patternFill>
          <bgColor theme="4"/>
        </patternFill>
      </fill>
      <border>
        <left style="thin">
          <color indexed="64"/>
        </left>
        <right style="thin">
          <color indexed="64"/>
        </right>
        <top style="thin">
          <color indexed="64"/>
        </top>
        <bottom style="thin">
          <color indexed="64"/>
        </bottom>
      </border>
    </dxf>
    <dxf>
      <fill>
        <patternFill patternType="lightUp">
          <bgColor theme="0" tint="-0.24994659260841701"/>
        </patternFill>
      </fill>
    </dxf>
    <dxf>
      <fill>
        <patternFill patternType="lightUp">
          <bgColor theme="0" tint="-0.24994659260841701"/>
        </patternFill>
      </fill>
    </dxf>
    <dxf>
      <fill>
        <patternFill patternType="lightUp">
          <bgColor theme="0" tint="-0.24994659260841701"/>
        </patternFill>
      </fill>
    </dxf>
    <dxf>
      <border>
        <left style="thin">
          <color indexed="64"/>
        </left>
        <right style="thin">
          <color indexed="64"/>
        </right>
        <top style="thin">
          <color indexed="64"/>
        </top>
      </border>
    </dxf>
    <dxf>
      <fill>
        <patternFill patternType="lightUp">
          <bgColor theme="0" tint="-0.24994659260841701"/>
        </patternFill>
      </fill>
    </dxf>
    <dxf>
      <font>
        <color theme="0"/>
      </font>
      <fill>
        <patternFill>
          <bgColor theme="4"/>
        </patternFill>
      </fill>
      <border>
        <left style="thin">
          <color indexed="64"/>
        </left>
        <right style="thin">
          <color indexed="64"/>
        </right>
        <top style="thin">
          <color indexed="64"/>
        </top>
        <bottom style="thin">
          <color indexed="64"/>
        </bottom>
      </border>
    </dxf>
    <dxf>
      <font>
        <color theme="0"/>
      </font>
      <fill>
        <patternFill>
          <bgColor theme="4"/>
        </patternFill>
      </fill>
      <border>
        <left style="thin">
          <color indexed="64"/>
        </left>
        <right style="thin">
          <color indexed="64"/>
        </right>
        <top style="thin">
          <color indexed="64"/>
        </top>
        <bottom style="thin">
          <color indexed="64"/>
        </bottom>
      </border>
    </dxf>
    <dxf>
      <font>
        <color theme="0"/>
      </font>
      <fill>
        <patternFill>
          <bgColor theme="4"/>
        </patternFill>
      </fill>
      <border>
        <left style="thin">
          <color indexed="64"/>
        </left>
        <right style="thin">
          <color indexed="64"/>
        </right>
        <top style="thin">
          <color indexed="64"/>
        </top>
        <bottom style="thin">
          <color indexed="64"/>
        </bottom>
      </border>
    </dxf>
    <dxf>
      <font>
        <color theme="0"/>
      </font>
      <fill>
        <patternFill>
          <bgColor theme="4"/>
        </patternFill>
      </fill>
      <border>
        <left style="thin">
          <color indexed="64"/>
        </left>
        <right style="thin">
          <color indexed="64"/>
        </right>
        <top style="thin">
          <color indexed="64"/>
        </top>
        <bottom style="thin">
          <color indexed="64"/>
        </bottom>
      </border>
    </dxf>
    <dxf>
      <font>
        <color theme="0"/>
      </font>
      <fill>
        <patternFill>
          <bgColor theme="4"/>
        </patternFill>
      </fill>
      <border>
        <left style="thin">
          <color indexed="64"/>
        </left>
        <right style="thin">
          <color indexed="64"/>
        </right>
        <top style="thin">
          <color indexed="64"/>
        </top>
        <bottom style="thin">
          <color indexed="64"/>
        </bottom>
      </border>
    </dxf>
    <dxf>
      <font>
        <color theme="0"/>
      </font>
      <fill>
        <patternFill>
          <bgColor theme="4"/>
        </patternFill>
      </fill>
      <border>
        <left style="thin">
          <color indexed="64"/>
        </left>
        <right style="thin">
          <color indexed="64"/>
        </right>
        <top style="thin">
          <color indexed="64"/>
        </top>
        <bottom style="thin">
          <color indexed="64"/>
        </bottom>
      </border>
    </dxf>
    <dxf>
      <font>
        <color theme="0"/>
      </font>
      <fill>
        <patternFill>
          <bgColor theme="4"/>
        </patternFill>
      </fill>
      <border>
        <left style="thin">
          <color indexed="64"/>
        </left>
        <right style="thin">
          <color indexed="64"/>
        </right>
        <top style="thin">
          <color indexed="64"/>
        </top>
        <bottom style="thin">
          <color indexed="64"/>
        </bottom>
      </border>
    </dxf>
    <dxf>
      <font>
        <color theme="0"/>
      </font>
      <fill>
        <patternFill>
          <bgColor theme="4"/>
        </patternFill>
      </fill>
      <border>
        <left style="thin">
          <color indexed="64"/>
        </left>
        <right style="thin">
          <color indexed="64"/>
        </right>
        <top style="thin">
          <color indexed="64"/>
        </top>
        <bottom style="thin">
          <color indexed="64"/>
        </bottom>
      </border>
    </dxf>
    <dxf>
      <font>
        <color theme="0"/>
      </font>
      <fill>
        <patternFill>
          <bgColor theme="4"/>
        </patternFill>
      </fill>
      <border>
        <left style="thin">
          <color indexed="64"/>
        </left>
        <right style="thin">
          <color indexed="64"/>
        </right>
        <top style="thin">
          <color indexed="64"/>
        </top>
        <bottom style="thin">
          <color indexed="64"/>
        </bottom>
      </border>
    </dxf>
    <dxf>
      <font>
        <color theme="0"/>
      </font>
      <fill>
        <patternFill>
          <bgColor theme="4"/>
        </patternFill>
      </fill>
      <border>
        <left style="thin">
          <color indexed="64"/>
        </left>
        <right style="thin">
          <color indexed="64"/>
        </right>
        <top style="thin">
          <color indexed="64"/>
        </top>
        <bottom style="thin">
          <color indexed="64"/>
        </bottom>
      </border>
    </dxf>
    <dxf>
      <font>
        <color theme="0"/>
      </font>
      <fill>
        <patternFill>
          <bgColor theme="4"/>
        </patternFill>
      </fill>
      <border>
        <left style="thin">
          <color indexed="64"/>
        </left>
        <right style="thin">
          <color indexed="64"/>
        </right>
        <top style="thin">
          <color indexed="64"/>
        </top>
        <bottom style="thin">
          <color indexed="64"/>
        </bottom>
      </border>
    </dxf>
    <dxf>
      <font>
        <color theme="0"/>
      </font>
      <fill>
        <patternFill>
          <bgColor theme="4"/>
        </patternFill>
      </fill>
      <border>
        <left style="thin">
          <color indexed="64"/>
        </left>
        <right style="thin">
          <color indexed="64"/>
        </right>
        <top style="thin">
          <color indexed="64"/>
        </top>
        <bottom style="thin">
          <color indexed="64"/>
        </bottom>
      </border>
    </dxf>
    <dxf>
      <font>
        <color theme="0"/>
      </font>
      <fill>
        <patternFill>
          <bgColor theme="4"/>
        </patternFill>
      </fill>
      <border>
        <left style="thin">
          <color indexed="64"/>
        </left>
        <right style="thin">
          <color indexed="64"/>
        </right>
        <top style="thin">
          <color indexed="64"/>
        </top>
        <bottom style="thin">
          <color indexed="64"/>
        </bottom>
      </border>
    </dxf>
    <dxf>
      <font>
        <color theme="0"/>
      </font>
      <fill>
        <patternFill>
          <bgColor theme="4"/>
        </patternFill>
      </fill>
      <border>
        <left style="thin">
          <color indexed="64"/>
        </left>
        <right style="thin">
          <color indexed="64"/>
        </right>
        <top style="thin">
          <color indexed="64"/>
        </top>
        <bottom style="thin">
          <color indexed="64"/>
        </bottom>
      </border>
    </dxf>
    <dxf>
      <font>
        <color theme="0"/>
      </font>
      <fill>
        <patternFill>
          <bgColor theme="4"/>
        </patternFill>
      </fill>
      <border>
        <left style="thin">
          <color indexed="64"/>
        </left>
        <right style="thin">
          <color indexed="64"/>
        </right>
        <top style="thin">
          <color indexed="64"/>
        </top>
        <bottom style="thin">
          <color indexed="64"/>
        </bottom>
      </border>
    </dxf>
    <dxf>
      <font>
        <color theme="0"/>
      </font>
      <fill>
        <patternFill>
          <bgColor theme="4"/>
        </patternFill>
      </fill>
      <border>
        <left style="thin">
          <color indexed="64"/>
        </left>
        <right style="thin">
          <color indexed="64"/>
        </right>
        <top style="thin">
          <color indexed="64"/>
        </top>
        <bottom style="thin">
          <color indexed="64"/>
        </bottom>
      </border>
    </dxf>
    <dxf>
      <font>
        <color theme="0"/>
      </font>
      <fill>
        <patternFill>
          <bgColor theme="4"/>
        </patternFill>
      </fill>
      <border>
        <left style="thin">
          <color indexed="64"/>
        </left>
        <right style="thin">
          <color indexed="64"/>
        </right>
        <top style="thin">
          <color indexed="64"/>
        </top>
        <bottom style="thin">
          <color indexed="64"/>
        </bottom>
      </border>
    </dxf>
    <dxf>
      <font>
        <color theme="0"/>
      </font>
      <fill>
        <patternFill>
          <bgColor theme="4"/>
        </patternFill>
      </fill>
      <border>
        <left style="thin">
          <color indexed="64"/>
        </left>
        <right style="thin">
          <color indexed="64"/>
        </right>
        <top style="thin">
          <color indexed="64"/>
        </top>
        <bottom style="thin">
          <color indexed="64"/>
        </bottom>
      </border>
    </dxf>
    <dxf>
      <font>
        <color theme="0"/>
      </font>
      <fill>
        <patternFill>
          <bgColor theme="4"/>
        </patternFill>
      </fill>
      <border>
        <left style="thin">
          <color indexed="64"/>
        </left>
        <right style="thin">
          <color indexed="64"/>
        </right>
        <top style="thin">
          <color indexed="64"/>
        </top>
        <bottom style="thin">
          <color indexed="64"/>
        </bottom>
      </border>
    </dxf>
    <dxf>
      <font>
        <color theme="0"/>
      </font>
      <fill>
        <patternFill>
          <bgColor theme="4"/>
        </patternFill>
      </fill>
      <border>
        <left style="thin">
          <color indexed="64"/>
        </left>
        <right style="thin">
          <color indexed="64"/>
        </right>
        <top style="thin">
          <color indexed="64"/>
        </top>
        <bottom style="thin">
          <color indexed="64"/>
        </bottom>
      </border>
    </dxf>
    <dxf>
      <fill>
        <patternFill patternType="lightUp">
          <bgColor theme="0" tint="-0.24994659260841701"/>
        </patternFill>
      </fill>
    </dxf>
    <dxf>
      <fill>
        <patternFill patternType="lightUp">
          <bgColor theme="0" tint="-0.24994659260841701"/>
        </patternFill>
      </fill>
    </dxf>
    <dxf>
      <border>
        <left style="thin">
          <color indexed="64"/>
        </left>
        <right style="thin">
          <color indexed="64"/>
        </right>
        <top style="thin">
          <color indexed="64"/>
        </top>
      </border>
    </dxf>
    <dxf>
      <fill>
        <patternFill patternType="lightUp">
          <bgColor theme="0" tint="-0.24994659260841701"/>
        </patternFill>
      </fill>
    </dxf>
    <dxf>
      <font>
        <color theme="0"/>
      </font>
      <fill>
        <patternFill>
          <bgColor rgb="FFFF0000"/>
        </patternFill>
      </fill>
      <border>
        <left style="thin">
          <color auto="1"/>
        </left>
        <right style="thin">
          <color auto="1"/>
        </right>
        <top style="thin">
          <color auto="1"/>
        </top>
        <bottom style="thin">
          <color auto="1"/>
        </bottom>
        <vertical/>
        <horizontal/>
      </border>
    </dxf>
    <dxf>
      <font>
        <color theme="0"/>
      </font>
      <fill>
        <patternFill>
          <bgColor theme="4"/>
        </patternFill>
      </fill>
      <border>
        <left style="thin">
          <color auto="1"/>
        </left>
        <right style="thin">
          <color auto="1"/>
        </right>
        <top style="thin">
          <color auto="1"/>
        </top>
        <bottom style="thin">
          <color auto="1"/>
        </bottom>
        <vertical/>
        <horizontal/>
      </border>
    </dxf>
    <dxf>
      <font>
        <color theme="0"/>
      </font>
      <fill>
        <patternFill>
          <bgColor rgb="FFFF0000"/>
        </patternFill>
      </fill>
      <border>
        <left style="thin">
          <color auto="1"/>
        </left>
        <right style="thin">
          <color auto="1"/>
        </right>
        <top style="thin">
          <color auto="1"/>
        </top>
        <bottom style="thin">
          <color auto="1"/>
        </bottom>
        <vertical/>
        <horizontal/>
      </border>
    </dxf>
    <dxf>
      <fill>
        <patternFill patternType="lightUp">
          <bgColor theme="0" tint="-0.24994659260841701"/>
        </patternFill>
      </fill>
    </dxf>
    <dxf>
      <fill>
        <patternFill patternType="lightUp">
          <bgColor theme="0" tint="-0.24994659260841701"/>
        </patternFill>
      </fill>
    </dxf>
    <dxf>
      <fill>
        <patternFill patternType="lightUp">
          <bgColor theme="0" tint="-0.24994659260841701"/>
        </patternFill>
      </fill>
    </dxf>
    <dxf>
      <fill>
        <patternFill patternType="lightUp">
          <bgColor theme="0" tint="-0.24994659260841701"/>
        </patternFill>
      </fill>
    </dxf>
    <dxf>
      <fill>
        <patternFill>
          <bgColor rgb="FFFFC7CE"/>
        </patternFill>
      </fill>
    </dxf>
    <dxf>
      <fill>
        <patternFill patternType="lightUp">
          <bgColor theme="0" tint="-0.24994659260841701"/>
        </patternFill>
      </fill>
    </dxf>
    <dxf>
      <fill>
        <patternFill patternType="lightUp">
          <bgColor theme="0" tint="-0.24994659260841701"/>
        </patternFill>
      </fill>
    </dxf>
    <dxf>
      <fill>
        <patternFill>
          <bgColor rgb="FFFFC7CE"/>
        </patternFill>
      </fill>
    </dxf>
    <dxf>
      <fill>
        <patternFill>
          <bgColor rgb="FFFF0000"/>
        </patternFill>
      </fill>
    </dxf>
    <dxf>
      <fill>
        <patternFill patternType="lightUp">
          <bgColor theme="0" tint="-0.24994659260841701"/>
        </patternFill>
      </fill>
    </dxf>
    <dxf>
      <fill>
        <patternFill>
          <bgColor rgb="FFFF0000"/>
        </patternFill>
      </fill>
    </dxf>
    <dxf>
      <fill>
        <patternFill patternType="lightUp">
          <bgColor theme="0" tint="-0.24994659260841701"/>
        </patternFill>
      </fill>
    </dxf>
    <dxf>
      <fill>
        <patternFill>
          <bgColor rgb="FFFF0000"/>
        </patternFill>
      </fill>
    </dxf>
    <dxf>
      <fill>
        <patternFill patternType="lightUp">
          <bgColor theme="0" tint="-0.24994659260841701"/>
        </patternFill>
      </fill>
    </dxf>
    <dxf>
      <fill>
        <patternFill>
          <bgColor rgb="FFFF0000"/>
        </patternFill>
      </fill>
    </dxf>
    <dxf>
      <fill>
        <patternFill patternType="lightUp">
          <bgColor theme="0" tint="-0.24994659260841701"/>
        </patternFill>
      </fill>
    </dxf>
    <dxf>
      <fill>
        <patternFill>
          <bgColor rgb="FFFF0000"/>
        </patternFill>
      </fill>
    </dxf>
    <dxf>
      <fill>
        <patternFill patternType="lightUp">
          <bgColor theme="0" tint="-0.24994659260841701"/>
        </patternFill>
      </fill>
    </dxf>
    <dxf>
      <fill>
        <patternFill patternType="lightUp">
          <bgColor theme="0" tint="-0.24994659260841701"/>
        </patternFill>
      </fill>
    </dxf>
    <dxf>
      <fill>
        <patternFill patternType="lightUp">
          <bgColor theme="0" tint="-0.24994659260841701"/>
        </patternFill>
      </fill>
    </dxf>
    <dxf>
      <fill>
        <patternFill patternType="lightUp">
          <bgColor theme="0" tint="-0.24994659260841701"/>
        </patternFill>
      </fill>
    </dxf>
    <dxf>
      <fill>
        <patternFill patternType="lightUp">
          <bgColor theme="0" tint="-0.24994659260841701"/>
        </patternFill>
      </fill>
    </dxf>
    <dxf>
      <fill>
        <patternFill patternType="lightUp">
          <bgColor theme="0" tint="-0.24994659260841701"/>
        </patternFill>
      </fill>
    </dxf>
    <dxf>
      <fill>
        <patternFill patternType="lightUp">
          <bgColor theme="0" tint="-0.24994659260841701"/>
        </patternFill>
      </fill>
    </dxf>
    <dxf>
      <fill>
        <patternFill patternType="lightUp">
          <bgColor theme="0" tint="-0.24994659260841701"/>
        </patternFill>
      </fill>
    </dxf>
    <dxf>
      <fill>
        <patternFill patternType="lightUp">
          <bgColor theme="0" tint="-0.24994659260841701"/>
        </patternFill>
      </fill>
    </dxf>
    <dxf>
      <fill>
        <patternFill patternType="lightUp">
          <bgColor theme="0" tint="-0.24994659260841701"/>
        </patternFill>
      </fill>
    </dxf>
    <dxf>
      <fill>
        <patternFill patternType="lightUp">
          <bgColor theme="0" tint="-0.24994659260841701"/>
        </patternFill>
      </fill>
    </dxf>
    <dxf>
      <fill>
        <patternFill patternType="lightUp">
          <bgColor theme="0" tint="-0.24994659260841701"/>
        </patternFill>
      </fill>
    </dxf>
    <dxf>
      <fill>
        <patternFill patternType="lightUp">
          <bgColor theme="0" tint="-0.24994659260841701"/>
        </patternFill>
      </fill>
    </dxf>
    <dxf>
      <fill>
        <patternFill patternType="lightUp">
          <bgColor theme="0" tint="-0.24994659260841701"/>
        </patternFill>
      </fill>
    </dxf>
    <dxf>
      <fill>
        <patternFill patternType="lightUp">
          <bgColor theme="0" tint="-0.24994659260841701"/>
        </patternFill>
      </fill>
    </dxf>
    <dxf>
      <fill>
        <patternFill patternType="lightUp">
          <bgColor theme="0" tint="-0.24994659260841701"/>
        </patternFill>
      </fill>
    </dxf>
    <dxf>
      <fill>
        <patternFill patternType="lightUp">
          <bgColor theme="0" tint="-0.24994659260841701"/>
        </patternFill>
      </fill>
    </dxf>
    <dxf>
      <fill>
        <patternFill patternType="lightUp">
          <bgColor theme="0" tint="-0.24994659260841701"/>
        </patternFill>
      </fill>
    </dxf>
    <dxf>
      <fill>
        <patternFill patternType="lightUp">
          <bgColor theme="0" tint="-0.24994659260841701"/>
        </patternFill>
      </fill>
    </dxf>
    <dxf>
      <fill>
        <patternFill patternType="lightUp">
          <bgColor theme="0" tint="-0.24994659260841701"/>
        </patternFill>
      </fill>
    </dxf>
    <dxf>
      <fill>
        <patternFill patternType="lightUp">
          <bgColor theme="0" tint="-0.24994659260841701"/>
        </patternFill>
      </fill>
    </dxf>
    <dxf>
      <fill>
        <patternFill patternType="lightUp">
          <bgColor theme="0" tint="-0.24994659260841701"/>
        </patternFill>
      </fill>
    </dxf>
    <dxf>
      <fill>
        <patternFill patternType="lightUp">
          <bgColor theme="0" tint="-0.24994659260841701"/>
        </patternFill>
      </fill>
    </dxf>
    <dxf>
      <fill>
        <patternFill patternType="lightUp">
          <bgColor theme="0" tint="-0.24994659260841701"/>
        </patternFill>
      </fill>
    </dxf>
    <dxf>
      <fill>
        <patternFill patternType="lightUp">
          <bgColor theme="0" tint="-0.24994659260841701"/>
        </patternFill>
      </fill>
    </dxf>
    <dxf>
      <fill>
        <patternFill patternType="lightUp">
          <bgColor theme="0" tint="-0.24994659260841701"/>
        </patternFill>
      </fill>
    </dxf>
    <dxf>
      <font>
        <color theme="0"/>
      </font>
      <fill>
        <patternFill>
          <bgColor theme="4"/>
        </patternFill>
      </fill>
      <border>
        <left style="thin">
          <color auto="1"/>
        </left>
        <right style="thin">
          <color auto="1"/>
        </right>
        <top style="thin">
          <color auto="1"/>
        </top>
        <bottom style="thin">
          <color auto="1"/>
        </bottom>
        <vertical/>
        <horizontal/>
      </border>
    </dxf>
    <dxf>
      <font>
        <color theme="0"/>
      </font>
      <fill>
        <patternFill>
          <bgColor theme="4"/>
        </patternFill>
      </fill>
      <border>
        <left style="thin">
          <color auto="1"/>
        </left>
        <right style="thin">
          <color auto="1"/>
        </right>
        <top style="thin">
          <color auto="1"/>
        </top>
        <bottom style="thin">
          <color auto="1"/>
        </bottom>
        <vertical/>
        <horizontal/>
      </border>
    </dxf>
    <dxf>
      <font>
        <color theme="0"/>
      </font>
      <fill>
        <patternFill>
          <bgColor theme="4"/>
        </patternFill>
      </fill>
      <border>
        <left style="thin">
          <color auto="1"/>
        </left>
        <right style="thin">
          <color auto="1"/>
        </right>
        <top style="thin">
          <color auto="1"/>
        </top>
        <bottom style="thin">
          <color auto="1"/>
        </bottom>
        <vertical/>
        <horizontal/>
      </border>
    </dxf>
    <dxf>
      <font>
        <color theme="0"/>
      </font>
      <fill>
        <patternFill>
          <bgColor theme="4"/>
        </patternFill>
      </fill>
      <border>
        <left style="thin">
          <color auto="1"/>
        </left>
        <right style="thin">
          <color auto="1"/>
        </right>
        <top style="thin">
          <color auto="1"/>
        </top>
        <bottom style="thin">
          <color auto="1"/>
        </bottom>
        <vertical/>
        <horizontal/>
      </border>
    </dxf>
    <dxf>
      <font>
        <color theme="0"/>
      </font>
      <fill>
        <patternFill>
          <bgColor theme="4"/>
        </patternFill>
      </fill>
      <border>
        <left style="thin">
          <color auto="1"/>
        </left>
        <right style="thin">
          <color auto="1"/>
        </right>
        <top style="thin">
          <color auto="1"/>
        </top>
        <bottom style="thin">
          <color auto="1"/>
        </bottom>
        <vertical/>
        <horizontal/>
      </border>
    </dxf>
    <dxf>
      <font>
        <color theme="0"/>
      </font>
      <fill>
        <patternFill>
          <bgColor theme="4"/>
        </patternFill>
      </fill>
      <border>
        <left style="thin">
          <color auto="1"/>
        </left>
        <right style="thin">
          <color auto="1"/>
        </right>
        <top style="thin">
          <color auto="1"/>
        </top>
        <bottom style="thin">
          <color auto="1"/>
        </bottom>
        <vertical/>
        <horizontal/>
      </border>
    </dxf>
    <dxf>
      <font>
        <color theme="0"/>
      </font>
      <fill>
        <patternFill>
          <bgColor theme="4"/>
        </patternFill>
      </fill>
      <border>
        <left style="thin">
          <color auto="1"/>
        </left>
        <right style="thin">
          <color auto="1"/>
        </right>
        <top style="thin">
          <color auto="1"/>
        </top>
        <bottom style="thin">
          <color auto="1"/>
        </bottom>
        <vertical/>
        <horizontal/>
      </border>
    </dxf>
    <dxf>
      <font>
        <color theme="0"/>
      </font>
      <fill>
        <patternFill>
          <bgColor theme="4"/>
        </patternFill>
      </fill>
      <border>
        <left style="thin">
          <color auto="1"/>
        </left>
        <right style="thin">
          <color auto="1"/>
        </right>
        <top style="thin">
          <color auto="1"/>
        </top>
        <bottom style="thin">
          <color auto="1"/>
        </bottom>
        <vertical/>
        <horizontal/>
      </border>
    </dxf>
    <dxf>
      <font>
        <color theme="0"/>
      </font>
      <fill>
        <patternFill>
          <bgColor theme="4"/>
        </patternFill>
      </fill>
      <border>
        <left style="thin">
          <color auto="1"/>
        </left>
        <right style="thin">
          <color auto="1"/>
        </right>
        <top style="thin">
          <color auto="1"/>
        </top>
        <bottom style="thin">
          <color auto="1"/>
        </bottom>
        <vertical/>
        <horizontal/>
      </border>
    </dxf>
    <dxf>
      <font>
        <color theme="0"/>
      </font>
      <fill>
        <patternFill>
          <bgColor theme="4"/>
        </patternFill>
      </fill>
      <border>
        <left style="thin">
          <color auto="1"/>
        </left>
        <right style="thin">
          <color auto="1"/>
        </right>
        <top style="thin">
          <color auto="1"/>
        </top>
        <bottom style="thin">
          <color auto="1"/>
        </bottom>
        <vertical/>
        <horizontal/>
      </border>
    </dxf>
    <dxf>
      <font>
        <color theme="0"/>
      </font>
      <fill>
        <patternFill>
          <bgColor theme="4"/>
        </patternFill>
      </fill>
      <border>
        <left style="thin">
          <color auto="1"/>
        </left>
        <right style="thin">
          <color auto="1"/>
        </right>
        <top style="thin">
          <color auto="1"/>
        </top>
        <bottom style="thin">
          <color auto="1"/>
        </bottom>
        <vertical/>
        <horizontal/>
      </border>
    </dxf>
    <dxf>
      <font>
        <color theme="0"/>
      </font>
      <fill>
        <patternFill>
          <bgColor theme="4"/>
        </patternFill>
      </fill>
      <border>
        <left style="thin">
          <color auto="1"/>
        </left>
        <right style="thin">
          <color auto="1"/>
        </right>
        <top style="thin">
          <color auto="1"/>
        </top>
        <bottom style="thin">
          <color auto="1"/>
        </bottom>
        <vertical/>
        <horizontal/>
      </border>
    </dxf>
    <dxf>
      <font>
        <color theme="0"/>
      </font>
      <fill>
        <patternFill>
          <bgColor theme="4"/>
        </patternFill>
      </fill>
      <border>
        <left style="thin">
          <color auto="1"/>
        </left>
        <right style="thin">
          <color auto="1"/>
        </right>
        <top style="thin">
          <color auto="1"/>
        </top>
        <bottom style="thin">
          <color auto="1"/>
        </bottom>
        <vertical/>
        <horizontal/>
      </border>
    </dxf>
    <dxf>
      <font>
        <color theme="0"/>
      </font>
      <fill>
        <patternFill>
          <bgColor theme="4"/>
        </patternFill>
      </fill>
      <border>
        <left style="thin">
          <color auto="1"/>
        </left>
        <right style="thin">
          <color auto="1"/>
        </right>
        <top style="thin">
          <color auto="1"/>
        </top>
        <bottom style="thin">
          <color auto="1"/>
        </bottom>
        <vertical/>
        <horizontal/>
      </border>
    </dxf>
    <dxf>
      <font>
        <color theme="0"/>
      </font>
      <fill>
        <patternFill>
          <bgColor theme="4"/>
        </patternFill>
      </fill>
      <border>
        <left style="thin">
          <color auto="1"/>
        </left>
        <right style="thin">
          <color auto="1"/>
        </right>
        <top style="thin">
          <color auto="1"/>
        </top>
        <bottom style="thin">
          <color auto="1"/>
        </bottom>
        <vertical/>
        <horizontal/>
      </border>
    </dxf>
    <dxf>
      <font>
        <color theme="0"/>
      </font>
      <fill>
        <patternFill>
          <bgColor theme="4"/>
        </patternFill>
      </fill>
      <border>
        <left style="thin">
          <color auto="1"/>
        </left>
        <right style="thin">
          <color auto="1"/>
        </right>
        <top style="thin">
          <color auto="1"/>
        </top>
        <bottom style="thin">
          <color auto="1"/>
        </bottom>
        <vertical/>
        <horizontal/>
      </border>
    </dxf>
    <dxf>
      <font>
        <color theme="0"/>
      </font>
      <fill>
        <patternFill>
          <bgColor theme="4"/>
        </patternFill>
      </fill>
      <border>
        <left style="thin">
          <color auto="1"/>
        </left>
        <right style="thin">
          <color auto="1"/>
        </right>
        <top style="thin">
          <color auto="1"/>
        </top>
        <bottom style="thin">
          <color auto="1"/>
        </bottom>
        <vertical/>
        <horizontal/>
      </border>
    </dxf>
    <dxf>
      <font>
        <color theme="0"/>
      </font>
      <fill>
        <patternFill>
          <bgColor theme="4"/>
        </patternFill>
      </fill>
      <border>
        <left style="thin">
          <color auto="1"/>
        </left>
        <right style="thin">
          <color auto="1"/>
        </right>
        <top style="thin">
          <color auto="1"/>
        </top>
        <bottom style="thin">
          <color auto="1"/>
        </bottom>
        <vertical/>
        <horizontal/>
      </border>
    </dxf>
    <dxf>
      <font>
        <color theme="0"/>
      </font>
      <fill>
        <patternFill>
          <bgColor theme="4"/>
        </patternFill>
      </fill>
      <border>
        <left style="thin">
          <color auto="1"/>
        </left>
        <right style="thin">
          <color auto="1"/>
        </right>
        <top style="thin">
          <color auto="1"/>
        </top>
        <bottom style="thin">
          <color auto="1"/>
        </bottom>
        <vertical/>
        <horizontal/>
      </border>
    </dxf>
    <dxf>
      <font>
        <color theme="0"/>
      </font>
      <fill>
        <patternFill>
          <bgColor theme="4"/>
        </patternFill>
      </fill>
      <border>
        <left style="thin">
          <color auto="1"/>
        </left>
        <right style="thin">
          <color auto="1"/>
        </right>
        <top style="thin">
          <color auto="1"/>
        </top>
        <bottom style="thin">
          <color auto="1"/>
        </bottom>
        <vertical/>
        <horizontal/>
      </border>
    </dxf>
    <dxf>
      <font>
        <color theme="0"/>
      </font>
      <fill>
        <patternFill>
          <bgColor theme="4"/>
        </patternFill>
      </fill>
      <border>
        <left style="thin">
          <color auto="1"/>
        </left>
        <right style="thin">
          <color auto="1"/>
        </right>
        <top style="thin">
          <color auto="1"/>
        </top>
        <bottom style="thin">
          <color auto="1"/>
        </bottom>
        <vertical/>
        <horizontal/>
      </border>
    </dxf>
    <dxf>
      <font>
        <color theme="0"/>
      </font>
      <fill>
        <patternFill>
          <bgColor theme="4"/>
        </patternFill>
      </fill>
      <border>
        <left style="thin">
          <color auto="1"/>
        </left>
        <right style="thin">
          <color auto="1"/>
        </right>
        <top style="thin">
          <color auto="1"/>
        </top>
        <bottom style="thin">
          <color auto="1"/>
        </bottom>
        <vertical/>
        <horizontal/>
      </border>
    </dxf>
    <dxf>
      <font>
        <color theme="0"/>
      </font>
      <fill>
        <patternFill>
          <bgColor theme="4"/>
        </patternFill>
      </fill>
      <border>
        <left style="thin">
          <color auto="1"/>
        </left>
        <right style="thin">
          <color auto="1"/>
        </right>
        <top style="thin">
          <color auto="1"/>
        </top>
        <bottom style="thin">
          <color auto="1"/>
        </bottom>
        <vertical/>
        <horizontal/>
      </border>
    </dxf>
    <dxf>
      <font>
        <color theme="0"/>
      </font>
      <fill>
        <patternFill>
          <bgColor theme="4"/>
        </patternFill>
      </fill>
      <border>
        <left style="thin">
          <color auto="1"/>
        </left>
        <right style="thin">
          <color auto="1"/>
        </right>
        <top style="thin">
          <color auto="1"/>
        </top>
        <bottom style="thin">
          <color auto="1"/>
        </bottom>
        <vertical/>
        <horizontal/>
      </border>
    </dxf>
    <dxf>
      <font>
        <color theme="0"/>
      </font>
      <fill>
        <patternFill>
          <bgColor theme="4"/>
        </patternFill>
      </fill>
      <border>
        <left style="thin">
          <color auto="1"/>
        </left>
        <right style="thin">
          <color auto="1"/>
        </right>
        <top style="thin">
          <color auto="1"/>
        </top>
        <bottom style="thin">
          <color auto="1"/>
        </bottom>
        <vertical/>
        <horizontal/>
      </border>
    </dxf>
    <dxf>
      <font>
        <b val="0"/>
        <i val="0"/>
        <strike val="0"/>
        <color theme="0"/>
      </font>
      <fill>
        <patternFill>
          <bgColor rgb="FFFF0000"/>
        </patternFill>
      </fill>
      <border>
        <left style="thin">
          <color auto="1"/>
        </left>
        <right style="thin">
          <color auto="1"/>
        </right>
        <top style="thin">
          <color auto="1"/>
        </top>
        <bottom style="thin">
          <color auto="1"/>
        </bottom>
        <vertical/>
        <horizontal/>
      </border>
    </dxf>
    <dxf>
      <font>
        <b val="0"/>
        <i val="0"/>
        <strike val="0"/>
        <color theme="0"/>
      </font>
      <fill>
        <patternFill>
          <bgColor rgb="FFFF0000"/>
        </patternFill>
      </fill>
      <border>
        <left style="thin">
          <color auto="1"/>
        </left>
        <right style="thin">
          <color auto="1"/>
        </right>
        <top style="thin">
          <color auto="1"/>
        </top>
        <bottom style="thin">
          <color auto="1"/>
        </bottom>
        <vertical/>
        <horizontal/>
      </border>
    </dxf>
    <dxf>
      <font>
        <b val="0"/>
        <i val="0"/>
        <strike val="0"/>
        <color theme="0"/>
      </font>
      <fill>
        <patternFill>
          <bgColor rgb="FFFF0000"/>
        </patternFill>
      </fill>
      <border>
        <left style="thin">
          <color auto="1"/>
        </left>
        <right style="thin">
          <color auto="1"/>
        </right>
        <top style="thin">
          <color auto="1"/>
        </top>
        <bottom style="thin">
          <color auto="1"/>
        </bottom>
        <vertical/>
        <horizontal/>
      </border>
    </dxf>
    <dxf>
      <font>
        <b val="0"/>
        <i val="0"/>
        <strike val="0"/>
        <color theme="0"/>
      </font>
      <fill>
        <patternFill>
          <bgColor rgb="FFFF0000"/>
        </patternFill>
      </fill>
      <border>
        <left style="thin">
          <color auto="1"/>
        </left>
        <right style="thin">
          <color auto="1"/>
        </right>
        <top style="thin">
          <color auto="1"/>
        </top>
        <bottom style="thin">
          <color auto="1"/>
        </bottom>
        <vertical/>
        <horizontal/>
      </border>
    </dxf>
    <dxf>
      <font>
        <b val="0"/>
        <i val="0"/>
        <strike val="0"/>
        <color theme="0"/>
      </font>
      <fill>
        <patternFill>
          <bgColor rgb="FFFF0000"/>
        </patternFill>
      </fill>
      <border>
        <left style="thin">
          <color auto="1"/>
        </left>
        <right style="thin">
          <color auto="1"/>
        </right>
        <top style="thin">
          <color auto="1"/>
        </top>
        <bottom style="thin">
          <color auto="1"/>
        </bottom>
        <vertical/>
        <horizontal/>
      </border>
    </dxf>
    <dxf>
      <font>
        <b val="0"/>
        <i val="0"/>
        <strike val="0"/>
        <color theme="0"/>
      </font>
      <fill>
        <patternFill>
          <bgColor rgb="FFFF0000"/>
        </patternFill>
      </fill>
      <border>
        <left style="thin">
          <color auto="1"/>
        </left>
        <right style="thin">
          <color auto="1"/>
        </right>
        <top style="thin">
          <color auto="1"/>
        </top>
        <bottom style="thin">
          <color auto="1"/>
        </bottom>
        <vertical/>
        <horizontal/>
      </border>
    </dxf>
    <dxf>
      <font>
        <b val="0"/>
        <i val="0"/>
        <strike val="0"/>
        <color theme="0"/>
      </font>
      <fill>
        <patternFill>
          <bgColor rgb="FFFF0000"/>
        </patternFill>
      </fill>
      <border>
        <left style="thin">
          <color auto="1"/>
        </left>
        <right style="thin">
          <color auto="1"/>
        </right>
        <top style="thin">
          <color auto="1"/>
        </top>
        <bottom style="thin">
          <color auto="1"/>
        </bottom>
        <vertical/>
        <horizontal/>
      </border>
    </dxf>
    <dxf>
      <font>
        <b val="0"/>
        <i val="0"/>
        <strike val="0"/>
        <color theme="0"/>
      </font>
      <fill>
        <patternFill>
          <bgColor rgb="FFFF0000"/>
        </patternFill>
      </fill>
      <border>
        <left style="thin">
          <color auto="1"/>
        </left>
        <right style="thin">
          <color auto="1"/>
        </right>
        <top style="thin">
          <color auto="1"/>
        </top>
        <bottom style="thin">
          <color auto="1"/>
        </bottom>
        <vertical/>
        <horizontal/>
      </border>
    </dxf>
    <dxf>
      <font>
        <b val="0"/>
        <i val="0"/>
        <strike val="0"/>
        <color theme="0"/>
      </font>
      <fill>
        <patternFill>
          <bgColor rgb="FFFF0000"/>
        </patternFill>
      </fill>
      <border>
        <left style="thin">
          <color auto="1"/>
        </left>
        <right style="thin">
          <color auto="1"/>
        </right>
        <top style="thin">
          <color auto="1"/>
        </top>
        <bottom style="thin">
          <color auto="1"/>
        </bottom>
        <vertical/>
        <horizontal/>
      </border>
    </dxf>
    <dxf>
      <font>
        <b val="0"/>
        <i val="0"/>
        <strike val="0"/>
        <color theme="0"/>
      </font>
      <fill>
        <patternFill>
          <bgColor rgb="FFFF0000"/>
        </patternFill>
      </fill>
      <border>
        <left style="thin">
          <color auto="1"/>
        </left>
        <right style="thin">
          <color auto="1"/>
        </right>
        <top style="thin">
          <color auto="1"/>
        </top>
        <bottom style="thin">
          <color auto="1"/>
        </bottom>
        <vertical/>
        <horizontal/>
      </border>
    </dxf>
    <dxf>
      <font>
        <b val="0"/>
        <i val="0"/>
        <strike val="0"/>
        <color theme="0"/>
      </font>
      <fill>
        <patternFill>
          <bgColor rgb="FFFF0000"/>
        </patternFill>
      </fill>
      <border>
        <left style="thin">
          <color auto="1"/>
        </left>
        <right style="thin">
          <color auto="1"/>
        </right>
        <top style="thin">
          <color auto="1"/>
        </top>
        <bottom style="thin">
          <color auto="1"/>
        </bottom>
        <vertical/>
        <horizontal/>
      </border>
    </dxf>
    <dxf>
      <font>
        <b val="0"/>
        <i val="0"/>
        <strike val="0"/>
        <color theme="0"/>
      </font>
      <fill>
        <patternFill>
          <bgColor rgb="FFFF0000"/>
        </patternFill>
      </fill>
      <border>
        <left style="thin">
          <color auto="1"/>
        </left>
        <right style="thin">
          <color auto="1"/>
        </right>
        <top style="thin">
          <color auto="1"/>
        </top>
        <bottom style="thin">
          <color auto="1"/>
        </bottom>
        <vertical/>
        <horizontal/>
      </border>
    </dxf>
    <dxf>
      <font>
        <b val="0"/>
        <i val="0"/>
        <strike val="0"/>
        <color theme="0"/>
      </font>
      <fill>
        <patternFill>
          <bgColor rgb="FFFF0000"/>
        </patternFill>
      </fill>
      <border>
        <left style="thin">
          <color auto="1"/>
        </left>
        <right style="thin">
          <color auto="1"/>
        </right>
        <top style="thin">
          <color auto="1"/>
        </top>
        <bottom style="thin">
          <color auto="1"/>
        </bottom>
        <vertical/>
        <horizontal/>
      </border>
    </dxf>
    <dxf>
      <font>
        <b val="0"/>
        <i val="0"/>
        <strike val="0"/>
        <color theme="0"/>
      </font>
      <fill>
        <patternFill>
          <bgColor rgb="FFFF0000"/>
        </patternFill>
      </fill>
      <border>
        <left style="thin">
          <color auto="1"/>
        </left>
        <right style="thin">
          <color auto="1"/>
        </right>
        <top style="thin">
          <color auto="1"/>
        </top>
        <bottom style="thin">
          <color auto="1"/>
        </bottom>
        <vertical/>
        <horizontal/>
      </border>
    </dxf>
    <dxf>
      <font>
        <b val="0"/>
        <i val="0"/>
        <strike val="0"/>
        <color theme="0"/>
      </font>
      <fill>
        <patternFill>
          <bgColor rgb="FFFF0000"/>
        </patternFill>
      </fill>
      <border>
        <left style="thin">
          <color auto="1"/>
        </left>
        <right style="thin">
          <color auto="1"/>
        </right>
        <top style="thin">
          <color auto="1"/>
        </top>
        <bottom style="thin">
          <color auto="1"/>
        </bottom>
        <vertical/>
        <horizontal/>
      </border>
    </dxf>
    <dxf>
      <font>
        <b val="0"/>
        <i val="0"/>
        <strike val="0"/>
        <color theme="0"/>
      </font>
      <fill>
        <patternFill>
          <bgColor rgb="FFFF0000"/>
        </patternFill>
      </fill>
      <border>
        <left style="thin">
          <color auto="1"/>
        </left>
        <right style="thin">
          <color auto="1"/>
        </right>
        <top style="thin">
          <color auto="1"/>
        </top>
        <bottom style="thin">
          <color auto="1"/>
        </bottom>
        <vertical/>
        <horizontal/>
      </border>
    </dxf>
    <dxf>
      <font>
        <b val="0"/>
        <i val="0"/>
        <strike val="0"/>
        <color theme="0"/>
      </font>
      <fill>
        <patternFill>
          <bgColor rgb="FFFF0000"/>
        </patternFill>
      </fill>
      <border>
        <left style="thin">
          <color auto="1"/>
        </left>
        <right style="thin">
          <color auto="1"/>
        </right>
        <top style="thin">
          <color auto="1"/>
        </top>
        <bottom style="thin">
          <color auto="1"/>
        </bottom>
        <vertical/>
        <horizontal/>
      </border>
    </dxf>
    <dxf>
      <font>
        <b val="0"/>
        <i val="0"/>
        <strike val="0"/>
        <color theme="0"/>
      </font>
      <fill>
        <patternFill>
          <bgColor rgb="FFFF0000"/>
        </patternFill>
      </fill>
      <border>
        <left style="thin">
          <color auto="1"/>
        </left>
        <right style="thin">
          <color auto="1"/>
        </right>
        <top style="thin">
          <color auto="1"/>
        </top>
        <bottom style="thin">
          <color auto="1"/>
        </bottom>
        <vertical/>
        <horizontal/>
      </border>
    </dxf>
    <dxf>
      <font>
        <b val="0"/>
        <i val="0"/>
        <strike val="0"/>
        <color theme="0"/>
      </font>
      <fill>
        <patternFill>
          <bgColor rgb="FFFF0000"/>
        </patternFill>
      </fill>
      <border>
        <left style="thin">
          <color auto="1"/>
        </left>
        <right style="thin">
          <color auto="1"/>
        </right>
        <top style="thin">
          <color auto="1"/>
        </top>
        <bottom style="thin">
          <color auto="1"/>
        </bottom>
        <vertical/>
        <horizontal/>
      </border>
    </dxf>
    <dxf>
      <font>
        <b val="0"/>
        <i val="0"/>
        <strike val="0"/>
        <color theme="0"/>
      </font>
      <fill>
        <patternFill>
          <bgColor rgb="FFFF0000"/>
        </patternFill>
      </fill>
      <border>
        <left style="thin">
          <color auto="1"/>
        </left>
        <right style="thin">
          <color auto="1"/>
        </right>
        <top style="thin">
          <color auto="1"/>
        </top>
        <bottom style="thin">
          <color auto="1"/>
        </bottom>
        <vertical/>
        <horizontal/>
      </border>
    </dxf>
    <dxf>
      <font>
        <b val="0"/>
        <i val="0"/>
        <strike val="0"/>
        <color theme="0"/>
      </font>
      <fill>
        <patternFill>
          <bgColor rgb="FFFF0000"/>
        </patternFill>
      </fill>
      <border>
        <left style="thin">
          <color auto="1"/>
        </left>
        <right style="thin">
          <color auto="1"/>
        </right>
        <top style="thin">
          <color auto="1"/>
        </top>
        <bottom style="thin">
          <color auto="1"/>
        </bottom>
        <vertical/>
        <horizontal/>
      </border>
    </dxf>
    <dxf>
      <font>
        <b val="0"/>
        <i val="0"/>
        <strike val="0"/>
        <color theme="0"/>
      </font>
      <fill>
        <patternFill>
          <bgColor rgb="FFFF0000"/>
        </patternFill>
      </fill>
      <border>
        <left style="thin">
          <color auto="1"/>
        </left>
        <right style="thin">
          <color auto="1"/>
        </right>
        <top style="thin">
          <color auto="1"/>
        </top>
        <bottom style="thin">
          <color auto="1"/>
        </bottom>
        <vertical/>
        <horizontal/>
      </border>
    </dxf>
    <dxf>
      <font>
        <b val="0"/>
        <i val="0"/>
        <strike val="0"/>
        <color theme="0"/>
      </font>
      <fill>
        <patternFill>
          <bgColor rgb="FFFF0000"/>
        </patternFill>
      </fill>
      <border>
        <left style="thin">
          <color auto="1"/>
        </left>
        <right style="thin">
          <color auto="1"/>
        </right>
        <top style="thin">
          <color auto="1"/>
        </top>
        <bottom style="thin">
          <color auto="1"/>
        </bottom>
        <vertical/>
        <horizontal/>
      </border>
    </dxf>
    <dxf>
      <font>
        <b val="0"/>
        <i val="0"/>
        <strike val="0"/>
        <color theme="0"/>
      </font>
      <fill>
        <patternFill>
          <bgColor rgb="FFFF0000"/>
        </patternFill>
      </fill>
      <border>
        <left style="thin">
          <color auto="1"/>
        </left>
        <right style="thin">
          <color auto="1"/>
        </right>
        <top style="thin">
          <color auto="1"/>
        </top>
        <bottom style="thin">
          <color auto="1"/>
        </bottom>
        <vertical/>
        <horizontal/>
      </border>
    </dxf>
    <dxf>
      <font>
        <b val="0"/>
        <i val="0"/>
        <strike val="0"/>
        <color theme="0"/>
      </font>
      <fill>
        <patternFill>
          <bgColor rgb="FFFF0000"/>
        </patternFill>
      </fill>
      <border>
        <left style="thin">
          <color auto="1"/>
        </left>
        <right style="thin">
          <color auto="1"/>
        </right>
        <top style="thin">
          <color auto="1"/>
        </top>
        <bottom style="thin">
          <color auto="1"/>
        </bottom>
        <vertical/>
        <horizontal/>
      </border>
    </dxf>
    <dxf>
      <font>
        <color theme="0"/>
      </font>
      <fill>
        <patternFill>
          <bgColor theme="4"/>
        </patternFill>
      </fill>
      <border>
        <left style="thin">
          <color auto="1"/>
        </left>
        <right style="thin">
          <color auto="1"/>
        </right>
        <top style="thin">
          <color auto="1"/>
        </top>
        <bottom style="thin">
          <color auto="1"/>
        </bottom>
        <vertical/>
        <horizontal/>
      </border>
    </dxf>
    <dxf>
      <font>
        <color theme="0"/>
      </font>
      <fill>
        <patternFill>
          <bgColor theme="4"/>
        </patternFill>
      </fill>
      <border>
        <left style="thin">
          <color auto="1"/>
        </left>
        <right style="thin">
          <color auto="1"/>
        </right>
        <top style="thin">
          <color auto="1"/>
        </top>
        <bottom style="thin">
          <color auto="1"/>
        </bottom>
        <vertical/>
        <horizontal/>
      </border>
    </dxf>
    <dxf>
      <font>
        <color theme="0"/>
      </font>
      <fill>
        <patternFill>
          <bgColor theme="4"/>
        </patternFill>
      </fill>
      <border>
        <left style="thin">
          <color auto="1"/>
        </left>
        <right style="thin">
          <color auto="1"/>
        </right>
        <top style="thin">
          <color auto="1"/>
        </top>
        <bottom style="thin">
          <color auto="1"/>
        </bottom>
        <vertical/>
        <horizontal/>
      </border>
    </dxf>
    <dxf>
      <font>
        <color theme="0"/>
      </font>
      <fill>
        <patternFill>
          <bgColor theme="4"/>
        </patternFill>
      </fill>
      <border>
        <left style="thin">
          <color auto="1"/>
        </left>
        <right style="thin">
          <color auto="1"/>
        </right>
        <top style="thin">
          <color auto="1"/>
        </top>
        <bottom style="thin">
          <color auto="1"/>
        </bottom>
        <vertical/>
        <horizontal/>
      </border>
    </dxf>
    <dxf>
      <font>
        <color theme="0"/>
      </font>
      <fill>
        <patternFill>
          <bgColor theme="4"/>
        </patternFill>
      </fill>
      <border>
        <left style="thin">
          <color auto="1"/>
        </left>
        <right style="thin">
          <color auto="1"/>
        </right>
        <top style="thin">
          <color auto="1"/>
        </top>
        <bottom style="thin">
          <color auto="1"/>
        </bottom>
        <vertical/>
        <horizontal/>
      </border>
    </dxf>
    <dxf>
      <font>
        <color theme="0"/>
      </font>
      <fill>
        <patternFill>
          <bgColor theme="4"/>
        </patternFill>
      </fill>
      <border>
        <left style="thin">
          <color auto="1"/>
        </left>
        <right style="thin">
          <color auto="1"/>
        </right>
        <top style="thin">
          <color auto="1"/>
        </top>
        <bottom style="thin">
          <color auto="1"/>
        </bottom>
        <vertical/>
        <horizontal/>
      </border>
    </dxf>
    <dxf>
      <font>
        <color theme="0"/>
      </font>
      <fill>
        <patternFill>
          <bgColor theme="4"/>
        </patternFill>
      </fill>
      <border>
        <left style="thin">
          <color auto="1"/>
        </left>
        <right style="thin">
          <color auto="1"/>
        </right>
        <top style="thin">
          <color auto="1"/>
        </top>
        <bottom style="thin">
          <color auto="1"/>
        </bottom>
        <vertical/>
        <horizontal/>
      </border>
    </dxf>
    <dxf>
      <font>
        <color theme="0"/>
      </font>
      <fill>
        <patternFill>
          <bgColor theme="4"/>
        </patternFill>
      </fill>
      <border>
        <left style="thin">
          <color auto="1"/>
        </left>
        <right style="thin">
          <color auto="1"/>
        </right>
        <top style="thin">
          <color auto="1"/>
        </top>
        <bottom style="thin">
          <color auto="1"/>
        </bottom>
        <vertical/>
        <horizontal/>
      </border>
    </dxf>
    <dxf>
      <font>
        <color theme="0"/>
      </font>
      <fill>
        <patternFill>
          <bgColor theme="4"/>
        </patternFill>
      </fill>
      <border>
        <left style="thin">
          <color auto="1"/>
        </left>
        <right style="thin">
          <color auto="1"/>
        </right>
        <top style="thin">
          <color auto="1"/>
        </top>
        <bottom style="thin">
          <color auto="1"/>
        </bottom>
        <vertical/>
        <horizontal/>
      </border>
    </dxf>
    <dxf>
      <font>
        <color theme="0"/>
      </font>
      <fill>
        <patternFill>
          <bgColor theme="4"/>
        </patternFill>
      </fill>
      <border>
        <left style="thin">
          <color auto="1"/>
        </left>
        <right style="thin">
          <color auto="1"/>
        </right>
        <top style="thin">
          <color auto="1"/>
        </top>
        <bottom style="thin">
          <color auto="1"/>
        </bottom>
        <vertical/>
        <horizontal/>
      </border>
    </dxf>
    <dxf>
      <font>
        <color theme="0"/>
      </font>
      <fill>
        <patternFill>
          <bgColor theme="4"/>
        </patternFill>
      </fill>
      <border>
        <left style="thin">
          <color auto="1"/>
        </left>
        <right style="thin">
          <color auto="1"/>
        </right>
        <top style="thin">
          <color auto="1"/>
        </top>
        <bottom style="thin">
          <color auto="1"/>
        </bottom>
        <vertical/>
        <horizontal/>
      </border>
    </dxf>
    <dxf>
      <font>
        <color theme="0"/>
      </font>
      <fill>
        <patternFill>
          <bgColor theme="4"/>
        </patternFill>
      </fill>
      <border>
        <left style="thin">
          <color auto="1"/>
        </left>
        <right style="thin">
          <color auto="1"/>
        </right>
        <top style="thin">
          <color auto="1"/>
        </top>
        <bottom style="thin">
          <color auto="1"/>
        </bottom>
        <vertical/>
        <horizontal/>
      </border>
    </dxf>
    <dxf>
      <font>
        <color theme="0"/>
      </font>
      <fill>
        <patternFill>
          <bgColor theme="4"/>
        </patternFill>
      </fill>
      <border>
        <left style="thin">
          <color auto="1"/>
        </left>
        <right style="thin">
          <color auto="1"/>
        </right>
        <top style="thin">
          <color auto="1"/>
        </top>
        <bottom style="thin">
          <color auto="1"/>
        </bottom>
        <vertical/>
        <horizontal/>
      </border>
    </dxf>
    <dxf>
      <font>
        <color theme="0"/>
      </font>
      <fill>
        <patternFill>
          <bgColor theme="4"/>
        </patternFill>
      </fill>
      <border>
        <left style="thin">
          <color auto="1"/>
        </left>
        <right style="thin">
          <color auto="1"/>
        </right>
        <top style="thin">
          <color auto="1"/>
        </top>
        <bottom style="thin">
          <color auto="1"/>
        </bottom>
        <vertical/>
        <horizontal/>
      </border>
    </dxf>
    <dxf>
      <font>
        <color theme="0"/>
      </font>
      <fill>
        <patternFill>
          <bgColor theme="4"/>
        </patternFill>
      </fill>
      <border>
        <left style="thin">
          <color auto="1"/>
        </left>
        <right style="thin">
          <color auto="1"/>
        </right>
        <top style="thin">
          <color auto="1"/>
        </top>
        <bottom style="thin">
          <color auto="1"/>
        </bottom>
        <vertical/>
        <horizontal/>
      </border>
    </dxf>
    <dxf>
      <font>
        <color theme="0"/>
      </font>
      <fill>
        <patternFill>
          <bgColor theme="4"/>
        </patternFill>
      </fill>
      <border>
        <left style="thin">
          <color auto="1"/>
        </left>
        <right style="thin">
          <color auto="1"/>
        </right>
        <top style="thin">
          <color auto="1"/>
        </top>
        <bottom style="thin">
          <color auto="1"/>
        </bottom>
        <vertical/>
        <horizontal/>
      </border>
    </dxf>
    <dxf>
      <font>
        <color theme="0"/>
      </font>
      <fill>
        <patternFill>
          <bgColor theme="4"/>
        </patternFill>
      </fill>
      <border>
        <left style="thin">
          <color auto="1"/>
        </left>
        <right style="thin">
          <color auto="1"/>
        </right>
        <top style="thin">
          <color auto="1"/>
        </top>
        <bottom style="thin">
          <color auto="1"/>
        </bottom>
        <vertical/>
        <horizontal/>
      </border>
    </dxf>
    <dxf>
      <font>
        <color theme="0"/>
      </font>
      <fill>
        <patternFill>
          <bgColor theme="4"/>
        </patternFill>
      </fill>
      <border>
        <left style="thin">
          <color auto="1"/>
        </left>
        <right style="thin">
          <color auto="1"/>
        </right>
        <top style="thin">
          <color auto="1"/>
        </top>
        <bottom style="thin">
          <color auto="1"/>
        </bottom>
        <vertical/>
        <horizontal/>
      </border>
    </dxf>
    <dxf>
      <font>
        <color theme="0"/>
      </font>
      <fill>
        <patternFill>
          <bgColor theme="4"/>
        </patternFill>
      </fill>
      <border>
        <left style="thin">
          <color auto="1"/>
        </left>
        <right style="thin">
          <color auto="1"/>
        </right>
        <top style="thin">
          <color auto="1"/>
        </top>
        <bottom style="thin">
          <color auto="1"/>
        </bottom>
        <vertical/>
        <horizontal/>
      </border>
    </dxf>
    <dxf>
      <font>
        <color theme="0"/>
      </font>
      <fill>
        <patternFill>
          <bgColor theme="4"/>
        </patternFill>
      </fill>
      <border>
        <left style="thin">
          <color auto="1"/>
        </left>
        <right style="thin">
          <color auto="1"/>
        </right>
        <top style="thin">
          <color auto="1"/>
        </top>
        <bottom style="thin">
          <color auto="1"/>
        </bottom>
        <vertical/>
        <horizontal/>
      </border>
    </dxf>
    <dxf>
      <font>
        <color theme="0"/>
      </font>
      <fill>
        <patternFill>
          <bgColor theme="4"/>
        </patternFill>
      </fill>
      <border>
        <left style="thin">
          <color auto="1"/>
        </left>
        <right style="thin">
          <color auto="1"/>
        </right>
        <top style="thin">
          <color auto="1"/>
        </top>
        <bottom style="thin">
          <color auto="1"/>
        </bottom>
        <vertical/>
        <horizontal/>
      </border>
    </dxf>
    <dxf>
      <font>
        <color theme="0"/>
      </font>
      <fill>
        <patternFill>
          <bgColor theme="4"/>
        </patternFill>
      </fill>
      <border>
        <left style="thin">
          <color auto="1"/>
        </left>
        <right style="thin">
          <color auto="1"/>
        </right>
        <top style="thin">
          <color auto="1"/>
        </top>
        <bottom style="thin">
          <color auto="1"/>
        </bottom>
        <vertical/>
        <horizontal/>
      </border>
    </dxf>
    <dxf>
      <font>
        <color theme="0"/>
      </font>
      <fill>
        <patternFill>
          <bgColor theme="4"/>
        </patternFill>
      </fill>
      <border>
        <left style="thin">
          <color auto="1"/>
        </left>
        <right style="thin">
          <color auto="1"/>
        </right>
        <top style="thin">
          <color auto="1"/>
        </top>
        <bottom style="thin">
          <color auto="1"/>
        </bottom>
        <vertical/>
        <horizontal/>
      </border>
    </dxf>
    <dxf>
      <font>
        <color theme="0"/>
      </font>
      <fill>
        <patternFill>
          <bgColor theme="4"/>
        </patternFill>
      </fill>
      <border>
        <left style="thin">
          <color auto="1"/>
        </left>
        <right style="thin">
          <color auto="1"/>
        </right>
        <top style="thin">
          <color auto="1"/>
        </top>
        <bottom style="thin">
          <color auto="1"/>
        </bottom>
        <vertical/>
        <horizontal/>
      </border>
    </dxf>
    <dxf>
      <font>
        <color theme="0"/>
      </font>
      <fill>
        <patternFill>
          <bgColor theme="4"/>
        </patternFill>
      </fill>
      <border>
        <left style="thin">
          <color auto="1"/>
        </left>
        <right style="thin">
          <color auto="1"/>
        </right>
        <top style="thin">
          <color auto="1"/>
        </top>
        <bottom style="thin">
          <color auto="1"/>
        </bottom>
        <vertical/>
        <horizontal/>
      </border>
    </dxf>
    <dxf>
      <fill>
        <patternFill patternType="lightUp">
          <bgColor theme="0" tint="-0.24994659260841701"/>
        </patternFill>
      </fill>
    </dxf>
    <dxf>
      <fill>
        <patternFill patternType="lightUp">
          <bgColor theme="0" tint="-0.24994659260841701"/>
        </patternFill>
      </fill>
    </dxf>
    <dxf>
      <fill>
        <patternFill patternType="lightUp">
          <bgColor theme="0" tint="-0.24994659260841701"/>
        </patternFill>
      </fill>
    </dxf>
    <dxf>
      <font>
        <strike val="0"/>
        <color theme="0"/>
      </font>
      <fill>
        <patternFill>
          <bgColor rgb="FFFF0000"/>
        </patternFill>
      </fill>
      <border>
        <left style="thin">
          <color auto="1"/>
        </left>
        <right style="thin">
          <color auto="1"/>
        </right>
        <top style="thin">
          <color auto="1"/>
        </top>
        <bottom style="thin">
          <color auto="1"/>
        </bottom>
        <vertical/>
        <horizontal/>
      </border>
    </dxf>
    <dxf>
      <fill>
        <patternFill patternType="lightUp">
          <bgColor theme="0" tint="-0.24994659260841701"/>
        </patternFill>
      </fill>
    </dxf>
    <dxf>
      <font>
        <strike val="0"/>
        <color theme="0"/>
      </font>
      <fill>
        <patternFill>
          <bgColor rgb="FFFF0000"/>
        </patternFill>
      </fill>
      <border>
        <left style="thin">
          <color auto="1"/>
        </left>
        <right style="thin">
          <color auto="1"/>
        </right>
        <top style="thin">
          <color auto="1"/>
        </top>
        <bottom style="thin">
          <color auto="1"/>
        </bottom>
        <vertical/>
        <horizontal/>
      </border>
    </dxf>
    <dxf>
      <fill>
        <patternFill patternType="lightUp">
          <bgColor theme="0" tint="-0.24994659260841701"/>
        </patternFill>
      </fill>
    </dxf>
    <dxf>
      <font>
        <strike val="0"/>
        <color theme="0"/>
      </font>
      <fill>
        <patternFill>
          <bgColor rgb="FFFF0000"/>
        </patternFill>
      </fill>
      <border>
        <left style="thin">
          <color auto="1"/>
        </left>
        <right style="thin">
          <color auto="1"/>
        </right>
        <top style="thin">
          <color auto="1"/>
        </top>
        <bottom style="thin">
          <color auto="1"/>
        </bottom>
        <vertical/>
        <horizontal/>
      </border>
    </dxf>
    <dxf>
      <fill>
        <patternFill patternType="lightUp">
          <bgColor theme="0" tint="-0.24994659260841701"/>
        </patternFill>
      </fill>
    </dxf>
    <dxf>
      <font>
        <strike val="0"/>
        <color theme="0"/>
      </font>
      <fill>
        <patternFill>
          <bgColor rgb="FFFF0000"/>
        </patternFill>
      </fill>
      <border>
        <left style="thin">
          <color auto="1"/>
        </left>
        <right style="thin">
          <color auto="1"/>
        </right>
        <top style="thin">
          <color auto="1"/>
        </top>
        <bottom style="thin">
          <color auto="1"/>
        </bottom>
        <vertical/>
        <horizontal/>
      </border>
    </dxf>
    <dxf>
      <fill>
        <patternFill patternType="lightUp">
          <bgColor theme="0" tint="-0.24994659260841701"/>
        </patternFill>
      </fill>
    </dxf>
    <dxf>
      <font>
        <strike val="0"/>
        <color theme="0"/>
      </font>
      <fill>
        <patternFill>
          <bgColor rgb="FFFF0000"/>
        </patternFill>
      </fill>
      <border>
        <left style="thin">
          <color auto="1"/>
        </left>
        <right style="thin">
          <color auto="1"/>
        </right>
        <top style="thin">
          <color auto="1"/>
        </top>
        <bottom style="thin">
          <color auto="1"/>
        </bottom>
        <vertical/>
        <horizontal/>
      </border>
    </dxf>
    <dxf>
      <fill>
        <patternFill patternType="lightUp">
          <bgColor theme="0" tint="-0.24994659260841701"/>
        </patternFill>
      </fill>
    </dxf>
    <dxf>
      <fill>
        <patternFill patternType="lightUp">
          <bgColor theme="0" tint="-0.24994659260841701"/>
        </patternFill>
      </fill>
    </dxf>
    <dxf>
      <fill>
        <patternFill patternType="lightUp">
          <bgColor theme="0" tint="-0.24994659260841701"/>
        </patternFill>
      </fill>
    </dxf>
    <dxf>
      <fill>
        <patternFill patternType="lightUp">
          <bgColor theme="0" tint="-0.24994659260841701"/>
        </patternFill>
      </fill>
    </dxf>
    <dxf>
      <fill>
        <patternFill patternType="lightUp">
          <bgColor theme="0" tint="-0.24994659260841701"/>
        </patternFill>
      </fill>
    </dxf>
    <dxf>
      <fill>
        <patternFill patternType="lightUp">
          <bgColor theme="0" tint="-0.24994659260841701"/>
        </patternFill>
      </fill>
    </dxf>
    <dxf>
      <fill>
        <patternFill patternType="lightUp">
          <bgColor theme="0" tint="-0.24994659260841701"/>
        </patternFill>
      </fill>
    </dxf>
    <dxf>
      <fill>
        <patternFill patternType="lightUp">
          <bgColor theme="0" tint="-0.24994659260841701"/>
        </patternFill>
      </fill>
    </dxf>
    <dxf>
      <fill>
        <patternFill patternType="lightUp">
          <bgColor theme="0" tint="-0.24994659260841701"/>
        </patternFill>
      </fill>
    </dxf>
    <dxf>
      <fill>
        <patternFill patternType="lightUp">
          <bgColor theme="0" tint="-0.24994659260841701"/>
        </patternFill>
      </fill>
    </dxf>
    <dxf>
      <fill>
        <patternFill patternType="lightUp">
          <bgColor theme="0" tint="-0.24994659260841701"/>
        </patternFill>
      </fill>
    </dxf>
    <dxf>
      <fill>
        <patternFill patternType="lightUp">
          <bgColor theme="0" tint="-0.24994659260841701"/>
        </patternFill>
      </fill>
    </dxf>
    <dxf>
      <fill>
        <patternFill patternType="lightUp">
          <bgColor theme="0" tint="-0.24994659260841701"/>
        </patternFill>
      </fill>
    </dxf>
    <dxf>
      <fill>
        <patternFill patternType="lightUp">
          <bgColor theme="0" tint="-0.24994659260841701"/>
        </patternFill>
      </fill>
    </dxf>
    <dxf>
      <fill>
        <patternFill patternType="lightUp">
          <bgColor theme="0" tint="-0.24994659260841701"/>
        </patternFill>
      </fill>
    </dxf>
    <dxf>
      <fill>
        <patternFill patternType="lightUp">
          <bgColor theme="0" tint="-0.24994659260841701"/>
        </patternFill>
      </fill>
    </dxf>
    <dxf>
      <fill>
        <patternFill patternType="lightUp">
          <bgColor theme="0" tint="-0.24994659260841701"/>
        </patternFill>
      </fill>
    </dxf>
    <dxf>
      <fill>
        <patternFill patternType="lightUp">
          <bgColor theme="0" tint="-0.24994659260841701"/>
        </patternFill>
      </fill>
    </dxf>
    <dxf>
      <fill>
        <patternFill patternType="lightUp">
          <bgColor theme="0" tint="-0.24994659260841701"/>
        </patternFill>
      </fill>
    </dxf>
    <dxf>
      <fill>
        <patternFill patternType="lightUp">
          <bgColor theme="0" tint="-0.24994659260841701"/>
        </patternFill>
      </fill>
    </dxf>
    <dxf>
      <fill>
        <patternFill patternType="lightUp">
          <bgColor theme="0" tint="-0.24994659260841701"/>
        </patternFill>
      </fill>
    </dxf>
    <dxf>
      <fill>
        <patternFill patternType="lightUp">
          <bgColor theme="0" tint="-0.24994659260841701"/>
        </patternFill>
      </fill>
    </dxf>
    <dxf>
      <fill>
        <patternFill patternType="lightUp">
          <bgColor theme="0" tint="-0.24994659260841701"/>
        </patternFill>
      </fill>
    </dxf>
    <dxf>
      <fill>
        <patternFill patternType="lightUp">
          <bgColor theme="0" tint="-0.24994659260841701"/>
        </patternFill>
      </fill>
    </dxf>
    <dxf>
      <fill>
        <patternFill patternType="lightUp">
          <bgColor theme="0" tint="-0.24994659260841701"/>
        </patternFill>
      </fill>
    </dxf>
    <dxf>
      <fill>
        <patternFill patternType="lightUp">
          <bgColor theme="0" tint="-0.24994659260841701"/>
        </patternFill>
      </fill>
    </dxf>
    <dxf>
      <font>
        <color theme="0"/>
      </font>
      <fill>
        <patternFill>
          <bgColor rgb="FFFF0000"/>
        </patternFill>
      </fill>
      <border>
        <left style="thin">
          <color auto="1"/>
        </left>
        <right style="thin">
          <color auto="1"/>
        </right>
        <top style="thin">
          <color auto="1"/>
        </top>
        <bottom style="thin">
          <color auto="1"/>
        </bottom>
        <vertical/>
        <horizontal/>
      </border>
    </dxf>
    <dxf>
      <fill>
        <patternFill patternType="lightUp">
          <bgColor theme="0" tint="-0.24994659260841701"/>
        </patternFill>
      </fill>
    </dxf>
    <dxf>
      <font>
        <color theme="0"/>
      </font>
      <fill>
        <patternFill>
          <bgColor rgb="FFFF0000"/>
        </patternFill>
      </fill>
      <border>
        <left style="thin">
          <color auto="1"/>
        </left>
        <right style="thin">
          <color auto="1"/>
        </right>
        <top style="thin">
          <color auto="1"/>
        </top>
        <bottom style="thin">
          <color auto="1"/>
        </bottom>
        <vertical/>
        <horizontal/>
      </border>
    </dxf>
    <dxf>
      <fill>
        <patternFill patternType="lightUp">
          <bgColor theme="0" tint="-0.24994659260841701"/>
        </patternFill>
      </fill>
    </dxf>
    <dxf>
      <font>
        <color theme="0"/>
      </font>
      <fill>
        <patternFill>
          <bgColor rgb="FFFF0000"/>
        </patternFill>
      </fill>
      <border>
        <left style="thin">
          <color auto="1"/>
        </left>
        <right style="thin">
          <color auto="1"/>
        </right>
        <top style="thin">
          <color auto="1"/>
        </top>
        <bottom style="thin">
          <color auto="1"/>
        </bottom>
        <vertical/>
        <horizontal/>
      </border>
    </dxf>
    <dxf>
      <fill>
        <patternFill patternType="lightUp">
          <bgColor theme="0" tint="-0.24994659260841701"/>
        </patternFill>
      </fill>
    </dxf>
    <dxf>
      <font>
        <color theme="0"/>
      </font>
      <fill>
        <patternFill>
          <bgColor rgb="FFFF0000"/>
        </patternFill>
      </fill>
      <border>
        <left style="thin">
          <color auto="1"/>
        </left>
        <right style="thin">
          <color auto="1"/>
        </right>
        <top style="thin">
          <color auto="1"/>
        </top>
        <bottom style="thin">
          <color auto="1"/>
        </bottom>
        <vertical/>
        <horizontal/>
      </border>
    </dxf>
    <dxf>
      <fill>
        <patternFill patternType="lightUp">
          <bgColor theme="0" tint="-0.24994659260841701"/>
        </patternFill>
      </fill>
    </dxf>
    <dxf>
      <font>
        <color theme="0"/>
      </font>
      <fill>
        <patternFill>
          <bgColor rgb="FFFF0000"/>
        </patternFill>
      </fill>
      <border>
        <left style="thin">
          <color auto="1"/>
        </left>
        <right style="thin">
          <color auto="1"/>
        </right>
        <top style="thin">
          <color auto="1"/>
        </top>
        <bottom style="thin">
          <color auto="1"/>
        </bottom>
        <vertical/>
        <horizontal/>
      </border>
    </dxf>
    <dxf>
      <fill>
        <patternFill patternType="lightUp">
          <bgColor theme="0" tint="-0.24994659260841701"/>
        </patternFill>
      </fill>
    </dxf>
    <dxf>
      <font>
        <color theme="0"/>
      </font>
      <fill>
        <patternFill>
          <bgColor rgb="FFFF0000"/>
        </patternFill>
      </fill>
      <border>
        <left style="thin">
          <color auto="1"/>
        </left>
        <right style="thin">
          <color auto="1"/>
        </right>
        <top style="thin">
          <color auto="1"/>
        </top>
        <bottom style="thin">
          <color auto="1"/>
        </bottom>
        <vertical/>
        <horizontal/>
      </border>
    </dxf>
    <dxf>
      <fill>
        <patternFill patternType="lightUp">
          <bgColor theme="0" tint="-0.24994659260841701"/>
        </patternFill>
      </fill>
    </dxf>
    <dxf>
      <font>
        <color theme="0"/>
      </font>
      <fill>
        <patternFill>
          <bgColor rgb="FFFF0000"/>
        </patternFill>
      </fill>
      <border>
        <left style="thin">
          <color auto="1"/>
        </left>
        <right style="thin">
          <color auto="1"/>
        </right>
        <top style="thin">
          <color auto="1"/>
        </top>
        <bottom style="thin">
          <color auto="1"/>
        </bottom>
        <vertical/>
        <horizontal/>
      </border>
    </dxf>
    <dxf>
      <fill>
        <patternFill patternType="lightUp">
          <bgColor theme="0" tint="-0.24994659260841701"/>
        </patternFill>
      </fill>
    </dxf>
    <dxf>
      <font>
        <color theme="0"/>
      </font>
      <fill>
        <patternFill>
          <bgColor rgb="FFFF0000"/>
        </patternFill>
      </fill>
      <border>
        <left style="thin">
          <color auto="1"/>
        </left>
        <right style="thin">
          <color auto="1"/>
        </right>
        <top style="thin">
          <color auto="1"/>
        </top>
        <bottom style="thin">
          <color auto="1"/>
        </bottom>
        <vertical/>
        <horizontal/>
      </border>
    </dxf>
    <dxf>
      <fill>
        <patternFill patternType="lightUp">
          <bgColor theme="0" tint="-0.24994659260841701"/>
        </patternFill>
      </fill>
    </dxf>
    <dxf>
      <font>
        <color theme="0"/>
      </font>
      <fill>
        <patternFill>
          <bgColor rgb="FFFF0000"/>
        </patternFill>
      </fill>
      <border>
        <left style="thin">
          <color auto="1"/>
        </left>
        <right style="thin">
          <color auto="1"/>
        </right>
        <top style="thin">
          <color auto="1"/>
        </top>
        <bottom style="thin">
          <color auto="1"/>
        </bottom>
        <vertical/>
        <horizontal/>
      </border>
    </dxf>
    <dxf>
      <fill>
        <patternFill patternType="lightUp">
          <bgColor theme="0" tint="-0.24994659260841701"/>
        </patternFill>
      </fill>
    </dxf>
    <dxf>
      <font>
        <color theme="0"/>
      </font>
      <fill>
        <patternFill>
          <bgColor rgb="FFFF0000"/>
        </patternFill>
      </fill>
      <border>
        <left style="thin">
          <color auto="1"/>
        </left>
        <right style="thin">
          <color auto="1"/>
        </right>
        <top style="thin">
          <color auto="1"/>
        </top>
        <bottom style="thin">
          <color auto="1"/>
        </bottom>
        <vertical/>
        <horizontal/>
      </border>
    </dxf>
    <dxf>
      <fill>
        <patternFill patternType="lightUp">
          <bgColor theme="0" tint="-0.24994659260841701"/>
        </patternFill>
      </fill>
    </dxf>
    <dxf>
      <fill>
        <patternFill patternType="lightUp">
          <bgColor theme="0" tint="-0.24994659260841701"/>
        </patternFill>
      </fill>
    </dxf>
    <dxf>
      <fill>
        <patternFill patternType="lightUp">
          <bgColor theme="0" tint="-0.24994659260841701"/>
        </patternFill>
      </fill>
    </dxf>
    <dxf>
      <fill>
        <patternFill patternType="lightUp">
          <bgColor theme="0" tint="-0.24994659260841701"/>
        </patternFill>
      </fill>
    </dxf>
    <dxf>
      <fill>
        <patternFill patternType="lightUp">
          <bgColor theme="0" tint="-0.24994659260841701"/>
        </patternFill>
      </fill>
    </dxf>
    <dxf>
      <fill>
        <patternFill patternType="lightUp">
          <bgColor theme="0" tint="-0.24994659260841701"/>
        </patternFill>
      </fill>
    </dxf>
    <dxf>
      <fill>
        <patternFill patternType="lightUp">
          <bgColor theme="0" tint="-0.24994659260841701"/>
        </patternFill>
      </fill>
    </dxf>
    <dxf>
      <fill>
        <patternFill patternType="lightUp">
          <bgColor theme="0" tint="-0.24994659260841701"/>
        </patternFill>
      </fill>
    </dxf>
    <dxf>
      <fill>
        <patternFill patternType="lightUp">
          <bgColor theme="0" tint="-0.24994659260841701"/>
        </patternFill>
      </fill>
    </dxf>
    <dxf>
      <fill>
        <patternFill patternType="lightUp">
          <bgColor theme="0" tint="-0.24994659260841701"/>
        </patternFill>
      </fill>
    </dxf>
    <dxf>
      <fill>
        <patternFill patternType="lightUp">
          <bgColor theme="0" tint="-0.24994659260841701"/>
        </patternFill>
      </fill>
    </dxf>
    <dxf>
      <fill>
        <patternFill patternType="lightUp">
          <bgColor theme="0" tint="-0.24994659260841701"/>
        </patternFill>
      </fill>
    </dxf>
    <dxf>
      <fill>
        <patternFill patternType="lightUp">
          <bgColor theme="0" tint="-0.24994659260841701"/>
        </patternFill>
      </fill>
    </dxf>
    <dxf>
      <fill>
        <patternFill patternType="lightUp">
          <bgColor theme="0" tint="-0.24994659260841701"/>
        </patternFill>
      </fill>
    </dxf>
    <dxf>
      <fill>
        <patternFill patternType="lightUp">
          <bgColor theme="0" tint="-0.24994659260841701"/>
        </patternFill>
      </fill>
    </dxf>
    <dxf>
      <fill>
        <patternFill patternType="lightUp">
          <bgColor theme="0" tint="-0.24994659260841701"/>
        </patternFill>
      </fill>
    </dxf>
    <dxf>
      <fill>
        <patternFill patternType="lightUp">
          <bgColor theme="0" tint="-0.24994659260841701"/>
        </patternFill>
      </fill>
    </dxf>
    <dxf>
      <fill>
        <patternFill patternType="lightUp">
          <bgColor theme="0" tint="-0.24994659260841701"/>
        </patternFill>
      </fill>
    </dxf>
    <dxf>
      <fill>
        <patternFill patternType="lightUp">
          <bgColor theme="0" tint="-0.24994659260841701"/>
        </patternFill>
      </fill>
    </dxf>
    <dxf>
      <fill>
        <patternFill patternType="lightUp">
          <bgColor theme="0" tint="-0.24994659260841701"/>
        </patternFill>
      </fill>
    </dxf>
    <dxf>
      <fill>
        <patternFill patternType="lightUp">
          <bgColor theme="0" tint="-0.24994659260841701"/>
        </patternFill>
      </fill>
    </dxf>
    <dxf>
      <fill>
        <patternFill patternType="lightUp">
          <bgColor theme="0" tint="-0.24994659260841701"/>
        </patternFill>
      </fill>
    </dxf>
    <dxf>
      <fill>
        <patternFill patternType="lightUp">
          <bgColor theme="0" tint="-0.24994659260841701"/>
        </patternFill>
      </fill>
    </dxf>
    <dxf>
      <fill>
        <patternFill patternType="lightUp">
          <bgColor theme="0" tint="-0.24994659260841701"/>
        </patternFill>
      </fill>
    </dxf>
    <dxf>
      <fill>
        <patternFill patternType="lightUp">
          <bgColor theme="0" tint="-0.24994659260841701"/>
        </patternFill>
      </fill>
    </dxf>
    <dxf>
      <fill>
        <patternFill patternType="lightUp">
          <bgColor theme="0" tint="-0.24994659260841701"/>
        </patternFill>
      </fill>
    </dxf>
    <dxf>
      <fill>
        <patternFill patternType="lightUp">
          <bgColor theme="0" tint="-0.24994659260841701"/>
        </patternFill>
      </fill>
    </dxf>
    <dxf>
      <fill>
        <patternFill patternType="lightUp">
          <bgColor theme="0" tint="-0.24994659260841701"/>
        </patternFill>
      </fill>
    </dxf>
    <dxf>
      <fill>
        <patternFill patternType="lightUp">
          <bgColor theme="0" tint="-0.24994659260841701"/>
        </patternFill>
      </fill>
    </dxf>
    <dxf>
      <fill>
        <patternFill patternType="lightUp">
          <bgColor theme="0" tint="-0.24994659260841701"/>
        </patternFill>
      </fill>
    </dxf>
    <dxf>
      <fill>
        <patternFill patternType="lightUp">
          <bgColor theme="0" tint="-0.24994659260841701"/>
        </patternFill>
      </fill>
    </dxf>
    <dxf>
      <fill>
        <patternFill patternType="lightUp">
          <bgColor theme="0" tint="-0.24994659260841701"/>
        </patternFill>
      </fill>
    </dxf>
    <dxf>
      <fill>
        <patternFill patternType="lightUp">
          <bgColor theme="0" tint="-0.24994659260841701"/>
        </patternFill>
      </fill>
    </dxf>
    <dxf>
      <fill>
        <patternFill patternType="lightUp">
          <bgColor theme="0" tint="-0.24994659260841701"/>
        </patternFill>
      </fill>
    </dxf>
    <dxf>
      <fill>
        <patternFill patternType="lightUp">
          <bgColor theme="0" tint="-0.24994659260841701"/>
        </patternFill>
      </fill>
    </dxf>
    <dxf>
      <fill>
        <patternFill patternType="lightUp">
          <bgColor theme="0" tint="-0.24994659260841701"/>
        </patternFill>
      </fill>
    </dxf>
    <dxf>
      <fill>
        <patternFill patternType="lightUp">
          <bgColor theme="0" tint="-0.24994659260841701"/>
        </patternFill>
      </fill>
    </dxf>
    <dxf>
      <fill>
        <patternFill patternType="lightUp">
          <bgColor theme="0" tint="-0.24994659260841701"/>
        </patternFill>
      </fill>
    </dxf>
    <dxf>
      <fill>
        <patternFill patternType="lightUp">
          <bgColor theme="0" tint="-0.24994659260841701"/>
        </patternFill>
      </fill>
    </dxf>
    <dxf>
      <fill>
        <patternFill patternType="lightUp">
          <bgColor theme="0" tint="-0.24994659260841701"/>
        </patternFill>
      </fill>
    </dxf>
    <dxf>
      <fill>
        <patternFill patternType="lightUp">
          <bgColor theme="0" tint="-0.24994659260841701"/>
        </patternFill>
      </fill>
    </dxf>
    <dxf>
      <fill>
        <patternFill patternType="lightUp">
          <bgColor theme="0" tint="-0.24994659260841701"/>
        </patternFill>
      </fill>
    </dxf>
    <dxf>
      <fill>
        <patternFill patternType="lightUp">
          <bgColor theme="0" tint="-0.24994659260841701"/>
        </patternFill>
      </fill>
    </dxf>
    <dxf>
      <fill>
        <patternFill patternType="lightUp">
          <bgColor theme="0" tint="-0.24994659260841701"/>
        </patternFill>
      </fill>
    </dxf>
    <dxf>
      <fill>
        <patternFill patternType="lightUp">
          <bgColor theme="0" tint="-0.24994659260841701"/>
        </patternFill>
      </fill>
    </dxf>
    <dxf>
      <fill>
        <patternFill patternType="lightUp">
          <bgColor theme="0" tint="-0.24994659260841701"/>
        </patternFill>
      </fill>
    </dxf>
    <dxf>
      <fill>
        <patternFill patternType="lightUp">
          <bgColor theme="0" tint="-0.24994659260841701"/>
        </patternFill>
      </fill>
    </dxf>
    <dxf>
      <fill>
        <patternFill patternType="lightUp">
          <bgColor theme="0" tint="-0.24994659260841701"/>
        </patternFill>
      </fill>
    </dxf>
    <dxf>
      <fill>
        <patternFill patternType="lightUp">
          <bgColor theme="0" tint="-0.24994659260841701"/>
        </patternFill>
      </fill>
    </dxf>
    <dxf>
      <fill>
        <patternFill patternType="lightUp">
          <bgColor theme="0" tint="-0.24994659260841701"/>
        </patternFill>
      </fill>
    </dxf>
    <dxf>
      <fill>
        <patternFill patternType="lightUp">
          <bgColor theme="0" tint="-0.24994659260841701"/>
        </patternFill>
      </fill>
    </dxf>
    <dxf>
      <fill>
        <patternFill patternType="lightUp">
          <bgColor theme="0" tint="-0.24994659260841701"/>
        </patternFill>
      </fill>
    </dxf>
    <dxf>
      <fill>
        <patternFill patternType="lightUp">
          <bgColor theme="0" tint="-0.24994659260841701"/>
        </patternFill>
      </fill>
    </dxf>
    <dxf>
      <fill>
        <patternFill patternType="lightUp">
          <bgColor theme="0" tint="-0.24994659260841701"/>
        </patternFill>
      </fill>
    </dxf>
    <dxf>
      <fill>
        <patternFill patternType="lightUp">
          <bgColor theme="0" tint="-0.24994659260841701"/>
        </patternFill>
      </fill>
    </dxf>
    <dxf>
      <fill>
        <patternFill patternType="lightUp">
          <bgColor theme="0" tint="-0.24994659260841701"/>
        </patternFill>
      </fill>
    </dxf>
    <dxf>
      <fill>
        <patternFill patternType="lightUp">
          <bgColor theme="0" tint="-0.24994659260841701"/>
        </patternFill>
      </fill>
    </dxf>
    <dxf>
      <fill>
        <patternFill patternType="lightUp">
          <bgColor theme="0" tint="-0.24994659260841701"/>
        </patternFill>
      </fill>
    </dxf>
    <dxf>
      <fill>
        <patternFill patternType="lightUp">
          <bgColor theme="0" tint="-0.24994659260841701"/>
        </patternFill>
      </fill>
    </dxf>
    <dxf>
      <fill>
        <patternFill patternType="lightUp">
          <bgColor theme="0" tint="-0.24994659260841701"/>
        </patternFill>
      </fill>
    </dxf>
    <dxf>
      <fill>
        <patternFill patternType="lightUp">
          <bgColor theme="0" tint="-0.24994659260841701"/>
        </patternFill>
      </fill>
    </dxf>
    <dxf>
      <font>
        <color theme="0"/>
      </font>
      <fill>
        <patternFill>
          <bgColor rgb="FFFF0000"/>
        </patternFill>
      </fill>
      <border>
        <left style="thin">
          <color auto="1"/>
        </left>
        <right style="thin">
          <color auto="1"/>
        </right>
        <top style="thin">
          <color auto="1"/>
        </top>
        <bottom style="thin">
          <color auto="1"/>
        </bottom>
        <vertical/>
        <horizontal/>
      </border>
    </dxf>
    <dxf>
      <fill>
        <patternFill patternType="lightUp">
          <bgColor theme="0" tint="-0.24994659260841701"/>
        </patternFill>
      </fill>
    </dxf>
    <dxf>
      <font>
        <color theme="0"/>
      </font>
      <fill>
        <patternFill>
          <bgColor rgb="FFFF0000"/>
        </patternFill>
      </fill>
      <border>
        <left style="thin">
          <color auto="1"/>
        </left>
        <right style="thin">
          <color auto="1"/>
        </right>
        <top style="thin">
          <color auto="1"/>
        </top>
        <bottom style="thin">
          <color auto="1"/>
        </bottom>
        <vertical/>
        <horizontal/>
      </border>
    </dxf>
    <dxf>
      <fill>
        <patternFill patternType="lightUp">
          <bgColor theme="0" tint="-0.24994659260841701"/>
        </patternFill>
      </fill>
    </dxf>
    <dxf>
      <font>
        <color theme="0"/>
      </font>
      <fill>
        <patternFill>
          <bgColor rgb="FFFF0000"/>
        </patternFill>
      </fill>
      <border>
        <left style="thin">
          <color auto="1"/>
        </left>
        <right style="thin">
          <color auto="1"/>
        </right>
        <top style="thin">
          <color auto="1"/>
        </top>
        <bottom style="thin">
          <color auto="1"/>
        </bottom>
        <vertical/>
        <horizontal/>
      </border>
    </dxf>
    <dxf>
      <fill>
        <patternFill patternType="lightUp">
          <bgColor theme="0" tint="-0.24994659260841701"/>
        </patternFill>
      </fill>
    </dxf>
    <dxf>
      <font>
        <color theme="0"/>
      </font>
      <fill>
        <patternFill>
          <bgColor rgb="FFFF0000"/>
        </patternFill>
      </fill>
      <border>
        <left style="thin">
          <color auto="1"/>
        </left>
        <right style="thin">
          <color auto="1"/>
        </right>
        <top style="thin">
          <color auto="1"/>
        </top>
        <bottom style="thin">
          <color auto="1"/>
        </bottom>
        <vertical/>
        <horizontal/>
      </border>
    </dxf>
    <dxf>
      <fill>
        <patternFill patternType="lightUp">
          <bgColor theme="0" tint="-0.24994659260841701"/>
        </patternFill>
      </fill>
    </dxf>
    <dxf>
      <font>
        <color theme="0"/>
      </font>
      <fill>
        <patternFill>
          <bgColor rgb="FFFF0000"/>
        </patternFill>
      </fill>
      <border>
        <left style="thin">
          <color auto="1"/>
        </left>
        <right style="thin">
          <color auto="1"/>
        </right>
        <top style="thin">
          <color auto="1"/>
        </top>
        <bottom style="thin">
          <color auto="1"/>
        </bottom>
        <vertical/>
        <horizontal/>
      </border>
    </dxf>
    <dxf>
      <fill>
        <patternFill patternType="lightUp">
          <bgColor theme="0" tint="-0.24994659260841701"/>
        </patternFill>
      </fill>
    </dxf>
    <dxf>
      <font>
        <color theme="0"/>
      </font>
      <fill>
        <patternFill>
          <bgColor rgb="FFFF0000"/>
        </patternFill>
      </fill>
      <border>
        <left style="thin">
          <color auto="1"/>
        </left>
        <right style="thin">
          <color auto="1"/>
        </right>
        <top style="thin">
          <color auto="1"/>
        </top>
        <bottom style="thin">
          <color auto="1"/>
        </bottom>
        <vertical/>
        <horizontal/>
      </border>
    </dxf>
    <dxf>
      <fill>
        <patternFill patternType="lightUp">
          <bgColor theme="0" tint="-0.24994659260841701"/>
        </patternFill>
      </fill>
    </dxf>
    <dxf>
      <font>
        <color theme="0"/>
      </font>
      <fill>
        <patternFill>
          <bgColor rgb="FFFF0000"/>
        </patternFill>
      </fill>
      <border>
        <left style="thin">
          <color auto="1"/>
        </left>
        <right style="thin">
          <color auto="1"/>
        </right>
        <top style="thin">
          <color auto="1"/>
        </top>
        <bottom style="thin">
          <color auto="1"/>
        </bottom>
        <vertical/>
        <horizontal/>
      </border>
    </dxf>
    <dxf>
      <fill>
        <patternFill patternType="lightUp">
          <bgColor theme="0" tint="-0.24994659260841701"/>
        </patternFill>
      </fill>
    </dxf>
    <dxf>
      <font>
        <color theme="0"/>
      </font>
      <fill>
        <patternFill>
          <bgColor rgb="FFFF0000"/>
        </patternFill>
      </fill>
      <border>
        <left style="thin">
          <color auto="1"/>
        </left>
        <right style="thin">
          <color auto="1"/>
        </right>
        <top style="thin">
          <color auto="1"/>
        </top>
        <bottom style="thin">
          <color auto="1"/>
        </bottom>
        <vertical/>
        <horizontal/>
      </border>
    </dxf>
    <dxf>
      <fill>
        <patternFill patternType="lightUp">
          <bgColor theme="0" tint="-0.24994659260841701"/>
        </patternFill>
      </fill>
    </dxf>
    <dxf>
      <font>
        <color theme="0"/>
      </font>
      <fill>
        <patternFill>
          <bgColor rgb="FFFF0000"/>
        </patternFill>
      </fill>
      <border>
        <left style="thin">
          <color auto="1"/>
        </left>
        <right style="thin">
          <color auto="1"/>
        </right>
        <top style="thin">
          <color auto="1"/>
        </top>
        <bottom style="thin">
          <color auto="1"/>
        </bottom>
        <vertical/>
        <horizontal/>
      </border>
    </dxf>
    <dxf>
      <fill>
        <patternFill patternType="lightUp">
          <bgColor theme="0" tint="-0.24994659260841701"/>
        </patternFill>
      </fill>
    </dxf>
    <dxf>
      <font>
        <color theme="0"/>
      </font>
      <fill>
        <patternFill>
          <bgColor rgb="FFFF0000"/>
        </patternFill>
      </fill>
      <border>
        <left style="thin">
          <color auto="1"/>
        </left>
        <right style="thin">
          <color auto="1"/>
        </right>
        <top style="thin">
          <color auto="1"/>
        </top>
        <bottom style="thin">
          <color auto="1"/>
        </bottom>
        <vertical/>
        <horizontal/>
      </border>
    </dxf>
    <dxf>
      <fill>
        <patternFill patternType="lightUp">
          <bgColor theme="0" tint="-0.24994659260841701"/>
        </patternFill>
      </fill>
    </dxf>
    <dxf>
      <fill>
        <patternFill patternType="lightUp">
          <bgColor theme="0" tint="-0.24994659260841701"/>
        </patternFill>
      </fill>
    </dxf>
    <dxf>
      <fill>
        <patternFill patternType="lightUp">
          <bgColor theme="0" tint="-0.24994659260841701"/>
        </patternFill>
      </fill>
    </dxf>
    <dxf>
      <fill>
        <patternFill patternType="lightUp">
          <bgColor theme="0" tint="-0.24994659260841701"/>
        </patternFill>
      </fill>
    </dxf>
    <dxf>
      <fill>
        <patternFill patternType="lightUp">
          <bgColor theme="0" tint="-0.24994659260841701"/>
        </patternFill>
      </fill>
    </dxf>
    <dxf>
      <fill>
        <patternFill patternType="lightUp">
          <bgColor theme="0" tint="-0.24994659260841701"/>
        </patternFill>
      </fill>
    </dxf>
    <dxf>
      <fill>
        <patternFill patternType="lightUp">
          <bgColor theme="0" tint="-0.24994659260841701"/>
        </patternFill>
      </fill>
    </dxf>
    <dxf>
      <fill>
        <patternFill patternType="lightUp">
          <bgColor theme="0" tint="-0.24994659260841701"/>
        </patternFill>
      </fill>
    </dxf>
    <dxf>
      <fill>
        <patternFill patternType="lightUp">
          <bgColor theme="0" tint="-0.24994659260841701"/>
        </patternFill>
      </fill>
    </dxf>
    <dxf>
      <fill>
        <patternFill patternType="lightUp">
          <bgColor theme="0" tint="-0.24994659260841701"/>
        </patternFill>
      </fill>
    </dxf>
    <dxf>
      <fill>
        <patternFill patternType="lightUp">
          <bgColor theme="0" tint="-0.24994659260841701"/>
        </patternFill>
      </fill>
    </dxf>
    <dxf>
      <fill>
        <patternFill patternType="lightUp">
          <bgColor theme="0" tint="-0.24994659260841701"/>
        </patternFill>
      </fill>
    </dxf>
    <dxf>
      <fill>
        <patternFill patternType="lightUp">
          <bgColor theme="0" tint="-0.24994659260841701"/>
        </patternFill>
      </fill>
    </dxf>
    <dxf>
      <fill>
        <patternFill patternType="lightUp">
          <bgColor theme="0" tint="-0.24994659260841701"/>
        </patternFill>
      </fill>
    </dxf>
    <dxf>
      <fill>
        <patternFill patternType="lightUp">
          <bgColor theme="0" tint="-0.24994659260841701"/>
        </patternFill>
      </fill>
    </dxf>
    <dxf>
      <fill>
        <patternFill patternType="lightUp">
          <bgColor theme="0" tint="-0.24994659260841701"/>
        </patternFill>
      </fill>
    </dxf>
    <dxf>
      <fill>
        <patternFill patternType="lightUp">
          <bgColor theme="0" tint="-0.24994659260841701"/>
        </patternFill>
      </fill>
    </dxf>
    <dxf>
      <fill>
        <patternFill patternType="lightUp">
          <bgColor theme="0" tint="-0.24994659260841701"/>
        </patternFill>
      </fill>
    </dxf>
    <dxf>
      <fill>
        <patternFill patternType="lightUp">
          <bgColor theme="0" tint="-0.24994659260841701"/>
        </patternFill>
      </fill>
    </dxf>
    <dxf>
      <fill>
        <patternFill patternType="lightUp">
          <bgColor theme="0" tint="-0.24994659260841701"/>
        </patternFill>
      </fill>
    </dxf>
    <dxf>
      <fill>
        <patternFill patternType="lightUp">
          <bgColor theme="0" tint="-0.24994659260841701"/>
        </patternFill>
      </fill>
    </dxf>
    <dxf>
      <fill>
        <patternFill patternType="lightUp">
          <bgColor theme="0" tint="-0.24994659260841701"/>
        </patternFill>
      </fill>
    </dxf>
    <dxf>
      <fill>
        <patternFill patternType="lightUp">
          <bgColor theme="0" tint="-0.24994659260841701"/>
        </patternFill>
      </fill>
    </dxf>
    <dxf>
      <fill>
        <patternFill patternType="lightUp">
          <bgColor theme="0" tint="-0.24994659260841701"/>
        </patternFill>
      </fill>
    </dxf>
    <dxf>
      <fill>
        <patternFill patternType="lightUp">
          <bgColor theme="0" tint="-0.24994659260841701"/>
        </patternFill>
      </fill>
    </dxf>
    <dxf>
      <fill>
        <patternFill patternType="lightUp">
          <bgColor theme="0" tint="-0.24994659260841701"/>
        </patternFill>
      </fill>
    </dxf>
    <dxf>
      <fill>
        <patternFill patternType="lightUp">
          <bgColor theme="0" tint="-0.24994659260841701"/>
        </patternFill>
      </fill>
    </dxf>
    <dxf>
      <fill>
        <patternFill patternType="lightUp">
          <bgColor theme="0" tint="-0.24994659260841701"/>
        </patternFill>
      </fill>
    </dxf>
    <dxf>
      <fill>
        <patternFill patternType="lightUp">
          <bgColor theme="0" tint="-0.24994659260841701"/>
        </patternFill>
      </fill>
    </dxf>
    <dxf>
      <fill>
        <patternFill patternType="lightUp">
          <bgColor theme="0" tint="-0.24994659260841701"/>
        </patternFill>
      </fill>
    </dxf>
    <dxf>
      <fill>
        <patternFill patternType="lightUp">
          <bgColor theme="0" tint="-0.24994659260841701"/>
        </patternFill>
      </fill>
    </dxf>
    <dxf>
      <fill>
        <patternFill patternType="lightUp">
          <bgColor theme="0" tint="-0.24994659260841701"/>
        </patternFill>
      </fill>
    </dxf>
    <dxf>
      <fill>
        <patternFill patternType="lightUp">
          <bgColor theme="0" tint="-0.24994659260841701"/>
        </patternFill>
      </fill>
    </dxf>
    <dxf>
      <fill>
        <patternFill patternType="lightUp">
          <bgColor theme="0" tint="-0.24994659260841701"/>
        </patternFill>
      </fill>
    </dxf>
    <dxf>
      <fill>
        <patternFill patternType="lightUp">
          <bgColor theme="0" tint="-0.24994659260841701"/>
        </patternFill>
      </fill>
    </dxf>
    <dxf>
      <fill>
        <patternFill patternType="lightUp">
          <bgColor theme="0" tint="-0.24994659260841701"/>
        </patternFill>
      </fill>
    </dxf>
    <dxf>
      <fill>
        <patternFill patternType="lightUp">
          <bgColor theme="0" tint="-0.24994659260841701"/>
        </patternFill>
      </fill>
    </dxf>
    <dxf>
      <fill>
        <patternFill patternType="lightUp">
          <bgColor theme="0" tint="-0.24994659260841701"/>
        </patternFill>
      </fill>
    </dxf>
    <dxf>
      <fill>
        <patternFill patternType="lightUp">
          <bgColor theme="0" tint="-0.24994659260841701"/>
        </patternFill>
      </fill>
    </dxf>
    <dxf>
      <fill>
        <patternFill patternType="lightUp">
          <bgColor theme="0" tint="-0.24994659260841701"/>
        </patternFill>
      </fill>
    </dxf>
    <dxf>
      <fill>
        <patternFill patternType="lightUp">
          <bgColor theme="0" tint="-0.24994659260841701"/>
        </patternFill>
      </fill>
    </dxf>
    <dxf>
      <fill>
        <patternFill patternType="lightUp">
          <bgColor theme="0" tint="-0.24994659260841701"/>
        </patternFill>
      </fill>
    </dxf>
    <dxf>
      <fill>
        <patternFill patternType="lightUp">
          <bgColor theme="0" tint="-0.24994659260841701"/>
        </patternFill>
      </fill>
    </dxf>
    <dxf>
      <fill>
        <patternFill patternType="lightUp">
          <bgColor theme="0" tint="-0.24994659260841701"/>
        </patternFill>
      </fill>
    </dxf>
    <dxf>
      <fill>
        <patternFill patternType="lightUp">
          <bgColor theme="0" tint="-0.24994659260841701"/>
        </patternFill>
      </fill>
    </dxf>
    <dxf>
      <fill>
        <patternFill patternType="lightUp">
          <bgColor theme="0" tint="-0.24994659260841701"/>
        </patternFill>
      </fill>
    </dxf>
    <dxf>
      <fill>
        <patternFill patternType="lightUp">
          <bgColor theme="0" tint="-0.24994659260841701"/>
        </patternFill>
      </fill>
    </dxf>
    <dxf>
      <fill>
        <patternFill patternType="lightUp">
          <bgColor theme="0" tint="-0.24994659260841701"/>
        </patternFill>
      </fill>
    </dxf>
    <dxf>
      <fill>
        <patternFill patternType="lightUp">
          <bgColor theme="0" tint="-0.24994659260841701"/>
        </patternFill>
      </fill>
    </dxf>
    <dxf>
      <fill>
        <patternFill patternType="lightUp">
          <bgColor theme="0" tint="-0.24994659260841701"/>
        </patternFill>
      </fill>
    </dxf>
    <dxf>
      <fill>
        <patternFill patternType="lightUp">
          <bgColor theme="0" tint="-0.24994659260841701"/>
        </patternFill>
      </fill>
    </dxf>
    <dxf>
      <fill>
        <patternFill patternType="lightUp">
          <bgColor theme="0" tint="-0.24994659260841701"/>
        </patternFill>
      </fill>
    </dxf>
    <dxf>
      <fill>
        <patternFill patternType="lightUp">
          <bgColor theme="0" tint="-0.24994659260841701"/>
        </patternFill>
      </fill>
    </dxf>
    <dxf>
      <fill>
        <patternFill patternType="lightUp">
          <bgColor theme="0" tint="-0.24994659260841701"/>
        </patternFill>
      </fill>
    </dxf>
    <dxf>
      <fill>
        <patternFill patternType="lightUp">
          <bgColor theme="0" tint="-0.24994659260841701"/>
        </patternFill>
      </fill>
    </dxf>
    <dxf>
      <fill>
        <patternFill patternType="lightUp">
          <bgColor theme="0" tint="-0.24994659260841701"/>
        </patternFill>
      </fill>
    </dxf>
    <dxf>
      <fill>
        <patternFill patternType="lightUp">
          <bgColor theme="0" tint="-0.24994659260841701"/>
        </patternFill>
      </fill>
    </dxf>
    <dxf>
      <fill>
        <patternFill patternType="lightUp">
          <bgColor theme="0" tint="-0.24994659260841701"/>
        </patternFill>
      </fill>
    </dxf>
    <dxf>
      <fill>
        <patternFill patternType="lightUp">
          <bgColor theme="0" tint="-0.24994659260841701"/>
        </patternFill>
      </fill>
    </dxf>
    <dxf>
      <fill>
        <patternFill patternType="lightUp">
          <bgColor theme="0" tint="-0.24994659260841701"/>
        </patternFill>
      </fill>
    </dxf>
    <dxf>
      <fill>
        <patternFill patternType="lightUp">
          <bgColor theme="0" tint="-0.24994659260841701"/>
        </patternFill>
      </fill>
    </dxf>
    <dxf>
      <fill>
        <patternFill patternType="lightUp">
          <bgColor theme="0" tint="-0.24994659260841701"/>
        </patternFill>
      </fill>
    </dxf>
    <dxf>
      <fill>
        <patternFill patternType="lightUp">
          <bgColor theme="0" tint="-0.24994659260841701"/>
        </patternFill>
      </fill>
    </dxf>
    <dxf>
      <fill>
        <patternFill patternType="lightUp">
          <bgColor theme="0" tint="-0.24994659260841701"/>
        </patternFill>
      </fill>
    </dxf>
    <dxf>
      <fill>
        <patternFill patternType="lightUp">
          <bgColor theme="0" tint="-0.24994659260841701"/>
        </patternFill>
      </fill>
    </dxf>
    <dxf>
      <fill>
        <patternFill patternType="lightUp">
          <bgColor theme="0" tint="-0.24994659260841701"/>
        </patternFill>
      </fill>
    </dxf>
    <dxf>
      <fill>
        <patternFill patternType="lightUp">
          <bgColor theme="0" tint="-0.24994659260841701"/>
        </patternFill>
      </fill>
    </dxf>
    <dxf>
      <fill>
        <patternFill patternType="lightUp">
          <bgColor theme="0" tint="-0.24994659260841701"/>
        </patternFill>
      </fill>
    </dxf>
    <dxf>
      <fill>
        <patternFill patternType="lightUp">
          <bgColor theme="0" tint="-0.24994659260841701"/>
        </patternFill>
      </fill>
    </dxf>
    <dxf>
      <fill>
        <patternFill patternType="lightUp">
          <bgColor theme="0" tint="-0.24994659260841701"/>
        </patternFill>
      </fill>
    </dxf>
    <dxf>
      <fill>
        <patternFill patternType="lightUp">
          <bgColor theme="0" tint="-0.24994659260841701"/>
        </patternFill>
      </fill>
    </dxf>
    <dxf>
      <fill>
        <patternFill>
          <bgColor rgb="FFFFC000"/>
        </patternFill>
      </fill>
    </dxf>
    <dxf>
      <fill>
        <patternFill patternType="lightUp">
          <bgColor theme="0" tint="-0.24994659260841701"/>
        </patternFill>
      </fill>
    </dxf>
    <dxf>
      <fill>
        <patternFill patternType="lightUp">
          <bgColor theme="0" tint="-0.24994659260841701"/>
        </patternFill>
      </fill>
    </dxf>
    <dxf>
      <fill>
        <patternFill>
          <bgColor rgb="FFFF0000"/>
        </patternFill>
      </fill>
    </dxf>
    <dxf>
      <fill>
        <patternFill>
          <bgColor rgb="FFFFC000"/>
        </patternFill>
      </fill>
    </dxf>
    <dxf>
      <fill>
        <patternFill>
          <bgColor rgb="FFFFC000"/>
        </patternFill>
      </fill>
    </dxf>
    <dxf>
      <fill>
        <patternFill patternType="lightUp">
          <bgColor theme="0" tint="-0.24994659260841701"/>
        </patternFill>
      </fill>
    </dxf>
    <dxf>
      <fill>
        <patternFill>
          <bgColor rgb="FFFFC000"/>
        </patternFill>
      </fill>
    </dxf>
    <dxf>
      <font>
        <b val="0"/>
        <i val="0"/>
        <strike val="0"/>
        <color theme="0"/>
      </font>
      <fill>
        <patternFill>
          <bgColor theme="4"/>
        </patternFill>
      </fill>
      <border>
        <left style="thin">
          <color indexed="64"/>
        </left>
        <right style="thin">
          <color indexed="64"/>
        </right>
        <top style="thin">
          <color indexed="64"/>
        </top>
        <bottom style="thin">
          <color indexed="64"/>
        </bottom>
      </border>
    </dxf>
    <dxf>
      <fill>
        <patternFill patternType="lightUp">
          <bgColor theme="0" tint="-0.24994659260841701"/>
        </patternFill>
      </fill>
    </dxf>
    <dxf>
      <font>
        <strike val="0"/>
      </font>
      <fill>
        <patternFill patternType="lightUp">
          <bgColor theme="0" tint="-0.24994659260841701"/>
        </patternFill>
      </fill>
    </dxf>
    <dxf>
      <font>
        <strike val="0"/>
      </font>
      <fill>
        <patternFill patternType="lightUp">
          <bgColor theme="0" tint="-0.24994659260841701"/>
        </patternFill>
      </fill>
    </dxf>
    <dxf>
      <font>
        <strike val="0"/>
      </font>
      <fill>
        <patternFill patternType="lightUp">
          <bgColor theme="0" tint="-0.24994659260841701"/>
        </patternFill>
      </fill>
    </dxf>
    <dxf>
      <font>
        <strike val="0"/>
      </font>
      <fill>
        <patternFill patternType="lightUp">
          <bgColor theme="0" tint="-0.24994659260841701"/>
        </patternFill>
      </fill>
    </dxf>
    <dxf>
      <font>
        <strike val="0"/>
      </font>
      <fill>
        <patternFill patternType="lightUp">
          <bgColor theme="0" tint="-0.24994659260841701"/>
        </patternFill>
      </fill>
    </dxf>
    <dxf>
      <font>
        <strike val="0"/>
      </font>
      <fill>
        <patternFill patternType="lightUp">
          <bgColor theme="0" tint="-0.24994659260841701"/>
        </patternFill>
      </fill>
    </dxf>
    <dxf>
      <font>
        <strike val="0"/>
      </font>
      <fill>
        <patternFill patternType="lightUp">
          <bgColor theme="0" tint="-0.24994659260841701"/>
        </patternFill>
      </fill>
    </dxf>
    <dxf>
      <font>
        <strike val="0"/>
      </font>
      <fill>
        <patternFill patternType="lightUp">
          <bgColor theme="0" tint="-0.24994659260841701"/>
        </patternFill>
      </fill>
    </dxf>
    <dxf>
      <font>
        <strike val="0"/>
      </font>
      <fill>
        <patternFill patternType="lightUp">
          <bgColor theme="0" tint="-0.24994659260841701"/>
        </patternFill>
      </fill>
    </dxf>
    <dxf>
      <font>
        <strike val="0"/>
      </font>
      <fill>
        <patternFill patternType="lightUp">
          <bgColor theme="0" tint="-0.24994659260841701"/>
        </patternFill>
      </fill>
    </dxf>
    <dxf>
      <font>
        <strike val="0"/>
      </font>
      <fill>
        <patternFill patternType="lightUp">
          <bgColor theme="0" tint="-0.24994659260841701"/>
        </patternFill>
      </fill>
    </dxf>
    <dxf>
      <font>
        <strike val="0"/>
      </font>
      <fill>
        <patternFill patternType="lightUp">
          <bgColor theme="0" tint="-0.24994659260841701"/>
        </patternFill>
      </fill>
    </dxf>
    <dxf>
      <font>
        <strike val="0"/>
      </font>
      <fill>
        <patternFill patternType="lightUp">
          <bgColor theme="0" tint="-0.24994659260841701"/>
        </patternFill>
      </fill>
    </dxf>
    <dxf>
      <font>
        <strike val="0"/>
      </font>
      <fill>
        <patternFill patternType="lightUp">
          <bgColor theme="0" tint="-0.24994659260841701"/>
        </patternFill>
      </fill>
    </dxf>
    <dxf>
      <font>
        <strike val="0"/>
      </font>
      <fill>
        <patternFill patternType="lightUp">
          <bgColor theme="0" tint="-0.24994659260841701"/>
        </patternFill>
      </fill>
    </dxf>
    <dxf>
      <font>
        <strike val="0"/>
      </font>
      <fill>
        <patternFill patternType="lightUp">
          <bgColor theme="0" tint="-0.24994659260841701"/>
        </patternFill>
      </fill>
    </dxf>
    <dxf>
      <font>
        <strike val="0"/>
      </font>
      <fill>
        <patternFill patternType="lightUp">
          <bgColor theme="0" tint="-0.24994659260841701"/>
        </patternFill>
      </fill>
    </dxf>
    <dxf>
      <font>
        <strike val="0"/>
      </font>
      <fill>
        <patternFill patternType="lightUp">
          <bgColor theme="0" tint="-0.24994659260841701"/>
        </patternFill>
      </fill>
    </dxf>
    <dxf>
      <font>
        <strike val="0"/>
      </font>
      <fill>
        <patternFill patternType="lightUp">
          <bgColor theme="0" tint="-0.24994659260841701"/>
        </patternFill>
      </fill>
    </dxf>
    <dxf>
      <font>
        <strike val="0"/>
      </font>
      <fill>
        <patternFill patternType="lightUp">
          <bgColor theme="0" tint="-0.24994659260841701"/>
        </patternFill>
      </fill>
    </dxf>
    <dxf>
      <fill>
        <patternFill patternType="lightUp">
          <bgColor theme="0" tint="-0.24994659260841701"/>
        </patternFill>
      </fill>
    </dxf>
    <dxf>
      <fill>
        <patternFill patternType="lightUp">
          <bgColor theme="0" tint="-0.24994659260841701"/>
        </patternFill>
      </fill>
    </dxf>
    <dxf>
      <fill>
        <patternFill patternType="lightUp">
          <bgColor theme="0" tint="-0.24994659260841701"/>
        </patternFill>
      </fill>
    </dxf>
    <dxf>
      <fill>
        <patternFill>
          <bgColor rgb="FFFFC000"/>
        </patternFill>
      </fill>
    </dxf>
    <dxf>
      <fill>
        <patternFill>
          <bgColor rgb="FFFFC000"/>
        </patternFill>
      </fill>
    </dxf>
    <dxf>
      <fill>
        <patternFill>
          <bgColor rgb="FFFFC000"/>
        </patternFill>
      </fill>
    </dxf>
    <dxf>
      <fill>
        <patternFill>
          <bgColor rgb="FFFF0000"/>
        </patternFill>
      </fill>
    </dxf>
    <dxf>
      <fill>
        <patternFill>
          <bgColor rgb="FFFFC000"/>
        </patternFill>
      </fill>
    </dxf>
    <dxf>
      <fill>
        <patternFill>
          <bgColor rgb="FFFFC000"/>
        </patternFill>
      </fill>
    </dxf>
    <dxf>
      <fill>
        <patternFill>
          <bgColor rgb="FF00B0F0"/>
        </patternFill>
      </fill>
    </dxf>
    <dxf>
      <fill>
        <patternFill>
          <bgColor rgb="FF92D050"/>
        </patternFill>
      </fill>
    </dxf>
    <dxf>
      <fill>
        <patternFill>
          <bgColor theme="0" tint="-0.24994659260841701"/>
        </patternFill>
      </fill>
    </dxf>
    <dxf>
      <fill>
        <patternFill patternType="solid">
          <fgColor indexed="64"/>
          <bgColor rgb="FFFFC000"/>
        </patternFill>
      </fill>
    </dxf>
    <dxf>
      <fill>
        <patternFill>
          <bgColor rgb="FF00B0F0"/>
        </patternFill>
      </fill>
    </dxf>
    <dxf>
      <fill>
        <patternFill>
          <bgColor rgb="FF92D050"/>
        </patternFill>
      </fill>
    </dxf>
    <dxf>
      <font>
        <strike val="0"/>
        <color theme="0"/>
      </font>
      <fill>
        <patternFill patternType="solid">
          <fgColor indexed="64"/>
          <bgColor rgb="FFFF0000"/>
        </patternFill>
      </fill>
    </dxf>
    <dxf>
      <fill>
        <patternFill patternType="lightUp">
          <bgColor theme="0" tint="-0.24994659260841701"/>
        </patternFill>
      </fill>
    </dxf>
    <dxf>
      <font>
        <b val="0"/>
        <i val="0"/>
        <strike val="0"/>
        <color theme="0"/>
      </font>
      <fill>
        <patternFill>
          <bgColor theme="4"/>
        </patternFill>
      </fill>
      <border>
        <left style="thin">
          <color indexed="64"/>
        </left>
        <right style="thin">
          <color indexed="64"/>
        </right>
        <top style="thin">
          <color indexed="64"/>
        </top>
        <bottom style="thin">
          <color indexed="64"/>
        </bottom>
      </border>
    </dxf>
    <dxf>
      <font>
        <color theme="0"/>
      </font>
      <fill>
        <patternFill>
          <bgColor theme="4"/>
        </patternFill>
      </fill>
      <border>
        <left style="thin">
          <color auto="1"/>
        </left>
        <right style="thin">
          <color auto="1"/>
        </right>
        <top style="thin">
          <color auto="1"/>
        </top>
        <bottom style="thin">
          <color auto="1"/>
        </bottom>
        <vertical/>
        <horizontal/>
      </border>
    </dxf>
    <dxf>
      <font>
        <b val="0"/>
        <i val="0"/>
        <strike val="0"/>
        <color theme="0"/>
      </font>
      <fill>
        <patternFill>
          <bgColor rgb="FFFF0000"/>
        </patternFill>
      </fill>
      <border>
        <left style="thin">
          <color indexed="64"/>
        </left>
        <right style="thin">
          <color indexed="64"/>
        </right>
        <top style="thin">
          <color indexed="64"/>
        </top>
        <bottom style="thin">
          <color indexed="64"/>
        </bottom>
      </border>
    </dxf>
    <dxf>
      <font>
        <color theme="0"/>
      </font>
      <fill>
        <patternFill>
          <bgColor theme="4"/>
        </patternFill>
      </fill>
      <border>
        <left style="thin">
          <color auto="1"/>
        </left>
        <right style="thin">
          <color auto="1"/>
        </right>
        <top style="thin">
          <color auto="1"/>
        </top>
        <bottom style="thin">
          <color auto="1"/>
        </bottom>
        <vertical/>
        <horizontal/>
      </border>
    </dxf>
    <dxf>
      <font>
        <color theme="0"/>
      </font>
      <fill>
        <patternFill>
          <bgColor theme="4"/>
        </patternFill>
      </fill>
      <border>
        <left style="thin">
          <color auto="1"/>
        </left>
        <right style="thin">
          <color auto="1"/>
        </right>
        <top style="thin">
          <color auto="1"/>
        </top>
        <bottom style="thin">
          <color auto="1"/>
        </bottom>
        <vertical/>
        <horizontal/>
      </border>
    </dxf>
    <dxf>
      <font>
        <b val="0"/>
        <i val="0"/>
        <strike val="0"/>
        <color theme="0"/>
      </font>
      <fill>
        <patternFill>
          <bgColor rgb="FFFF0000"/>
        </patternFill>
      </fill>
      <border>
        <left style="thin">
          <color indexed="64"/>
        </left>
        <right style="thin">
          <color indexed="64"/>
        </right>
        <top style="thin">
          <color indexed="64"/>
        </top>
        <bottom style="thin">
          <color indexed="64"/>
        </bottom>
      </border>
    </dxf>
    <dxf>
      <font>
        <strike val="0"/>
      </font>
      <fill>
        <patternFill>
          <bgColor rgb="FFFF0000"/>
        </patternFill>
      </fill>
      <border>
        <left style="thin">
          <color auto="1"/>
        </left>
        <right style="thin">
          <color auto="1"/>
        </right>
        <top style="thin">
          <color auto="1"/>
        </top>
        <bottom style="thin">
          <color auto="1"/>
        </bottom>
        <vertical/>
        <horizontal/>
      </border>
    </dxf>
    <dxf>
      <fill>
        <patternFill patternType="lightUp">
          <bgColor theme="0" tint="-0.24994659260841701"/>
        </patternFill>
      </fill>
    </dxf>
    <dxf>
      <fill>
        <patternFill patternType="lightUp">
          <bgColor theme="0" tint="-0.24994659260841701"/>
        </patternFill>
      </fill>
    </dxf>
    <dxf>
      <fill>
        <patternFill patternType="lightUp">
          <bgColor theme="0" tint="-0.24994659260841701"/>
        </patternFill>
      </fill>
    </dxf>
    <dxf>
      <fill>
        <patternFill patternType="lightUp">
          <bgColor theme="0" tint="-0.24994659260841701"/>
        </patternFill>
      </fill>
    </dxf>
    <dxf>
      <fill>
        <patternFill patternType="lightUp">
          <bgColor theme="0" tint="-0.24994659260841701"/>
        </patternFill>
      </fill>
    </dxf>
    <dxf>
      <fill>
        <patternFill patternType="lightUp">
          <bgColor theme="0" tint="-0.24994659260841701"/>
        </patternFill>
      </fill>
    </dxf>
    <dxf>
      <fill>
        <patternFill patternType="lightUp">
          <bgColor theme="0" tint="-0.24994659260841701"/>
        </patternFill>
      </fill>
    </dxf>
    <dxf>
      <fill>
        <patternFill patternType="lightUp">
          <bgColor theme="0" tint="-0.24994659260841701"/>
        </patternFill>
      </fill>
    </dxf>
    <dxf>
      <fill>
        <patternFill patternType="lightUp">
          <bgColor theme="0" tint="-0.24994659260841701"/>
        </patternFill>
      </fill>
    </dxf>
    <dxf>
      <fill>
        <patternFill patternType="lightUp">
          <bgColor theme="0" tint="-0.24994659260841701"/>
        </patternFill>
      </fill>
    </dxf>
    <dxf>
      <fill>
        <patternFill patternType="lightUp">
          <bgColor theme="0" tint="-0.24994659260841701"/>
        </patternFill>
      </fill>
    </dxf>
    <dxf>
      <fill>
        <patternFill patternType="lightUp">
          <bgColor theme="0" tint="-0.24994659260841701"/>
        </patternFill>
      </fill>
    </dxf>
    <dxf>
      <fill>
        <patternFill patternType="lightUp">
          <bgColor theme="0" tint="-0.24994659260841701"/>
        </patternFill>
      </fill>
    </dxf>
    <dxf>
      <fill>
        <patternFill patternType="lightUp">
          <bgColor theme="0" tint="-0.24994659260841701"/>
        </patternFill>
      </fill>
    </dxf>
    <dxf>
      <fill>
        <patternFill patternType="lightUp">
          <bgColor theme="0" tint="-0.24994659260841701"/>
        </patternFill>
      </fill>
    </dxf>
    <dxf>
      <fill>
        <patternFill patternType="lightUp">
          <bgColor theme="0" tint="-0.24994659260841701"/>
        </patternFill>
      </fill>
    </dxf>
    <dxf>
      <fill>
        <patternFill patternType="lightUp">
          <bgColor theme="0" tint="-0.24994659260841701"/>
        </patternFill>
      </fill>
    </dxf>
    <dxf>
      <fill>
        <patternFill patternType="lightUp">
          <bgColor theme="0" tint="-0.24994659260841701"/>
        </patternFill>
      </fill>
    </dxf>
    <dxf>
      <fill>
        <patternFill patternType="lightUp">
          <bgColor theme="0" tint="-0.24994659260841701"/>
        </patternFill>
      </fill>
    </dxf>
    <dxf>
      <fill>
        <patternFill patternType="lightUp">
          <bgColor theme="0" tint="-0.24994659260841701"/>
        </patternFill>
      </fill>
    </dxf>
    <dxf>
      <fill>
        <patternFill patternType="lightUp">
          <bgColor theme="0" tint="-0.24994659260841701"/>
        </patternFill>
      </fill>
    </dxf>
    <dxf>
      <fill>
        <patternFill patternType="lightUp">
          <bgColor theme="0" tint="-0.24994659260841701"/>
        </patternFill>
      </fill>
    </dxf>
    <dxf>
      <fill>
        <patternFill patternType="lightUp">
          <bgColor theme="0" tint="-0.24994659260841701"/>
        </patternFill>
      </fill>
    </dxf>
    <dxf>
      <fill>
        <patternFill patternType="lightUp">
          <bgColor theme="0" tint="-0.24994659260841701"/>
        </patternFill>
      </fill>
    </dxf>
    <dxf>
      <fill>
        <patternFill patternType="lightUp">
          <bgColor theme="0" tint="-0.24994659260841701"/>
        </patternFill>
      </fill>
    </dxf>
    <dxf>
      <font>
        <b val="0"/>
        <i val="0"/>
        <strike val="0"/>
        <color theme="0"/>
      </font>
      <fill>
        <patternFill>
          <bgColor theme="4"/>
        </patternFill>
      </fill>
      <border>
        <left style="thin">
          <color indexed="64"/>
        </left>
        <right style="thin">
          <color indexed="64"/>
        </right>
        <top style="thin">
          <color indexed="64"/>
        </top>
        <bottom style="thin">
          <color indexed="64"/>
        </bottom>
      </border>
    </dxf>
    <dxf>
      <font>
        <b val="0"/>
        <i val="0"/>
        <strike val="0"/>
        <color theme="0"/>
      </font>
      <fill>
        <patternFill>
          <bgColor theme="4"/>
        </patternFill>
      </fill>
      <border>
        <left style="thin">
          <color indexed="64"/>
        </left>
        <right style="thin">
          <color indexed="64"/>
        </right>
        <top style="thin">
          <color indexed="64"/>
        </top>
        <bottom style="thin">
          <color indexed="64"/>
        </bottom>
      </border>
    </dxf>
    <dxf>
      <fill>
        <patternFill patternType="lightUp">
          <bgColor theme="0" tint="-0.24994659260841701"/>
        </patternFill>
      </fill>
    </dxf>
    <dxf>
      <fill>
        <patternFill patternType="lightUp">
          <bgColor theme="0" tint="-0.24994659260841701"/>
        </patternFill>
      </fill>
    </dxf>
    <dxf>
      <fill>
        <patternFill patternType="lightUp">
          <bgColor theme="0" tint="-0.24994659260841701"/>
        </patternFill>
      </fill>
    </dxf>
    <dxf>
      <fill>
        <patternFill patternType="lightUp">
          <bgColor theme="0" tint="-0.24994659260841701"/>
        </patternFill>
      </fill>
    </dxf>
    <dxf>
      <fill>
        <patternFill patternType="lightUp">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bgColor theme="0" tint="-0.24994659260841701"/>
        </patternFill>
      </fill>
    </dxf>
    <dxf>
      <fill>
        <patternFill patternType="lightUp">
          <bgColor theme="0" tint="-0.24994659260841701"/>
        </patternFill>
      </fill>
    </dxf>
    <dxf>
      <font>
        <strike val="0"/>
        <color theme="0"/>
      </font>
      <fill>
        <patternFill>
          <bgColor theme="4"/>
        </patternFill>
      </fill>
      <border>
        <left style="thin">
          <color auto="1"/>
        </left>
        <right style="thin">
          <color auto="1"/>
        </right>
        <top style="thin">
          <color auto="1"/>
        </top>
        <bottom style="thin">
          <color auto="1"/>
        </bottom>
        <vertical/>
        <horizontal/>
      </border>
    </dxf>
    <dxf>
      <font>
        <strike val="0"/>
        <color theme="0"/>
      </font>
      <fill>
        <patternFill>
          <bgColor theme="4"/>
        </patternFill>
      </fill>
      <border>
        <left style="thin">
          <color auto="1"/>
        </left>
        <right style="thin">
          <color auto="1"/>
        </right>
        <top style="thin">
          <color auto="1"/>
        </top>
        <bottom style="thin">
          <color auto="1"/>
        </bottom>
        <vertical/>
        <horizontal/>
      </border>
    </dxf>
    <dxf>
      <font>
        <strike val="0"/>
        <color theme="0"/>
      </font>
      <fill>
        <patternFill>
          <bgColor theme="4"/>
        </patternFill>
      </fill>
      <border>
        <left style="thin">
          <color auto="1"/>
        </left>
        <right style="thin">
          <color auto="1"/>
        </right>
        <top style="thin">
          <color auto="1"/>
        </top>
        <bottom style="thin">
          <color auto="1"/>
        </bottom>
        <vertical/>
        <horizontal/>
      </border>
    </dxf>
    <dxf>
      <fill>
        <patternFill patternType="lightUp">
          <bgColor theme="0" tint="-0.24994659260841701"/>
        </patternFill>
      </fill>
    </dxf>
  </dxfs>
  <tableStyles count="0" defaultTableStyle="TableStyleMedium9" defaultPivotStyle="PivotStyleLight16"/>
  <colors>
    <mruColors>
      <color rgb="FFFFFF93"/>
      <color rgb="FFFFA7B1"/>
      <color rgb="FFFFC7CE"/>
      <color rgb="FFFFFF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microsoft.com/office/2017/10/relationships/person" Target="persons/person.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13</xdr:col>
      <xdr:colOff>123825</xdr:colOff>
      <xdr:row>5</xdr:row>
      <xdr:rowOff>47625</xdr:rowOff>
    </xdr:from>
    <xdr:to>
      <xdr:col>15</xdr:col>
      <xdr:colOff>1153661</xdr:colOff>
      <xdr:row>11</xdr:row>
      <xdr:rowOff>57150</xdr:rowOff>
    </xdr:to>
    <xdr:pic>
      <xdr:nvPicPr>
        <xdr:cNvPr id="3" name="Picture 2">
          <a:extLst>
            <a:ext uri="{FF2B5EF4-FFF2-40B4-BE49-F238E27FC236}">
              <a16:creationId xmlns:a16="http://schemas.microsoft.com/office/drawing/2014/main" id="{10F13B24-6DF5-80A9-A7C9-B049291133BC}"/>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0848975" y="1104900"/>
          <a:ext cx="3325361" cy="100965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Deloitt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Arial">
      <a:maj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ajorFont>
      <a:min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1">
    <tabColor theme="5"/>
  </sheetPr>
  <dimension ref="A1:P63"/>
  <sheetViews>
    <sheetView showGridLines="0" tabSelected="1" zoomScaleNormal="100" workbookViewId="0">
      <pane ySplit="3" topLeftCell="A4" activePane="bottomLeft" state="frozen"/>
      <selection pane="bottomLeft" activeCell="A4" sqref="A4"/>
    </sheetView>
  </sheetViews>
  <sheetFormatPr defaultRowHeight="12.75" customHeight="1" x14ac:dyDescent="0.2"/>
  <cols>
    <col min="1" max="1" width="3.7109375" customWidth="1"/>
    <col min="2" max="3" width="3.7109375" hidden="1" customWidth="1"/>
    <col min="4" max="4" width="30.7109375" customWidth="1"/>
    <col min="5" max="5" width="15.7109375" customWidth="1"/>
    <col min="6" max="6" width="3.7109375" customWidth="1"/>
    <col min="7" max="8" width="12.7109375" customWidth="1"/>
    <col min="9" max="9" width="15.7109375" customWidth="1"/>
    <col min="10" max="10" width="3.7109375" customWidth="1"/>
    <col min="11" max="13" width="20.7109375" customWidth="1"/>
    <col min="14" max="14" width="3.7109375" customWidth="1"/>
    <col min="15" max="16" width="30.7109375" customWidth="1"/>
    <col min="17" max="17" width="12.7109375" customWidth="1"/>
  </cols>
  <sheetData>
    <row r="1" spans="1:16" ht="23.25" x14ac:dyDescent="0.2">
      <c r="A1" s="193"/>
      <c r="B1" s="193"/>
      <c r="C1" s="193"/>
      <c r="D1" s="195" t="s">
        <v>32</v>
      </c>
      <c r="E1" s="193"/>
      <c r="F1" s="193"/>
      <c r="G1" s="193"/>
      <c r="H1" s="193"/>
      <c r="I1" s="193"/>
      <c r="J1" s="193"/>
      <c r="K1" s="193"/>
      <c r="L1" s="193"/>
      <c r="M1" s="193"/>
      <c r="N1" s="193"/>
      <c r="O1" s="193"/>
      <c r="P1" s="307" t="str">
        <f>References!H2</f>
        <v>Release 3</v>
      </c>
    </row>
    <row r="2" spans="1:16" ht="15.75" x14ac:dyDescent="0.2">
      <c r="A2" s="194"/>
      <c r="B2" s="194"/>
      <c r="C2" s="194"/>
      <c r="D2" s="197" t="str">
        <f>CONCATENATE("Name of medicine: ", MedicineBrand)</f>
        <v xml:space="preserve">Name of medicine: </v>
      </c>
      <c r="E2" s="194"/>
      <c r="F2" s="194"/>
      <c r="G2" s="194"/>
      <c r="H2" s="194"/>
      <c r="I2" s="194"/>
      <c r="J2" s="194"/>
      <c r="K2" s="194"/>
      <c r="L2" s="194"/>
      <c r="M2" s="194"/>
      <c r="N2" s="194"/>
      <c r="O2" s="194"/>
      <c r="P2" s="306" t="str">
        <f>References!H3</f>
        <v>Version 10.82 - 1/12/2025</v>
      </c>
    </row>
    <row r="3" spans="1:16" ht="15.75" x14ac:dyDescent="0.2">
      <c r="A3" s="194"/>
      <c r="B3" s="194"/>
      <c r="C3" s="194"/>
      <c r="D3" s="197" t="str">
        <f>CONCATENATE("Indication: ", Indication)</f>
        <v xml:space="preserve">Indication: </v>
      </c>
      <c r="E3" s="194"/>
      <c r="F3" s="194"/>
      <c r="G3" s="194"/>
      <c r="H3" s="194"/>
      <c r="I3" s="194"/>
      <c r="J3" s="194"/>
      <c r="K3" s="194"/>
      <c r="L3" s="194"/>
      <c r="M3" s="194"/>
      <c r="N3" s="194"/>
      <c r="O3" s="194"/>
      <c r="P3" s="194"/>
    </row>
    <row r="4" spans="1:16" x14ac:dyDescent="0.2"/>
    <row r="5" spans="1:16" ht="15.75" x14ac:dyDescent="0.2">
      <c r="D5" s="88" t="s">
        <v>2</v>
      </c>
      <c r="E5" s="95"/>
      <c r="F5" s="95"/>
      <c r="G5" s="95"/>
      <c r="H5" s="95"/>
      <c r="I5" s="95"/>
      <c r="J5" s="95"/>
      <c r="K5" s="95"/>
      <c r="L5" s="95"/>
      <c r="M5" s="95"/>
      <c r="N5" s="95"/>
      <c r="O5" s="95"/>
      <c r="P5" s="95"/>
    </row>
    <row r="6" spans="1:16" x14ac:dyDescent="0.2"/>
    <row r="7" spans="1:16" x14ac:dyDescent="0.2">
      <c r="D7" t="s">
        <v>422</v>
      </c>
    </row>
    <row r="8" spans="1:16" ht="13.5" customHeight="1" x14ac:dyDescent="0.2">
      <c r="D8" t="s">
        <v>423</v>
      </c>
    </row>
    <row r="9" spans="1:16" ht="13.5" customHeight="1" x14ac:dyDescent="0.2">
      <c r="D9" t="s">
        <v>424</v>
      </c>
    </row>
    <row r="10" spans="1:16" ht="13.5" customHeight="1" x14ac:dyDescent="0.2"/>
    <row r="11" spans="1:16" ht="12.75" customHeight="1" x14ac:dyDescent="0.2">
      <c r="D11" s="119" t="s">
        <v>279</v>
      </c>
    </row>
    <row r="12" spans="1:16" x14ac:dyDescent="0.2"/>
    <row r="13" spans="1:16" ht="15.75" customHeight="1" x14ac:dyDescent="0.2">
      <c r="D13" s="88" t="s">
        <v>12</v>
      </c>
      <c r="E13" s="95"/>
      <c r="F13" s="248"/>
      <c r="G13" s="88" t="s">
        <v>312</v>
      </c>
      <c r="H13" s="88" t="s">
        <v>313</v>
      </c>
      <c r="I13" s="232" t="s">
        <v>352</v>
      </c>
      <c r="J13" s="88"/>
      <c r="K13" s="536" t="s">
        <v>310</v>
      </c>
      <c r="L13" s="536"/>
      <c r="M13" s="536"/>
      <c r="N13" s="88"/>
      <c r="O13" s="536" t="s">
        <v>250</v>
      </c>
      <c r="P13" s="536"/>
    </row>
    <row r="14" spans="1:16" x14ac:dyDescent="0.2"/>
    <row r="15" spans="1:16" ht="15" x14ac:dyDescent="0.2">
      <c r="B15" s="246">
        <v>2</v>
      </c>
      <c r="C15" s="246">
        <f>'1. Overview'!A1</f>
        <v>0</v>
      </c>
      <c r="D15" s="537" t="s">
        <v>80</v>
      </c>
      <c r="E15" s="538"/>
      <c r="G15" s="289">
        <f t="shared" ref="G15:G34" si="0">B15</f>
        <v>2</v>
      </c>
      <c r="H15" s="289">
        <f t="shared" ref="H15:H34" si="1">C15</f>
        <v>0</v>
      </c>
      <c r="I15" s="172"/>
      <c r="J15" s="290"/>
      <c r="K15" s="533"/>
      <c r="L15" s="534"/>
      <c r="M15" s="535"/>
      <c r="O15" s="216" t="s">
        <v>251</v>
      </c>
    </row>
    <row r="16" spans="1:16" ht="15" x14ac:dyDescent="0.2">
      <c r="B16" s="246">
        <f>PxIncident*2</f>
        <v>0</v>
      </c>
      <c r="C16" s="246">
        <f>'2a. Patients - incident'!A1</f>
        <v>0</v>
      </c>
      <c r="D16" s="539" t="s">
        <v>886</v>
      </c>
      <c r="E16" s="538"/>
      <c r="G16" s="289">
        <f t="shared" ref="G16:H19" si="2">B16</f>
        <v>0</v>
      </c>
      <c r="H16" s="289">
        <f t="shared" si="2"/>
        <v>0</v>
      </c>
      <c r="K16" s="533"/>
      <c r="L16" s="534"/>
      <c r="M16" s="535"/>
      <c r="O16" s="219"/>
      <c r="P16" s="313" t="s">
        <v>516</v>
      </c>
    </row>
    <row r="17" spans="2:16" ht="15" x14ac:dyDescent="0.2">
      <c r="B17" s="246">
        <f>PxPrevalent*2</f>
        <v>0</v>
      </c>
      <c r="C17" s="246">
        <f>'2b. Patients - prevalent'!A1</f>
        <v>0</v>
      </c>
      <c r="D17" s="539" t="s">
        <v>887</v>
      </c>
      <c r="E17" s="538"/>
      <c r="G17" s="289">
        <f t="shared" si="2"/>
        <v>0</v>
      </c>
      <c r="H17" s="289">
        <f t="shared" si="2"/>
        <v>0</v>
      </c>
      <c r="I17" s="172"/>
      <c r="J17" s="290"/>
      <c r="K17" s="533"/>
      <c r="L17" s="534"/>
      <c r="M17" s="535"/>
      <c r="O17" s="220"/>
      <c r="P17" s="313" t="s">
        <v>518</v>
      </c>
    </row>
    <row r="18" spans="2:16" ht="15" x14ac:dyDescent="0.2">
      <c r="B18" s="246">
        <f>PxGrandfathered*2</f>
        <v>0</v>
      </c>
      <c r="C18" s="246">
        <f>'2c. Patients - GF'!A1</f>
        <v>0</v>
      </c>
      <c r="D18" s="539" t="s">
        <v>888</v>
      </c>
      <c r="E18" s="538"/>
      <c r="G18" s="289">
        <f t="shared" si="2"/>
        <v>0</v>
      </c>
      <c r="H18" s="289">
        <f t="shared" si="2"/>
        <v>0</v>
      </c>
      <c r="I18" s="172"/>
      <c r="J18" s="290"/>
      <c r="K18" s="533"/>
      <c r="L18" s="534"/>
      <c r="M18" s="535"/>
      <c r="O18" s="270"/>
      <c r="P18" s="313" t="s">
        <v>238</v>
      </c>
    </row>
    <row r="19" spans="2:16" ht="15" x14ac:dyDescent="0.2">
      <c r="B19" s="246">
        <f>IF(OR(B16=2,B17=2,B18=2),2,0)</f>
        <v>0</v>
      </c>
      <c r="C19" s="246">
        <f ca="1">'2d. Patients - DTG'!A1</f>
        <v>0</v>
      </c>
      <c r="D19" s="539" t="s">
        <v>1240</v>
      </c>
      <c r="E19" s="538"/>
      <c r="G19" s="289">
        <f t="shared" si="2"/>
        <v>0</v>
      </c>
      <c r="H19" s="289">
        <f t="shared" ca="1" si="2"/>
        <v>0</v>
      </c>
      <c r="I19" s="172"/>
      <c r="J19" s="290"/>
      <c r="K19" s="533"/>
      <c r="L19" s="534"/>
      <c r="M19" s="535"/>
      <c r="O19" s="271"/>
      <c r="P19" s="313" t="s">
        <v>517</v>
      </c>
    </row>
    <row r="20" spans="2:16" ht="15" x14ac:dyDescent="0.2">
      <c r="B20" s="246">
        <f>IF(OR(ScriptSourceCode=2,ScriptSourceCode=3),2,1)</f>
        <v>1</v>
      </c>
      <c r="C20" s="246">
        <f>'2e. Scripts - market'!A1</f>
        <v>0</v>
      </c>
      <c r="D20" s="540" t="s">
        <v>1239</v>
      </c>
      <c r="E20" s="538"/>
      <c r="G20" s="289">
        <f t="shared" si="0"/>
        <v>1</v>
      </c>
      <c r="H20" s="289">
        <f t="shared" si="1"/>
        <v>0</v>
      </c>
      <c r="I20" s="291" t="str">
        <f>IF(B20=1,"Copayment only","")</f>
        <v>Copayment only</v>
      </c>
      <c r="J20" s="290"/>
      <c r="K20" s="533"/>
      <c r="L20" s="534"/>
      <c r="M20" s="535"/>
      <c r="O20" s="222"/>
      <c r="P20" s="313" t="s">
        <v>5</v>
      </c>
    </row>
    <row r="21" spans="2:16" ht="15" x14ac:dyDescent="0.2">
      <c r="B21" s="246">
        <v>2</v>
      </c>
      <c r="C21" s="246">
        <f>'3a. Scripts - proposed'!A1</f>
        <v>0</v>
      </c>
      <c r="D21" s="540" t="s">
        <v>889</v>
      </c>
      <c r="E21" s="538"/>
      <c r="G21" s="289">
        <f t="shared" si="0"/>
        <v>2</v>
      </c>
      <c r="H21" s="289">
        <f t="shared" si="1"/>
        <v>0</v>
      </c>
      <c r="I21" s="172"/>
      <c r="J21" s="290"/>
      <c r="K21" s="533"/>
      <c r="L21" s="534"/>
      <c r="M21" s="535"/>
      <c r="O21" s="221"/>
      <c r="P21" s="313" t="s">
        <v>6</v>
      </c>
    </row>
    <row r="22" spans="2:16" ht="15" x14ac:dyDescent="0.2">
      <c r="B22" s="246">
        <v>2</v>
      </c>
      <c r="C22" s="246">
        <f>'3b. Impact - proposed (pub)'!A1</f>
        <v>0</v>
      </c>
      <c r="D22" s="541" t="s">
        <v>890</v>
      </c>
      <c r="E22" s="538"/>
      <c r="G22" s="289">
        <f t="shared" si="0"/>
        <v>2</v>
      </c>
      <c r="H22" s="289">
        <f t="shared" si="1"/>
        <v>0</v>
      </c>
      <c r="I22" s="172"/>
      <c r="J22" s="290"/>
      <c r="K22" s="533"/>
      <c r="L22" s="534"/>
      <c r="M22" s="535"/>
    </row>
    <row r="23" spans="2:16" ht="15" x14ac:dyDescent="0.2">
      <c r="B23" s="246">
        <f>IF(SPANewFlag=1,2,0)</f>
        <v>0</v>
      </c>
      <c r="C23" s="246">
        <f>'3c. Impact - proposed (eff)'!A1</f>
        <v>0</v>
      </c>
      <c r="D23" s="541" t="s">
        <v>891</v>
      </c>
      <c r="E23" s="538"/>
      <c r="G23" s="289">
        <f t="shared" si="0"/>
        <v>0</v>
      </c>
      <c r="H23" s="289">
        <f t="shared" si="1"/>
        <v>0</v>
      </c>
      <c r="I23" s="172"/>
      <c r="J23" s="290"/>
      <c r="K23" s="533"/>
      <c r="L23" s="534"/>
      <c r="M23" s="535"/>
    </row>
    <row r="24" spans="2:16" ht="15" x14ac:dyDescent="0.2">
      <c r="B24" s="246">
        <f>IF('4a. Scripts - affected'!E39&lt;&gt;0,2,0)</f>
        <v>0</v>
      </c>
      <c r="C24" s="246">
        <f>'4a. Scripts - affected'!A1</f>
        <v>0</v>
      </c>
      <c r="D24" s="540" t="s">
        <v>892</v>
      </c>
      <c r="E24" s="538"/>
      <c r="G24" s="289">
        <f t="shared" si="0"/>
        <v>0</v>
      </c>
      <c r="H24" s="289">
        <f t="shared" si="1"/>
        <v>0</v>
      </c>
      <c r="I24" s="172"/>
      <c r="J24" s="290"/>
      <c r="K24" s="533"/>
      <c r="L24" s="534"/>
      <c r="M24" s="535"/>
    </row>
    <row r="25" spans="2:16" ht="15" x14ac:dyDescent="0.2">
      <c r="B25" s="246">
        <f>IF(SUM('4b. Impact - affected (pub)'!D17:I17)&lt;&gt;0,2,0)</f>
        <v>0</v>
      </c>
      <c r="C25" s="246">
        <f>'4b. Impact - affected (pub)'!A1</f>
        <v>0</v>
      </c>
      <c r="D25" s="541" t="s">
        <v>893</v>
      </c>
      <c r="E25" s="538"/>
      <c r="G25" s="289">
        <f t="shared" si="0"/>
        <v>0</v>
      </c>
      <c r="H25" s="289">
        <f t="shared" si="1"/>
        <v>0</v>
      </c>
      <c r="I25" s="172"/>
      <c r="J25" s="290"/>
      <c r="K25" s="533"/>
      <c r="L25" s="534"/>
      <c r="M25" s="535"/>
    </row>
    <row r="26" spans="2:16" ht="15" x14ac:dyDescent="0.2">
      <c r="B26" s="246">
        <f>IF(SPAChangeFlag=1,2,0)</f>
        <v>0</v>
      </c>
      <c r="C26" s="246">
        <f>'4c. Impact - affected (eff)'!A1</f>
        <v>0</v>
      </c>
      <c r="D26" s="541" t="s">
        <v>894</v>
      </c>
      <c r="E26" s="538"/>
      <c r="G26" s="289">
        <f t="shared" si="0"/>
        <v>0</v>
      </c>
      <c r="H26" s="289">
        <f t="shared" si="1"/>
        <v>0</v>
      </c>
      <c r="I26" s="172"/>
      <c r="J26" s="290"/>
      <c r="K26" s="533"/>
      <c r="L26" s="534"/>
      <c r="M26" s="535"/>
    </row>
    <row r="27" spans="2:16" ht="15" x14ac:dyDescent="0.2">
      <c r="B27" s="246">
        <v>2</v>
      </c>
      <c r="C27" s="246">
        <v>2</v>
      </c>
      <c r="D27" s="541" t="s">
        <v>895</v>
      </c>
      <c r="E27" s="538"/>
      <c r="G27" s="289">
        <f t="shared" si="0"/>
        <v>2</v>
      </c>
      <c r="H27" s="289">
        <f t="shared" si="1"/>
        <v>2</v>
      </c>
      <c r="I27" s="172"/>
      <c r="J27" s="290"/>
      <c r="K27" s="533"/>
      <c r="L27" s="534"/>
      <c r="M27" s="535"/>
    </row>
    <row r="28" spans="2:16" ht="15" x14ac:dyDescent="0.2">
      <c r="B28" s="246">
        <v>1</v>
      </c>
      <c r="C28" s="246">
        <f>'6. Net changes - SA'!A1</f>
        <v>0</v>
      </c>
      <c r="D28" s="541" t="s">
        <v>896</v>
      </c>
      <c r="E28" s="538"/>
      <c r="G28" s="289">
        <f t="shared" si="0"/>
        <v>1</v>
      </c>
      <c r="H28" s="289">
        <f t="shared" si="1"/>
        <v>0</v>
      </c>
      <c r="I28" s="172"/>
      <c r="J28" s="290"/>
      <c r="K28" s="533"/>
      <c r="L28" s="534"/>
      <c r="M28" s="535"/>
    </row>
    <row r="29" spans="2:16" ht="15" x14ac:dyDescent="0.2">
      <c r="B29" s="246">
        <v>1</v>
      </c>
      <c r="C29" s="246">
        <f>'7. Net changes - MBS'!A1</f>
        <v>0</v>
      </c>
      <c r="D29" s="541" t="s">
        <v>897</v>
      </c>
      <c r="E29" s="538"/>
      <c r="G29" s="289">
        <f t="shared" si="0"/>
        <v>1</v>
      </c>
      <c r="H29" s="289">
        <f t="shared" si="1"/>
        <v>0</v>
      </c>
      <c r="I29" s="172"/>
      <c r="J29" s="290"/>
      <c r="K29" s="533"/>
      <c r="L29" s="534"/>
      <c r="M29" s="535"/>
    </row>
    <row r="30" spans="2:16" ht="15" x14ac:dyDescent="0.2">
      <c r="B30" s="246">
        <v>1</v>
      </c>
      <c r="C30" s="246">
        <f>'8. ABS population'!A1</f>
        <v>0</v>
      </c>
      <c r="D30" s="539" t="s">
        <v>898</v>
      </c>
      <c r="E30" s="538"/>
      <c r="G30" s="289">
        <f t="shared" si="0"/>
        <v>1</v>
      </c>
      <c r="H30" s="289">
        <f t="shared" si="1"/>
        <v>0</v>
      </c>
      <c r="I30" s="172"/>
      <c r="J30" s="290"/>
      <c r="K30" s="533"/>
      <c r="L30" s="534"/>
      <c r="M30" s="535"/>
      <c r="O30" s="216" t="s">
        <v>4</v>
      </c>
    </row>
    <row r="31" spans="2:16" ht="15" x14ac:dyDescent="0.2">
      <c r="B31" s="246">
        <v>1</v>
      </c>
      <c r="C31" s="246">
        <f>'9. AIHW population'!A1</f>
        <v>0</v>
      </c>
      <c r="D31" s="539" t="s">
        <v>899</v>
      </c>
      <c r="E31" s="538"/>
      <c r="G31" s="289">
        <f t="shared" si="0"/>
        <v>1</v>
      </c>
      <c r="H31" s="289">
        <f t="shared" si="1"/>
        <v>0</v>
      </c>
      <c r="I31" s="172"/>
      <c r="J31" s="290"/>
      <c r="K31" s="533"/>
      <c r="L31" s="534"/>
      <c r="M31" s="535"/>
      <c r="O31" s="308"/>
      <c r="P31" s="313" t="s">
        <v>623</v>
      </c>
    </row>
    <row r="32" spans="2:16" ht="15" x14ac:dyDescent="0.2">
      <c r="B32" s="246">
        <v>1</v>
      </c>
      <c r="C32" s="246">
        <f>'10. Registry population'!A1</f>
        <v>0</v>
      </c>
      <c r="D32" s="539" t="s">
        <v>900</v>
      </c>
      <c r="E32" s="538"/>
      <c r="G32" s="289">
        <f t="shared" si="0"/>
        <v>1</v>
      </c>
      <c r="H32" s="289">
        <f t="shared" si="1"/>
        <v>0</v>
      </c>
      <c r="I32" s="172"/>
      <c r="J32" s="290"/>
      <c r="K32" s="533"/>
      <c r="L32" s="534"/>
      <c r="M32" s="535"/>
      <c r="O32" s="217"/>
      <c r="P32" s="313" t="s">
        <v>804</v>
      </c>
    </row>
    <row r="33" spans="2:16" ht="15" x14ac:dyDescent="0.2">
      <c r="B33" s="246">
        <v>1</v>
      </c>
      <c r="C33" s="246">
        <f>'11. Persistent population'!A1</f>
        <v>0</v>
      </c>
      <c r="D33" s="539" t="s">
        <v>1021</v>
      </c>
      <c r="E33" s="538"/>
      <c r="G33" s="289">
        <f t="shared" si="0"/>
        <v>1</v>
      </c>
      <c r="H33" s="289">
        <f t="shared" si="1"/>
        <v>0</v>
      </c>
      <c r="I33" s="172"/>
      <c r="J33" s="290"/>
      <c r="K33" s="250"/>
      <c r="L33" s="251"/>
      <c r="M33" s="228"/>
      <c r="O33" s="37"/>
      <c r="P33" s="313" t="s">
        <v>11</v>
      </c>
    </row>
    <row r="34" spans="2:16" ht="15" x14ac:dyDescent="0.2">
      <c r="B34" s="246">
        <v>1</v>
      </c>
      <c r="C34" s="246">
        <f>'12. Copies of data -&gt;'!A1</f>
        <v>0</v>
      </c>
      <c r="D34" s="543" t="s">
        <v>471</v>
      </c>
      <c r="E34" s="538"/>
      <c r="G34" s="289">
        <f t="shared" si="0"/>
        <v>1</v>
      </c>
      <c r="H34" s="289">
        <f t="shared" si="1"/>
        <v>0</v>
      </c>
      <c r="I34" s="172"/>
      <c r="J34" s="290"/>
      <c r="K34" s="533"/>
      <c r="L34" s="534"/>
      <c r="M34" s="535"/>
      <c r="O34" s="218"/>
      <c r="P34" s="313" t="s">
        <v>212</v>
      </c>
    </row>
    <row r="35" spans="2:16" x14ac:dyDescent="0.2"/>
    <row r="36" spans="2:16" x14ac:dyDescent="0.2"/>
    <row r="37" spans="2:16" ht="15.75" x14ac:dyDescent="0.2">
      <c r="D37" s="88" t="s">
        <v>194</v>
      </c>
      <c r="E37" s="95"/>
      <c r="F37" s="95"/>
      <c r="G37" s="95"/>
      <c r="H37" s="95"/>
      <c r="I37" s="95"/>
      <c r="J37" s="95"/>
      <c r="K37" s="95"/>
      <c r="L37" s="95"/>
      <c r="M37" s="95"/>
      <c r="N37" s="95"/>
      <c r="O37" s="95"/>
      <c r="P37" s="95"/>
    </row>
    <row r="38" spans="2:16" x14ac:dyDescent="0.2"/>
    <row r="39" spans="2:16" x14ac:dyDescent="0.2">
      <c r="C39" s="246">
        <f>IFERROR(VLOOKUP(E39,PxPopSourceCode,2,FALSE),0)</f>
        <v>0</v>
      </c>
      <c r="D39" s="215" t="s">
        <v>195</v>
      </c>
      <c r="E39" s="227"/>
    </row>
    <row r="40" spans="2:16" x14ac:dyDescent="0.2"/>
    <row r="41" spans="2:16" x14ac:dyDescent="0.2">
      <c r="D41" s="318"/>
      <c r="E41" s="223" t="str">
        <f>IF(AND(ScriptSourceCode&lt;&gt;1,ScriptSourceCode&lt;&gt;3),MsgNotRequired,"")</f>
        <v>** NOT REQUIRED **</v>
      </c>
    </row>
    <row r="42" spans="2:16" x14ac:dyDescent="0.2">
      <c r="C42" s="246">
        <f>IF(E42="Yes",IF(AND(ScriptSourceCode&lt;&gt;1,ScriptSourceCode&lt;&gt;3),0,1),0)</f>
        <v>0</v>
      </c>
      <c r="D42" s="215" t="s">
        <v>191</v>
      </c>
      <c r="E42" s="227"/>
      <c r="G42" s="542" t="str">
        <f>IF(AND(PxIncident=1,PxPrevalent=1),MsgNote &amp; VLOOKUP("IncPrev",WarningMessages,2,FALSE),"")</f>
        <v/>
      </c>
      <c r="H42" s="542"/>
      <c r="I42" s="542"/>
      <c r="J42" s="542"/>
      <c r="K42" s="542"/>
      <c r="L42" s="542"/>
      <c r="M42" s="542"/>
      <c r="N42" s="542"/>
    </row>
    <row r="43" spans="2:16" x14ac:dyDescent="0.2">
      <c r="C43" s="246">
        <f>IF(E43="Yes",IF(AND(ScriptSourceCode&lt;&gt;1,ScriptSourceCode&lt;&gt;3),0,1),0)</f>
        <v>0</v>
      </c>
      <c r="D43" s="215" t="s">
        <v>192</v>
      </c>
      <c r="E43" s="227"/>
    </row>
    <row r="44" spans="2:16" x14ac:dyDescent="0.2">
      <c r="C44" s="246">
        <f>IF(E44="Yes",IF(AND(ScriptSourceCode&lt;&gt;1,ScriptSourceCode&lt;&gt;3),0,1),0)</f>
        <v>0</v>
      </c>
      <c r="D44" s="215" t="s">
        <v>911</v>
      </c>
      <c r="E44" s="227"/>
      <c r="G44" s="542" t="str">
        <f>IF(AND(PxPrevalent=1,PxGrandfathered=1),MsgNote &amp; VLOOKUP("PrevGF",WarningMessages,2,FALSE),"")</f>
        <v/>
      </c>
      <c r="H44" s="542"/>
      <c r="I44" s="542"/>
      <c r="J44" s="542"/>
      <c r="K44" s="542"/>
      <c r="L44" s="542"/>
      <c r="M44" s="542"/>
      <c r="N44" s="542"/>
    </row>
    <row r="45" spans="2:16" x14ac:dyDescent="0.2"/>
    <row r="46" spans="2:16" x14ac:dyDescent="0.2">
      <c r="D46" s="215" t="s">
        <v>912</v>
      </c>
      <c r="E46" s="62" t="str">
        <f>IF(OR(ScriptSourceCode=2,ScriptSourceCode=3),"Normal","Copayment only")</f>
        <v>Copayment only</v>
      </c>
    </row>
    <row r="47" spans="2:16" x14ac:dyDescent="0.2"/>
    <row r="48" spans="2:16" x14ac:dyDescent="0.2">
      <c r="C48" s="246" t="str">
        <f>IFERROR(VLOOKUP(E48,ScriptSplitCode,2,FALSE),"")</f>
        <v/>
      </c>
      <c r="D48" s="215" t="s">
        <v>1031</v>
      </c>
      <c r="E48" s="227"/>
    </row>
    <row r="49" spans="3:16" x14ac:dyDescent="0.2"/>
    <row r="50" spans="3:16" ht="14.25" customHeight="1" x14ac:dyDescent="0.2">
      <c r="C50" s="246" t="str">
        <f>IFERROR(VLOOKUP(E50,MarketImpactCode,2,FALSE),"")</f>
        <v/>
      </c>
      <c r="D50" s="215" t="s">
        <v>823</v>
      </c>
      <c r="E50" s="227"/>
      <c r="G50" s="542" t="str">
        <f>IF(MarketImpact&lt;&gt;"",MsgNote &amp; VLOOKUP(MarketImpact,NewAdjunct,2,FALSE),"")</f>
        <v/>
      </c>
      <c r="H50" s="542"/>
      <c r="I50" s="542"/>
      <c r="J50" s="542"/>
      <c r="K50" s="542"/>
      <c r="L50" s="542"/>
      <c r="M50" s="542"/>
      <c r="N50" s="542"/>
    </row>
    <row r="51" spans="3:16" x14ac:dyDescent="0.2"/>
    <row r="52" spans="3:16" x14ac:dyDescent="0.2">
      <c r="C52" s="246">
        <f>IF(E52="Yes",1,0)</f>
        <v>0</v>
      </c>
      <c r="D52" s="215" t="s">
        <v>822</v>
      </c>
      <c r="E52" s="228"/>
    </row>
    <row r="53" spans="3:16" x14ac:dyDescent="0.2"/>
    <row r="54" spans="3:16" x14ac:dyDescent="0.2"/>
    <row r="55" spans="3:16" ht="15.75" x14ac:dyDescent="0.2">
      <c r="D55" s="88" t="s">
        <v>3</v>
      </c>
      <c r="E55" s="95"/>
      <c r="F55" s="95"/>
      <c r="G55" s="95"/>
      <c r="H55" s="95"/>
      <c r="I55" s="95"/>
      <c r="J55" s="95"/>
      <c r="K55" s="95"/>
      <c r="L55" s="95"/>
      <c r="M55" s="95"/>
      <c r="N55" s="95"/>
      <c r="O55" s="95"/>
      <c r="P55" s="95"/>
    </row>
    <row r="56" spans="3:16" ht="15" customHeight="1" x14ac:dyDescent="0.2"/>
    <row r="57" spans="3:16" x14ac:dyDescent="0.2">
      <c r="D57" t="s">
        <v>913</v>
      </c>
    </row>
    <row r="58" spans="3:16" ht="12.75" customHeight="1" x14ac:dyDescent="0.2">
      <c r="D58" t="s">
        <v>30</v>
      </c>
    </row>
    <row r="59" spans="3:16" ht="12.75" customHeight="1" x14ac:dyDescent="0.2">
      <c r="D59" t="s">
        <v>29</v>
      </c>
    </row>
    <row r="60" spans="3:16" x14ac:dyDescent="0.2">
      <c r="D60" t="s">
        <v>627</v>
      </c>
    </row>
    <row r="61" spans="3:16" x14ac:dyDescent="0.2">
      <c r="D61" t="s">
        <v>193</v>
      </c>
    </row>
    <row r="63" spans="3:16" ht="12.75" customHeight="1" x14ac:dyDescent="0.2">
      <c r="D63" s="362"/>
      <c r="E63" s="95"/>
      <c r="F63" s="95"/>
      <c r="G63" s="95"/>
      <c r="H63" s="95"/>
      <c r="I63" s="95"/>
      <c r="J63" s="95"/>
      <c r="K63" s="95"/>
      <c r="L63" s="95"/>
      <c r="M63" s="95"/>
      <c r="N63" s="95"/>
      <c r="O63" s="95"/>
      <c r="P63" s="95"/>
    </row>
  </sheetData>
  <mergeCells count="44">
    <mergeCell ref="G50:N50"/>
    <mergeCell ref="G42:N42"/>
    <mergeCell ref="G44:N44"/>
    <mergeCell ref="K34:M34"/>
    <mergeCell ref="D30:E30"/>
    <mergeCell ref="D31:E31"/>
    <mergeCell ref="D32:E32"/>
    <mergeCell ref="D33:E33"/>
    <mergeCell ref="D34:E34"/>
    <mergeCell ref="D25:E25"/>
    <mergeCell ref="D26:E26"/>
    <mergeCell ref="D27:E27"/>
    <mergeCell ref="D28:E28"/>
    <mergeCell ref="D29:E29"/>
    <mergeCell ref="D20:E20"/>
    <mergeCell ref="D21:E21"/>
    <mergeCell ref="D22:E22"/>
    <mergeCell ref="D23:E23"/>
    <mergeCell ref="D24:E24"/>
    <mergeCell ref="D15:E15"/>
    <mergeCell ref="D19:E19"/>
    <mergeCell ref="D16:E16"/>
    <mergeCell ref="D17:E17"/>
    <mergeCell ref="D18:E18"/>
    <mergeCell ref="K13:M13"/>
    <mergeCell ref="O13:P13"/>
    <mergeCell ref="K15:M15"/>
    <mergeCell ref="K16:M16"/>
    <mergeCell ref="K17:M17"/>
    <mergeCell ref="K24:M24"/>
    <mergeCell ref="K25:M25"/>
    <mergeCell ref="K26:M26"/>
    <mergeCell ref="K27:M27"/>
    <mergeCell ref="K18:M18"/>
    <mergeCell ref="K19:M19"/>
    <mergeCell ref="K20:M20"/>
    <mergeCell ref="K21:M21"/>
    <mergeCell ref="K22:M22"/>
    <mergeCell ref="K23:M23"/>
    <mergeCell ref="K28:M28"/>
    <mergeCell ref="K29:M29"/>
    <mergeCell ref="K30:M30"/>
    <mergeCell ref="K31:M31"/>
    <mergeCell ref="K32:M32"/>
  </mergeCells>
  <conditionalFormatting sqref="E42:E44">
    <cfRule type="expression" dxfId="591" priority="548">
      <formula>$E$41&lt;&gt;""</formula>
    </cfRule>
  </conditionalFormatting>
  <conditionalFormatting sqref="G15:H34">
    <cfRule type="iconSet" priority="812">
      <iconSet iconSet="3Symbols" showValue="0">
        <cfvo type="percent" val="0"/>
        <cfvo type="percent" val="33"/>
        <cfvo type="percent" val="67"/>
      </iconSet>
    </cfRule>
  </conditionalFormatting>
  <conditionalFormatting sqref="G42:N42">
    <cfRule type="notContainsBlanks" dxfId="590" priority="3">
      <formula>LEN(TRIM(G42))&gt;0</formula>
    </cfRule>
  </conditionalFormatting>
  <conditionalFormatting sqref="G44:N44">
    <cfRule type="notContainsBlanks" dxfId="589" priority="2">
      <formula>LEN(TRIM(G44))&gt;0</formula>
    </cfRule>
  </conditionalFormatting>
  <conditionalFormatting sqref="G50:N50">
    <cfRule type="notContainsBlanks" dxfId="588" priority="1">
      <formula>LEN(TRIM(G50))&gt;0</formula>
    </cfRule>
  </conditionalFormatting>
  <dataValidations count="4">
    <dataValidation type="list" allowBlank="1" showInputMessage="1" showErrorMessage="1" sqref="E52 E42:E44" xr:uid="{00000000-0002-0000-0000-000000000000}">
      <formula1>Switch</formula1>
    </dataValidation>
    <dataValidation type="list" allowBlank="1" showInputMessage="1" showErrorMessage="1" sqref="E39" xr:uid="{00000000-0002-0000-0000-000001000000}">
      <formula1>PxPopSource</formula1>
    </dataValidation>
    <dataValidation type="list" allowBlank="1" showInputMessage="1" showErrorMessage="1" sqref="E50" xr:uid="{00000000-0002-0000-0000-000002000000}">
      <formula1>MarketImpactType</formula1>
    </dataValidation>
    <dataValidation type="list" allowBlank="1" showInputMessage="1" showErrorMessage="1" sqref="E48" xr:uid="{00000000-0002-0000-0000-000003000000}">
      <formula1>ScriptSplitType</formula1>
    </dataValidation>
  </dataValidations>
  <hyperlinks>
    <hyperlink ref="D16" location="'2a. Patients - incident'!A1" display="2a. Patients - incident" xr:uid="{00000000-0004-0000-0000-000000000000}"/>
    <hyperlink ref="D22" location="'3b. Impact - new (PUB)'!A1" display="3b. Impact on new medicine (PUBLISHED PRICE)" xr:uid="{00000000-0004-0000-0000-000001000000}"/>
    <hyperlink ref="D25" location="'4b. Impact - changed (PUB)'!A1" display="4b. Impact on changed medicines (PUBLISHED PRICE)" xr:uid="{00000000-0004-0000-0000-000002000000}"/>
    <hyperlink ref="D28" location="'6. Net changes - DHS'!A1" display="6. Net changes - Department of Human Services (DHS)" xr:uid="{00000000-0004-0000-0000-000003000000}"/>
    <hyperlink ref="D29" location="'7. Net changes - MBS'!A1" display="7. Net changes - Medicare Benefits Schedule (MBS)" xr:uid="{00000000-0004-0000-0000-000004000000}"/>
    <hyperlink ref="D34" location="'12. Copies of data -&gt;'!A1" display="12. Copies of data" xr:uid="{00000000-0004-0000-0000-000005000000}"/>
    <hyperlink ref="D20" location="'2d. Scripts - market'!A1" display="2d. Scripts for market share-based model" xr:uid="{00000000-0004-0000-0000-000006000000}"/>
    <hyperlink ref="D23" location="'3c. Impact - new (EFF)'!A1" display="3c. Impact on new medicine (EFFECTIVE PRICE)" xr:uid="{00000000-0004-0000-0000-000007000000}"/>
    <hyperlink ref="D15" location="'1. Overview'!A1" display="1. Overview" xr:uid="{00000000-0004-0000-0000-000008000000}"/>
    <hyperlink ref="D26" location="'4c. Impact - changed (EFF)'!A1" display="4c. Impact on changed medicines (EFFECTIVE PRICE)" xr:uid="{00000000-0004-0000-0000-000009000000}"/>
    <hyperlink ref="D21" location="'3a. Scripts - new'!A1" display="3a. Volume of new medicine" xr:uid="{00000000-0004-0000-0000-00000A000000}"/>
    <hyperlink ref="D24" location="'4a. Scripts - changed'!A1" display="4a. Volumes of changed medicines" xr:uid="{00000000-0004-0000-0000-00000B000000}"/>
    <hyperlink ref="D27" location="'5. Impact - net'!A1" display="5. Net financial impact" xr:uid="{00000000-0004-0000-0000-00000C000000}"/>
    <hyperlink ref="D30" location="'8. ABS population'!A1" display="8. ABS Data" xr:uid="{00000000-0004-0000-0000-00000D000000}"/>
    <hyperlink ref="D31" location="'9. AIHW population'!A1" display="9. AIHW Data" xr:uid="{00000000-0004-0000-0000-00000E000000}"/>
    <hyperlink ref="D32" location="'10. Registry population'!A1" display="10. General Population" xr:uid="{00000000-0004-0000-0000-00000F000000}"/>
    <hyperlink ref="D19" location="'2. Patients'!A1" display="2. Patients - summary" xr:uid="{00000000-0004-0000-0000-000010000000}"/>
    <hyperlink ref="D17" location="'2b. Patients - prevalent'!A1" display="2b. Patients - prevalent" xr:uid="{00000000-0004-0000-0000-000011000000}"/>
    <hyperlink ref="D18" location="'2c. Patients - GF'!A1" display="2c. Patients - grand-fathered" xr:uid="{00000000-0004-0000-0000-000012000000}"/>
    <hyperlink ref="D33" location="'11. Prevalent population'!A1" display="11. Prevalent Population" xr:uid="{00000000-0004-0000-0000-000013000000}"/>
    <hyperlink ref="D33:E33" location="'11. Persistent population'!A1" display="11. Persistent population" xr:uid="{00000000-0004-0000-0000-000014000000}"/>
    <hyperlink ref="D15:E15" location="'1. Overview'!A1" display="1. Overview" xr:uid="{00000000-0004-0000-0000-000015000000}"/>
    <hyperlink ref="D19:E19" location="'2d. Patients - DTG'!A1" display="2d. Patients - duration of treatment groups" xr:uid="{00000000-0004-0000-0000-000016000000}"/>
    <hyperlink ref="D16:E16" location="'2a. Patients - incident'!A1" display="2a. Patients - incident" xr:uid="{00000000-0004-0000-0000-000017000000}"/>
    <hyperlink ref="D17:E17" location="'2b. Patients - prevalent'!A1" display="2b. Patients - prevalent" xr:uid="{00000000-0004-0000-0000-000018000000}"/>
    <hyperlink ref="D18:E18" location="'2c. Patients - GF'!A1" display="2c. Patients - grandfathered" xr:uid="{00000000-0004-0000-0000-000019000000}"/>
    <hyperlink ref="D20:E20" location="'2e. Scripts - market'!A1" display="2e. Scripts - market" xr:uid="{00000000-0004-0000-0000-00001A000000}"/>
    <hyperlink ref="D21:E21" location="'3a. Scripts - proposed'!A1" display="3a. Scripts - proposed" xr:uid="{00000000-0004-0000-0000-00001B000000}"/>
    <hyperlink ref="D22:E22" location="'3b. Impact - proposed (pub)'!A1" display="3b. Impact - proposed (Published price)" xr:uid="{00000000-0004-0000-0000-00001C000000}"/>
    <hyperlink ref="D23:E23" location="'3c. Impact - proposed (eff)'!A1" display="3c. Impact - proposed (Effective price)" xr:uid="{00000000-0004-0000-0000-00001D000000}"/>
    <hyperlink ref="D24:E24" location="'4a. Scripts - affected'!A1" display="4a. Scripts - affected" xr:uid="{00000000-0004-0000-0000-00001E000000}"/>
    <hyperlink ref="D25:E25" location="'4b. Impact - affected (pub)'!A1" display="4b. Impact - affected (Published price)" xr:uid="{00000000-0004-0000-0000-00001F000000}"/>
    <hyperlink ref="D26:E26" location="'4c. Impact - affected (eff)'!A1" display="4c. Impact - affected (Effective price)" xr:uid="{00000000-0004-0000-0000-000020000000}"/>
    <hyperlink ref="D27:E27" location="'5. Impact - net'!A1" display="5. Impact - net" xr:uid="{00000000-0004-0000-0000-000021000000}"/>
    <hyperlink ref="D28:E28" location="'6. Net changes - SA'!A1" display="6. Net changes - SA" xr:uid="{00000000-0004-0000-0000-000022000000}"/>
    <hyperlink ref="D29:E29" location="'7. Net changes - MBS'!A1" display="7. Net changes - MBS " xr:uid="{00000000-0004-0000-0000-000023000000}"/>
    <hyperlink ref="D30:E30" location="'8. ABS population'!A1" display="8. ABS population" xr:uid="{00000000-0004-0000-0000-000024000000}"/>
    <hyperlink ref="D31:E31" location="'9. AIHW population'!A1" display="9. AIHW population" xr:uid="{00000000-0004-0000-0000-000025000000}"/>
    <hyperlink ref="D32:E32" location="'10. Registry population'!A1" display="10. Registry population" xr:uid="{00000000-0004-0000-0000-000026000000}"/>
    <hyperlink ref="D34:E34" location="'12. Copies of data -&gt;'!A1" display="12. Copies of data" xr:uid="{00000000-0004-0000-0000-000027000000}"/>
  </hyperlinks>
  <pageMargins left="0.7" right="0.7" top="0.75" bottom="0.75" header="0.3" footer="0.3"/>
  <pageSetup paperSize="9" orientation="portrait" r:id="rId1"/>
  <headerFooter>
    <oddHeader>&amp;C&amp;"Calibri"&amp;12&amp;KFF0000 OFFICIAL&amp;1#_x000D_</oddHeader>
    <oddFooter>&amp;C_x000D_&amp;1#&amp;"Calibri"&amp;12&amp;KFF0000 OFFICIAL</oddFooter>
  </headerFooter>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7">
    <tabColor theme="4"/>
    <pageSetUpPr fitToPage="1"/>
  </sheetPr>
  <dimension ref="A1:T298"/>
  <sheetViews>
    <sheetView showGridLines="0" zoomScaleNormal="100" workbookViewId="0">
      <pane ySplit="3" topLeftCell="A4" activePane="bottomLeft" state="frozen"/>
      <selection activeCell="B7" sqref="B7:G7"/>
      <selection pane="bottomLeft" activeCell="A4" sqref="A4"/>
    </sheetView>
  </sheetViews>
  <sheetFormatPr defaultRowHeight="12.75" customHeight="1" outlineLevelRow="1" x14ac:dyDescent="0.2"/>
  <cols>
    <col min="1" max="1" width="3.7109375" customWidth="1"/>
    <col min="2" max="2" width="3.7109375" hidden="1" customWidth="1"/>
    <col min="3" max="3" width="20.7109375" customWidth="1"/>
    <col min="4" max="14" width="15.7109375" customWidth="1"/>
    <col min="15" max="16" width="3.7109375" hidden="1" customWidth="1"/>
    <col min="17" max="20" width="10.7109375" hidden="1" customWidth="1"/>
  </cols>
  <sheetData>
    <row r="1" spans="1:14" ht="23.25" x14ac:dyDescent="0.2">
      <c r="A1" s="284">
        <f>IF((SUM(D24:I24)&lt;&gt;0),2,0)</f>
        <v>0</v>
      </c>
      <c r="B1" s="280"/>
      <c r="C1" s="281" t="s">
        <v>924</v>
      </c>
      <c r="D1" s="281"/>
      <c r="E1" s="281"/>
      <c r="F1" s="280"/>
      <c r="G1" s="280"/>
      <c r="H1" s="280"/>
      <c r="I1" s="280"/>
      <c r="J1" s="280"/>
      <c r="K1" s="280"/>
      <c r="L1" s="628" t="str">
        <f>IF(SPANewFlag=0,MsgNotRequired,IF(A1=0,MsgNotUsed,""))</f>
        <v>** NOT REQUIRED **</v>
      </c>
      <c r="M1" s="628"/>
      <c r="N1" s="628"/>
    </row>
    <row r="2" spans="1:14" ht="15.75" x14ac:dyDescent="0.2">
      <c r="A2" s="280"/>
      <c r="B2" s="280"/>
      <c r="C2" s="282" t="str">
        <f>CONCATENATE("Name of medicine: ", MedicineBrand)</f>
        <v xml:space="preserve">Name of medicine: </v>
      </c>
      <c r="D2" s="283"/>
      <c r="E2" s="283"/>
      <c r="F2" s="280"/>
      <c r="G2" s="280"/>
      <c r="H2" s="280"/>
      <c r="I2" s="280"/>
      <c r="J2" s="280"/>
      <c r="K2" s="280"/>
      <c r="L2" s="280"/>
      <c r="M2" s="280"/>
      <c r="N2" s="280"/>
    </row>
    <row r="3" spans="1:14" ht="15.75" x14ac:dyDescent="0.2">
      <c r="A3" s="280"/>
      <c r="B3" s="280"/>
      <c r="C3" s="282" t="str">
        <f>CONCATENATE("Indication: ",Indication)</f>
        <v xml:space="preserve">Indication: </v>
      </c>
      <c r="D3" s="283"/>
      <c r="E3" s="283"/>
      <c r="F3" s="280"/>
      <c r="G3" s="280"/>
      <c r="H3" s="280"/>
      <c r="I3" s="280"/>
      <c r="J3" s="280"/>
      <c r="K3" s="280"/>
      <c r="L3" s="280"/>
      <c r="M3" s="280"/>
      <c r="N3" s="280"/>
    </row>
    <row r="4" spans="1:14" x14ac:dyDescent="0.2">
      <c r="A4" s="319"/>
      <c r="B4" s="319"/>
      <c r="C4" s="461"/>
      <c r="D4" s="461"/>
      <c r="E4" s="461"/>
      <c r="F4" s="319"/>
      <c r="G4" s="319"/>
      <c r="H4" s="319"/>
      <c r="I4" s="319"/>
      <c r="J4" s="319"/>
      <c r="K4" s="319"/>
      <c r="L4" s="319"/>
      <c r="M4" s="319"/>
      <c r="N4" s="319"/>
    </row>
    <row r="5" spans="1:14" ht="15.75" x14ac:dyDescent="0.2">
      <c r="A5" s="110"/>
      <c r="B5" s="110"/>
      <c r="C5" s="111" t="s">
        <v>2</v>
      </c>
      <c r="D5" s="111"/>
      <c r="E5" s="111"/>
      <c r="F5" s="126"/>
      <c r="G5" s="113"/>
      <c r="H5" s="113"/>
      <c r="I5" s="113"/>
      <c r="J5" s="113"/>
      <c r="K5" s="113"/>
      <c r="L5" s="113"/>
      <c r="M5" s="113"/>
      <c r="N5" s="113"/>
    </row>
    <row r="6" spans="1:14" ht="14.25" x14ac:dyDescent="0.2">
      <c r="C6" s="449"/>
      <c r="D6" s="449"/>
      <c r="E6" s="449"/>
      <c r="F6" s="455"/>
    </row>
    <row r="7" spans="1:14" x14ac:dyDescent="0.2">
      <c r="C7" t="s">
        <v>814</v>
      </c>
      <c r="F7" s="455"/>
      <c r="G7" s="455"/>
      <c r="H7" s="455"/>
      <c r="I7" s="455"/>
      <c r="J7" s="455"/>
      <c r="K7" s="455"/>
      <c r="L7" s="455"/>
      <c r="M7" s="455"/>
      <c r="N7" s="455"/>
    </row>
    <row r="8" spans="1:14" x14ac:dyDescent="0.2">
      <c r="C8" s="447"/>
      <c r="D8" s="447"/>
      <c r="E8" s="447"/>
      <c r="F8" s="459"/>
      <c r="G8" s="459"/>
      <c r="H8" s="459"/>
      <c r="I8" s="459"/>
      <c r="J8" s="459"/>
      <c r="K8" s="459"/>
      <c r="L8" s="459"/>
      <c r="M8" s="459"/>
      <c r="N8" s="459"/>
    </row>
    <row r="9" spans="1:14" x14ac:dyDescent="0.2"/>
    <row r="10" spans="1:14" ht="15.75" x14ac:dyDescent="0.2">
      <c r="C10" s="111" t="s">
        <v>856</v>
      </c>
      <c r="D10" s="111"/>
      <c r="E10" s="111"/>
      <c r="F10" s="126"/>
      <c r="G10" s="113"/>
      <c r="H10" s="113"/>
      <c r="I10" s="113"/>
      <c r="J10" s="113"/>
      <c r="K10" s="113"/>
      <c r="L10" s="113"/>
      <c r="M10" s="113"/>
      <c r="N10" s="113"/>
    </row>
    <row r="11" spans="1:14" ht="15.75" x14ac:dyDescent="0.2">
      <c r="C11" s="454"/>
      <c r="D11" s="454"/>
      <c r="E11" s="454"/>
      <c r="F11" s="455"/>
    </row>
    <row r="12" spans="1:14" x14ac:dyDescent="0.2">
      <c r="C12" s="172" t="s">
        <v>815</v>
      </c>
      <c r="D12" s="172"/>
      <c r="E12" s="172"/>
      <c r="F12" s="172"/>
      <c r="G12" s="172"/>
      <c r="H12" s="172"/>
      <c r="I12" s="172"/>
      <c r="J12" s="172"/>
      <c r="K12" s="172"/>
      <c r="L12" s="172"/>
      <c r="M12" s="172"/>
      <c r="N12" s="172"/>
    </row>
    <row r="13" spans="1:14" x14ac:dyDescent="0.2">
      <c r="C13" s="456"/>
      <c r="D13" s="456"/>
      <c r="E13" s="456"/>
      <c r="M13" s="456"/>
      <c r="N13" s="456"/>
    </row>
    <row r="14" spans="1:14" ht="15.75" x14ac:dyDescent="0.2">
      <c r="C14" s="454" t="s">
        <v>98</v>
      </c>
      <c r="D14" s="74">
        <f>FirstYear</f>
        <v>2026</v>
      </c>
      <c r="E14" s="74">
        <f>D14+1</f>
        <v>2027</v>
      </c>
      <c r="F14" s="74">
        <f>E14+1</f>
        <v>2028</v>
      </c>
      <c r="G14" s="74">
        <f>F14+1</f>
        <v>2029</v>
      </c>
      <c r="H14" s="74">
        <f>G14+1</f>
        <v>2030</v>
      </c>
      <c r="I14" s="74">
        <f>H14+1</f>
        <v>2031</v>
      </c>
    </row>
    <row r="15" spans="1:14" x14ac:dyDescent="0.2">
      <c r="C15" s="76" t="s">
        <v>83</v>
      </c>
      <c r="D15" s="239">
        <f>D31+D43+D55+D67+D79+D91+D103+D115+D127+D139+D151+D163+D175+D187+D199+D211+D223+D235+D247+D259</f>
        <v>0</v>
      </c>
      <c r="E15" s="239">
        <f t="shared" ref="E15:I16" si="0">E31+E43+E55+E67+E79+E91+E103+E115+E127+E139+E151+E163+E175+E187+E199+E211+E223+E235+E247+E259</f>
        <v>0</v>
      </c>
      <c r="F15" s="239">
        <f t="shared" si="0"/>
        <v>0</v>
      </c>
      <c r="G15" s="239">
        <f t="shared" si="0"/>
        <v>0</v>
      </c>
      <c r="H15" s="239">
        <f t="shared" si="0"/>
        <v>0</v>
      </c>
      <c r="I15" s="239">
        <f t="shared" si="0"/>
        <v>0</v>
      </c>
    </row>
    <row r="16" spans="1:14" x14ac:dyDescent="0.2">
      <c r="C16" s="3" t="s">
        <v>108</v>
      </c>
      <c r="D16" s="239">
        <f>D32+D44+D56+D68+D80+D92+D104+D116+D128+D140+D152+D164+D176+D188+D200+D212+D224+D236+D248+D260</f>
        <v>0</v>
      </c>
      <c r="E16" s="239">
        <f t="shared" si="0"/>
        <v>0</v>
      </c>
      <c r="F16" s="239">
        <f t="shared" si="0"/>
        <v>0</v>
      </c>
      <c r="G16" s="239">
        <f t="shared" si="0"/>
        <v>0</v>
      </c>
      <c r="H16" s="239">
        <f t="shared" si="0"/>
        <v>0</v>
      </c>
      <c r="I16" s="239">
        <f t="shared" si="0"/>
        <v>0</v>
      </c>
    </row>
    <row r="17" spans="2:14" x14ac:dyDescent="0.2">
      <c r="C17" s="3" t="s">
        <v>85</v>
      </c>
      <c r="D17" s="240">
        <f t="shared" ref="D17:I17" si="1">D15+D16</f>
        <v>0</v>
      </c>
      <c r="E17" s="240">
        <f t="shared" si="1"/>
        <v>0</v>
      </c>
      <c r="F17" s="240">
        <f t="shared" si="1"/>
        <v>0</v>
      </c>
      <c r="G17" s="240">
        <f t="shared" si="1"/>
        <v>0</v>
      </c>
      <c r="H17" s="240">
        <f t="shared" si="1"/>
        <v>0</v>
      </c>
      <c r="I17" s="240">
        <f t="shared" si="1"/>
        <v>0</v>
      </c>
    </row>
    <row r="18" spans="2:14" x14ac:dyDescent="0.2">
      <c r="C18" s="457"/>
      <c r="D18" s="457"/>
      <c r="E18" s="457"/>
      <c r="F18" s="31"/>
      <c r="G18" s="31"/>
      <c r="H18" s="31"/>
      <c r="I18" s="31"/>
      <c r="J18" s="31"/>
      <c r="K18" s="31"/>
      <c r="L18" s="31"/>
    </row>
    <row r="19" spans="2:14" ht="15.75" x14ac:dyDescent="0.2">
      <c r="C19" s="454" t="s">
        <v>99</v>
      </c>
      <c r="D19" s="74">
        <f>FirstYear</f>
        <v>2026</v>
      </c>
      <c r="E19" s="74">
        <f>D19+1</f>
        <v>2027</v>
      </c>
      <c r="F19" s="74">
        <f>E19+1</f>
        <v>2028</v>
      </c>
      <c r="G19" s="74">
        <f>F19+1</f>
        <v>2029</v>
      </c>
      <c r="H19" s="74">
        <f>G19+1</f>
        <v>2030</v>
      </c>
      <c r="I19" s="74">
        <f>H19+1</f>
        <v>2031</v>
      </c>
    </row>
    <row r="20" spans="2:14" x14ac:dyDescent="0.2">
      <c r="C20" s="76" t="s">
        <v>84</v>
      </c>
      <c r="D20" s="238">
        <f>D36+D48+D60+D72+D84+D96+D108+D120+D132+D144+D156+D168+D180+D192+D204+D216+D228+D240+D252+D264</f>
        <v>0</v>
      </c>
      <c r="E20" s="238">
        <f t="shared" ref="E20:I21" si="2">E36+E48+E60+E72+E84+E96+E108+E120+E132+E144+E156+E168+E180+E192+E204+E216+E228+E240+E252+E264</f>
        <v>0</v>
      </c>
      <c r="F20" s="238">
        <f t="shared" si="2"/>
        <v>0</v>
      </c>
      <c r="G20" s="238">
        <f t="shared" si="2"/>
        <v>0</v>
      </c>
      <c r="H20" s="238">
        <f t="shared" si="2"/>
        <v>0</v>
      </c>
      <c r="I20" s="238">
        <f t="shared" si="2"/>
        <v>0</v>
      </c>
    </row>
    <row r="21" spans="2:14" x14ac:dyDescent="0.2">
      <c r="C21" s="3" t="s">
        <v>108</v>
      </c>
      <c r="D21" s="238">
        <f>D37+D49+D61+D73+D85+D97+D109+D121+D133+D145+D157+D169+D181+D193+D205+D217+D229+D241+D253+D265</f>
        <v>0</v>
      </c>
      <c r="E21" s="238">
        <f t="shared" si="2"/>
        <v>0</v>
      </c>
      <c r="F21" s="238">
        <f t="shared" si="2"/>
        <v>0</v>
      </c>
      <c r="G21" s="238">
        <f t="shared" si="2"/>
        <v>0</v>
      </c>
      <c r="H21" s="238">
        <f t="shared" si="2"/>
        <v>0</v>
      </c>
      <c r="I21" s="238">
        <f t="shared" si="2"/>
        <v>0</v>
      </c>
    </row>
    <row r="22" spans="2:14" x14ac:dyDescent="0.2">
      <c r="C22" s="3" t="s">
        <v>86</v>
      </c>
      <c r="D22" s="242">
        <f t="shared" ref="D22:I22" si="3">D20+D21</f>
        <v>0</v>
      </c>
      <c r="E22" s="242">
        <f t="shared" si="3"/>
        <v>0</v>
      </c>
      <c r="F22" s="242">
        <f t="shared" si="3"/>
        <v>0</v>
      </c>
      <c r="G22" s="242">
        <f t="shared" si="3"/>
        <v>0</v>
      </c>
      <c r="H22" s="242">
        <f t="shared" si="3"/>
        <v>0</v>
      </c>
      <c r="I22" s="242">
        <f t="shared" si="3"/>
        <v>0</v>
      </c>
    </row>
    <row r="23" spans="2:14" x14ac:dyDescent="0.2">
      <c r="C23" s="457"/>
      <c r="D23" s="457"/>
      <c r="E23" s="457"/>
      <c r="F23" s="31"/>
      <c r="G23" s="31"/>
      <c r="H23" s="31"/>
      <c r="I23" s="31"/>
      <c r="J23" s="31"/>
      <c r="K23" s="31"/>
      <c r="L23" s="31"/>
    </row>
    <row r="24" spans="2:14" x14ac:dyDescent="0.2">
      <c r="C24" s="233" t="s">
        <v>832</v>
      </c>
      <c r="D24" s="241">
        <f t="shared" ref="D24:I24" si="4">D22+D17</f>
        <v>0</v>
      </c>
      <c r="E24" s="241">
        <f t="shared" si="4"/>
        <v>0</v>
      </c>
      <c r="F24" s="241">
        <f t="shared" si="4"/>
        <v>0</v>
      </c>
      <c r="G24" s="241">
        <f t="shared" si="4"/>
        <v>0</v>
      </c>
      <c r="H24" s="241">
        <f t="shared" si="4"/>
        <v>0</v>
      </c>
      <c r="I24" s="241">
        <f t="shared" si="4"/>
        <v>0</v>
      </c>
      <c r="J24" s="31"/>
      <c r="K24" s="31"/>
      <c r="L24" s="31"/>
    </row>
    <row r="25" spans="2:14" x14ac:dyDescent="0.2">
      <c r="C25" s="457"/>
      <c r="D25" s="457"/>
      <c r="E25" s="457"/>
      <c r="F25" s="31"/>
      <c r="G25" s="31"/>
      <c r="H25" s="31"/>
      <c r="I25" s="31"/>
      <c r="J25" s="31"/>
      <c r="K25" s="31"/>
      <c r="L25" s="31"/>
    </row>
    <row r="26" spans="2:14" ht="15.75" x14ac:dyDescent="0.2">
      <c r="C26" s="111" t="s">
        <v>857</v>
      </c>
      <c r="D26" s="111"/>
      <c r="E26" s="111"/>
      <c r="F26" s="116"/>
      <c r="G26" s="116"/>
      <c r="H26" s="116"/>
      <c r="I26" s="116"/>
      <c r="J26" s="116"/>
      <c r="K26" s="116"/>
      <c r="L26" s="116"/>
      <c r="M26" s="113"/>
      <c r="N26" s="113"/>
    </row>
    <row r="27" spans="2:14" x14ac:dyDescent="0.2">
      <c r="C27" s="457"/>
      <c r="D27" s="457"/>
      <c r="E27" s="457"/>
      <c r="F27" s="31"/>
      <c r="G27" s="31"/>
      <c r="H27" s="31"/>
      <c r="I27" s="31"/>
      <c r="J27" s="31"/>
      <c r="K27" s="31"/>
      <c r="L27" s="31"/>
      <c r="M27" s="31"/>
      <c r="N27" s="31"/>
    </row>
    <row r="28" spans="2:14" ht="15" x14ac:dyDescent="0.2">
      <c r="B28" s="249">
        <v>1</v>
      </c>
      <c r="C28" s="129" t="str">
        <f>IF(SPANewFlag&lt;&gt;0,INDEX(PBSScriptsNew,B28,1),MsgNotUsed)</f>
        <v>** NOT USED **</v>
      </c>
      <c r="D28" s="123"/>
      <c r="E28" s="123"/>
      <c r="F28" s="123"/>
      <c r="G28" s="123"/>
      <c r="H28" s="123"/>
      <c r="I28" s="123"/>
      <c r="J28" s="117"/>
      <c r="K28" s="116"/>
      <c r="L28" s="588" t="str">
        <f>IF(C28&lt;&gt;MsgNotUsed,"Co-payment group " &amp; INDEX(DPMQCoPayNewEff,B28,2),"")</f>
        <v/>
      </c>
      <c r="M28" s="588"/>
      <c r="N28" s="380"/>
    </row>
    <row r="29" spans="2:14" hidden="1" outlineLevel="1" x14ac:dyDescent="0.2">
      <c r="B29" s="209">
        <f>INDEX(SANew,B28,5)</f>
        <v>0</v>
      </c>
      <c r="C29" s="457"/>
      <c r="D29" s="319">
        <v>2</v>
      </c>
      <c r="E29" s="319">
        <v>3</v>
      </c>
      <c r="F29" s="319">
        <v>4</v>
      </c>
      <c r="G29" s="319">
        <v>5</v>
      </c>
      <c r="H29" s="319">
        <v>6</v>
      </c>
      <c r="I29" s="319">
        <v>7</v>
      </c>
      <c r="K29" s="31"/>
      <c r="L29" s="31"/>
      <c r="M29" s="31"/>
      <c r="N29" s="31"/>
    </row>
    <row r="30" spans="2:14" hidden="1" outlineLevel="1" x14ac:dyDescent="0.2">
      <c r="B30" s="130"/>
      <c r="D30" s="74">
        <f>FirstYear</f>
        <v>2026</v>
      </c>
      <c r="E30" s="74">
        <f>D30+1</f>
        <v>2027</v>
      </c>
      <c r="F30" s="74">
        <f>E30+1</f>
        <v>2028</v>
      </c>
      <c r="G30" s="74">
        <f>F30+1</f>
        <v>2029</v>
      </c>
      <c r="H30" s="74">
        <f>G30+1</f>
        <v>2030</v>
      </c>
      <c r="I30" s="74">
        <f>H30+1</f>
        <v>2031</v>
      </c>
    </row>
    <row r="31" spans="2:14" hidden="1" outlineLevel="1" x14ac:dyDescent="0.2">
      <c r="B31" s="249">
        <v>1</v>
      </c>
      <c r="C31" s="76" t="s">
        <v>83</v>
      </c>
      <c r="D31" s="238">
        <f t="shared" ref="D31:I31" si="5">INDEX(PBSScriptsNew,$B28,D29)*INDEX(DPMQCoPayNewEff,$B28,$B31)</f>
        <v>0</v>
      </c>
      <c r="E31" s="238">
        <f t="shared" si="5"/>
        <v>0</v>
      </c>
      <c r="F31" s="238">
        <f t="shared" si="5"/>
        <v>0</v>
      </c>
      <c r="G31" s="238">
        <f t="shared" si="5"/>
        <v>0</v>
      </c>
      <c r="H31" s="238">
        <f t="shared" si="5"/>
        <v>0</v>
      </c>
      <c r="I31" s="238">
        <f t="shared" si="5"/>
        <v>0</v>
      </c>
    </row>
    <row r="32" spans="2:14" hidden="1" outlineLevel="1" x14ac:dyDescent="0.2">
      <c r="B32" s="249">
        <v>3</v>
      </c>
      <c r="C32" s="3" t="s">
        <v>108</v>
      </c>
      <c r="D32" s="238">
        <f t="shared" ref="D32:I32" si="6">INDEX(PBSScriptsNew,$B28,D29)*(INDEX(DPMQCoPayNewEff,$B28,$B32)/INDEX(CoPayCountNew,$B28))</f>
        <v>0</v>
      </c>
      <c r="E32" s="238">
        <f t="shared" si="6"/>
        <v>0</v>
      </c>
      <c r="F32" s="238">
        <f t="shared" si="6"/>
        <v>0</v>
      </c>
      <c r="G32" s="238">
        <f t="shared" si="6"/>
        <v>0</v>
      </c>
      <c r="H32" s="238">
        <f t="shared" si="6"/>
        <v>0</v>
      </c>
      <c r="I32" s="238">
        <f t="shared" si="6"/>
        <v>0</v>
      </c>
      <c r="K32" s="579" t="str">
        <f>IF(B29&lt;&gt;0,MsgNote&amp;IF(B29="Yes",INDEX(CoPayMethod,1),INDEX(CoPayMethod,2)),"")</f>
        <v/>
      </c>
      <c r="L32" s="579"/>
      <c r="M32" s="579"/>
      <c r="N32" s="443"/>
    </row>
    <row r="33" spans="2:14" hidden="1" outlineLevel="1" x14ac:dyDescent="0.2">
      <c r="B33" s="121"/>
      <c r="C33" s="3" t="s">
        <v>85</v>
      </c>
      <c r="D33" s="238">
        <f t="shared" ref="D33:I33" si="7">D31+D32</f>
        <v>0</v>
      </c>
      <c r="E33" s="238">
        <f t="shared" si="7"/>
        <v>0</v>
      </c>
      <c r="F33" s="238">
        <f t="shared" si="7"/>
        <v>0</v>
      </c>
      <c r="G33" s="238">
        <f t="shared" si="7"/>
        <v>0</v>
      </c>
      <c r="H33" s="238">
        <f t="shared" si="7"/>
        <v>0</v>
      </c>
      <c r="I33" s="238">
        <f t="shared" si="7"/>
        <v>0</v>
      </c>
    </row>
    <row r="34" spans="2:14" hidden="1" outlineLevel="1" x14ac:dyDescent="0.2">
      <c r="B34" s="121"/>
    </row>
    <row r="35" spans="2:14" ht="15.75" hidden="1" outlineLevel="1" x14ac:dyDescent="0.2">
      <c r="B35" s="121"/>
      <c r="C35" s="454"/>
      <c r="D35" s="74">
        <f>FirstYear</f>
        <v>2026</v>
      </c>
      <c r="E35" s="74">
        <f>D35+1</f>
        <v>2027</v>
      </c>
      <c r="F35" s="74">
        <f>E35+1</f>
        <v>2028</v>
      </c>
      <c r="G35" s="74">
        <f>F35+1</f>
        <v>2029</v>
      </c>
      <c r="H35" s="74">
        <f>G35+1</f>
        <v>2030</v>
      </c>
      <c r="I35" s="74">
        <f>H35+1</f>
        <v>2031</v>
      </c>
    </row>
    <row r="36" spans="2:14" hidden="1" outlineLevel="1" x14ac:dyDescent="0.2">
      <c r="B36" s="249">
        <v>1</v>
      </c>
      <c r="C36" s="76" t="s">
        <v>84</v>
      </c>
      <c r="D36" s="238">
        <f t="shared" ref="D36:I36" si="8">INDEX(RPBSScriptsNew,$B28,D29)*INDEX(DPMQCoPayNewEff,$B28,$B36)</f>
        <v>0</v>
      </c>
      <c r="E36" s="238">
        <f t="shared" si="8"/>
        <v>0</v>
      </c>
      <c r="F36" s="238">
        <f t="shared" si="8"/>
        <v>0</v>
      </c>
      <c r="G36" s="238">
        <f t="shared" si="8"/>
        <v>0</v>
      </c>
      <c r="H36" s="238">
        <f t="shared" si="8"/>
        <v>0</v>
      </c>
      <c r="I36" s="238">
        <f t="shared" si="8"/>
        <v>0</v>
      </c>
    </row>
    <row r="37" spans="2:14" hidden="1" outlineLevel="1" x14ac:dyDescent="0.2">
      <c r="B37" s="249">
        <v>4</v>
      </c>
      <c r="C37" s="3" t="s">
        <v>108</v>
      </c>
      <c r="D37" s="238">
        <f t="shared" ref="D37:I37" si="9">INDEX(RPBSScriptsNew,$B28,D29)*(INDEX(DPMQCoPayNewEff,$B28,$B37)/INDEX(CoPayCountNew,$B28))</f>
        <v>0</v>
      </c>
      <c r="E37" s="238">
        <f t="shared" si="9"/>
        <v>0</v>
      </c>
      <c r="F37" s="238">
        <f t="shared" si="9"/>
        <v>0</v>
      </c>
      <c r="G37" s="238">
        <f t="shared" si="9"/>
        <v>0</v>
      </c>
      <c r="H37" s="238">
        <f t="shared" si="9"/>
        <v>0</v>
      </c>
      <c r="I37" s="238">
        <f t="shared" si="9"/>
        <v>0</v>
      </c>
    </row>
    <row r="38" spans="2:14" hidden="1" outlineLevel="1" x14ac:dyDescent="0.2">
      <c r="B38" s="121"/>
      <c r="C38" s="3" t="s">
        <v>86</v>
      </c>
      <c r="D38" s="238">
        <f t="shared" ref="D38:I38" si="10">D36+D37</f>
        <v>0</v>
      </c>
      <c r="E38" s="238">
        <f t="shared" si="10"/>
        <v>0</v>
      </c>
      <c r="F38" s="238">
        <f t="shared" si="10"/>
        <v>0</v>
      </c>
      <c r="G38" s="238">
        <f t="shared" si="10"/>
        <v>0</v>
      </c>
      <c r="H38" s="238">
        <f t="shared" si="10"/>
        <v>0</v>
      </c>
      <c r="I38" s="238">
        <f t="shared" si="10"/>
        <v>0</v>
      </c>
    </row>
    <row r="39" spans="2:14" collapsed="1" x14ac:dyDescent="0.2">
      <c r="B39" s="121"/>
      <c r="C39" s="457"/>
      <c r="D39" s="457"/>
      <c r="E39" s="457"/>
      <c r="F39" s="31"/>
      <c r="G39" s="31"/>
      <c r="H39" s="31"/>
      <c r="I39" s="31"/>
      <c r="J39" s="31"/>
      <c r="K39" s="31"/>
      <c r="L39" s="31"/>
      <c r="M39" s="31"/>
      <c r="N39" s="31"/>
    </row>
    <row r="40" spans="2:14" ht="15" x14ac:dyDescent="0.2">
      <c r="B40" s="249">
        <v>2</v>
      </c>
      <c r="C40" s="129" t="str">
        <f>IF(SPANewFlag&lt;&gt;0,INDEX(PBSScriptsNew,B40,1),MsgNotUsed)</f>
        <v>** NOT USED **</v>
      </c>
      <c r="D40" s="123"/>
      <c r="E40" s="123"/>
      <c r="F40" s="123"/>
      <c r="G40" s="123"/>
      <c r="H40" s="123"/>
      <c r="I40" s="123"/>
      <c r="J40" s="117"/>
      <c r="K40" s="116"/>
      <c r="L40" s="588" t="str">
        <f>IF(C40&lt;&gt;MsgNotUsed,"Co-payment group " &amp; INDEX(DPMQCoPayNewEff,B40,2),"")</f>
        <v/>
      </c>
      <c r="M40" s="588"/>
      <c r="N40" s="380"/>
    </row>
    <row r="41" spans="2:14" hidden="1" outlineLevel="1" x14ac:dyDescent="0.2">
      <c r="B41" s="209">
        <f>INDEX(SANew,B40,5)</f>
        <v>0</v>
      </c>
      <c r="C41" s="457"/>
      <c r="D41" s="319">
        <v>2</v>
      </c>
      <c r="E41" s="319">
        <v>3</v>
      </c>
      <c r="F41" s="319">
        <v>4</v>
      </c>
      <c r="G41" s="319">
        <v>5</v>
      </c>
      <c r="H41" s="319">
        <v>6</v>
      </c>
      <c r="I41" s="319">
        <v>7</v>
      </c>
      <c r="K41" s="31"/>
      <c r="L41" s="31"/>
      <c r="M41" s="31"/>
      <c r="N41" s="31"/>
    </row>
    <row r="42" spans="2:14" hidden="1" outlineLevel="1" x14ac:dyDescent="0.2">
      <c r="B42" s="130"/>
      <c r="D42" s="74">
        <f>FirstYear</f>
        <v>2026</v>
      </c>
      <c r="E42" s="74">
        <f>D42+1</f>
        <v>2027</v>
      </c>
      <c r="F42" s="74">
        <f>E42+1</f>
        <v>2028</v>
      </c>
      <c r="G42" s="74">
        <f>F42+1</f>
        <v>2029</v>
      </c>
      <c r="H42" s="74">
        <f>G42+1</f>
        <v>2030</v>
      </c>
      <c r="I42" s="74">
        <f>H42+1</f>
        <v>2031</v>
      </c>
    </row>
    <row r="43" spans="2:14" hidden="1" outlineLevel="1" x14ac:dyDescent="0.2">
      <c r="B43" s="249">
        <v>1</v>
      </c>
      <c r="C43" s="76" t="s">
        <v>83</v>
      </c>
      <c r="D43" s="238">
        <f t="shared" ref="D43:I43" si="11">INDEX(PBSScriptsNew,$B40,D41)*INDEX(DPMQCoPayNewEff,$B40,$B43)</f>
        <v>0</v>
      </c>
      <c r="E43" s="238">
        <f t="shared" si="11"/>
        <v>0</v>
      </c>
      <c r="F43" s="238">
        <f t="shared" si="11"/>
        <v>0</v>
      </c>
      <c r="G43" s="238">
        <f t="shared" si="11"/>
        <v>0</v>
      </c>
      <c r="H43" s="238">
        <f t="shared" si="11"/>
        <v>0</v>
      </c>
      <c r="I43" s="238">
        <f t="shared" si="11"/>
        <v>0</v>
      </c>
    </row>
    <row r="44" spans="2:14" hidden="1" outlineLevel="1" x14ac:dyDescent="0.2">
      <c r="B44" s="249">
        <v>3</v>
      </c>
      <c r="C44" s="3" t="s">
        <v>108</v>
      </c>
      <c r="D44" s="238">
        <f t="shared" ref="D44:I44" si="12">INDEX(PBSScriptsNew,$B40,D41)*(INDEX(DPMQCoPayNewEff,$B40,$B44)/INDEX(CoPayCountNew,$B40))</f>
        <v>0</v>
      </c>
      <c r="E44" s="238">
        <f t="shared" si="12"/>
        <v>0</v>
      </c>
      <c r="F44" s="238">
        <f t="shared" si="12"/>
        <v>0</v>
      </c>
      <c r="G44" s="238">
        <f t="shared" si="12"/>
        <v>0</v>
      </c>
      <c r="H44" s="238">
        <f t="shared" si="12"/>
        <v>0</v>
      </c>
      <c r="I44" s="238">
        <f t="shared" si="12"/>
        <v>0</v>
      </c>
      <c r="K44" s="579" t="str">
        <f>IF(B41&lt;&gt;0,MsgNote&amp;IF(B41="Yes",INDEX(CoPayMethod,1),INDEX(CoPayMethod,2)),"")</f>
        <v/>
      </c>
      <c r="L44" s="579"/>
      <c r="M44" s="579"/>
      <c r="N44" s="443"/>
    </row>
    <row r="45" spans="2:14" hidden="1" outlineLevel="1" x14ac:dyDescent="0.2">
      <c r="B45" s="121"/>
      <c r="C45" s="3" t="s">
        <v>85</v>
      </c>
      <c r="D45" s="238">
        <f t="shared" ref="D45:I45" si="13">D43+D44</f>
        <v>0</v>
      </c>
      <c r="E45" s="238">
        <f t="shared" si="13"/>
        <v>0</v>
      </c>
      <c r="F45" s="238">
        <f t="shared" si="13"/>
        <v>0</v>
      </c>
      <c r="G45" s="238">
        <f t="shared" si="13"/>
        <v>0</v>
      </c>
      <c r="H45" s="238">
        <f t="shared" si="13"/>
        <v>0</v>
      </c>
      <c r="I45" s="238">
        <f t="shared" si="13"/>
        <v>0</v>
      </c>
    </row>
    <row r="46" spans="2:14" hidden="1" outlineLevel="1" x14ac:dyDescent="0.2">
      <c r="B46" s="121"/>
    </row>
    <row r="47" spans="2:14" ht="15.75" hidden="1" outlineLevel="1" x14ac:dyDescent="0.2">
      <c r="B47" s="121"/>
      <c r="C47" s="454"/>
      <c r="D47" s="74">
        <f>FirstYear</f>
        <v>2026</v>
      </c>
      <c r="E47" s="74">
        <f>D47+1</f>
        <v>2027</v>
      </c>
      <c r="F47" s="74">
        <f>E47+1</f>
        <v>2028</v>
      </c>
      <c r="G47" s="74">
        <f>F47+1</f>
        <v>2029</v>
      </c>
      <c r="H47" s="74">
        <f>G47+1</f>
        <v>2030</v>
      </c>
      <c r="I47" s="74">
        <f>H47+1</f>
        <v>2031</v>
      </c>
    </row>
    <row r="48" spans="2:14" hidden="1" outlineLevel="1" x14ac:dyDescent="0.2">
      <c r="B48" s="249">
        <v>1</v>
      </c>
      <c r="C48" s="76" t="s">
        <v>84</v>
      </c>
      <c r="D48" s="238">
        <f t="shared" ref="D48:I48" si="14">INDEX(RPBSScriptsNew,$B40,D41)*INDEX(DPMQCoPayNewEff,$B40,$B48)</f>
        <v>0</v>
      </c>
      <c r="E48" s="238">
        <f t="shared" si="14"/>
        <v>0</v>
      </c>
      <c r="F48" s="238">
        <f t="shared" si="14"/>
        <v>0</v>
      </c>
      <c r="G48" s="238">
        <f t="shared" si="14"/>
        <v>0</v>
      </c>
      <c r="H48" s="238">
        <f t="shared" si="14"/>
        <v>0</v>
      </c>
      <c r="I48" s="238">
        <f t="shared" si="14"/>
        <v>0</v>
      </c>
    </row>
    <row r="49" spans="2:14" hidden="1" outlineLevel="1" x14ac:dyDescent="0.2">
      <c r="B49" s="249">
        <v>4</v>
      </c>
      <c r="C49" s="3" t="s">
        <v>108</v>
      </c>
      <c r="D49" s="238">
        <f t="shared" ref="D49:I49" si="15">INDEX(RPBSScriptsNew,$B40,D41)*(INDEX(DPMQCoPayNewEff,$B40,$B49)/INDEX(CoPayCountNew,$B40))</f>
        <v>0</v>
      </c>
      <c r="E49" s="238">
        <f t="shared" si="15"/>
        <v>0</v>
      </c>
      <c r="F49" s="238">
        <f t="shared" si="15"/>
        <v>0</v>
      </c>
      <c r="G49" s="238">
        <f t="shared" si="15"/>
        <v>0</v>
      </c>
      <c r="H49" s="238">
        <f t="shared" si="15"/>
        <v>0</v>
      </c>
      <c r="I49" s="238">
        <f t="shared" si="15"/>
        <v>0</v>
      </c>
    </row>
    <row r="50" spans="2:14" hidden="1" outlineLevel="1" x14ac:dyDescent="0.2">
      <c r="B50" s="121"/>
      <c r="C50" s="3" t="s">
        <v>86</v>
      </c>
      <c r="D50" s="238">
        <f t="shared" ref="D50:I50" si="16">D48+D49</f>
        <v>0</v>
      </c>
      <c r="E50" s="238">
        <f t="shared" si="16"/>
        <v>0</v>
      </c>
      <c r="F50" s="238">
        <f t="shared" si="16"/>
        <v>0</v>
      </c>
      <c r="G50" s="238">
        <f t="shared" si="16"/>
        <v>0</v>
      </c>
      <c r="H50" s="238">
        <f t="shared" si="16"/>
        <v>0</v>
      </c>
      <c r="I50" s="238">
        <f t="shared" si="16"/>
        <v>0</v>
      </c>
    </row>
    <row r="51" spans="2:14" collapsed="1" x14ac:dyDescent="0.2">
      <c r="B51" s="121"/>
      <c r="C51" s="457"/>
      <c r="D51" s="457"/>
      <c r="E51" s="457"/>
      <c r="F51" s="31"/>
      <c r="G51" s="31"/>
      <c r="H51" s="31"/>
      <c r="I51" s="31"/>
      <c r="J51" s="31"/>
      <c r="K51" s="31"/>
      <c r="L51" s="31"/>
      <c r="M51" s="31"/>
      <c r="N51" s="31"/>
    </row>
    <row r="52" spans="2:14" ht="15" x14ac:dyDescent="0.2">
      <c r="B52" s="249">
        <v>3</v>
      </c>
      <c r="C52" s="129" t="str">
        <f>IF(SPANewFlag&lt;&gt;0,INDEX(PBSScriptsNew,B52,1),MsgNotUsed)</f>
        <v>** NOT USED **</v>
      </c>
      <c r="D52" s="123"/>
      <c r="E52" s="123"/>
      <c r="F52" s="123"/>
      <c r="G52" s="123"/>
      <c r="H52" s="123"/>
      <c r="I52" s="123"/>
      <c r="J52" s="117"/>
      <c r="K52" s="116"/>
      <c r="L52" s="588" t="str">
        <f>IF(C52&lt;&gt;MsgNotUsed,"Co-payment group " &amp; INDEX(DPMQCoPayNewEff,B52,2),"")</f>
        <v/>
      </c>
      <c r="M52" s="588"/>
      <c r="N52" s="380"/>
    </row>
    <row r="53" spans="2:14" hidden="1" outlineLevel="1" x14ac:dyDescent="0.2">
      <c r="B53" s="209">
        <f>INDEX(SANew,B52,5)</f>
        <v>0</v>
      </c>
      <c r="C53" s="457"/>
      <c r="D53" s="319">
        <v>2</v>
      </c>
      <c r="E53" s="319">
        <v>3</v>
      </c>
      <c r="F53" s="319">
        <v>4</v>
      </c>
      <c r="G53" s="319">
        <v>5</v>
      </c>
      <c r="H53" s="319">
        <v>6</v>
      </c>
      <c r="I53" s="319">
        <v>7</v>
      </c>
      <c r="K53" s="31"/>
      <c r="L53" s="31"/>
      <c r="M53" s="31"/>
      <c r="N53" s="31"/>
    </row>
    <row r="54" spans="2:14" hidden="1" outlineLevel="1" x14ac:dyDescent="0.2">
      <c r="B54" s="130"/>
      <c r="D54" s="74">
        <f>FirstYear</f>
        <v>2026</v>
      </c>
      <c r="E54" s="74">
        <f>D54+1</f>
        <v>2027</v>
      </c>
      <c r="F54" s="74">
        <f>E54+1</f>
        <v>2028</v>
      </c>
      <c r="G54" s="74">
        <f>F54+1</f>
        <v>2029</v>
      </c>
      <c r="H54" s="74">
        <f>G54+1</f>
        <v>2030</v>
      </c>
      <c r="I54" s="74">
        <f>H54+1</f>
        <v>2031</v>
      </c>
    </row>
    <row r="55" spans="2:14" hidden="1" outlineLevel="1" x14ac:dyDescent="0.2">
      <c r="B55" s="249">
        <v>1</v>
      </c>
      <c r="C55" s="76" t="s">
        <v>83</v>
      </c>
      <c r="D55" s="238">
        <f t="shared" ref="D55:I55" si="17">INDEX(PBSScriptsNew,$B52,D53)*INDEX(DPMQCoPayNewEff,$B52,$B55)</f>
        <v>0</v>
      </c>
      <c r="E55" s="238">
        <f t="shared" si="17"/>
        <v>0</v>
      </c>
      <c r="F55" s="238">
        <f t="shared" si="17"/>
        <v>0</v>
      </c>
      <c r="G55" s="238">
        <f t="shared" si="17"/>
        <v>0</v>
      </c>
      <c r="H55" s="238">
        <f t="shared" si="17"/>
        <v>0</v>
      </c>
      <c r="I55" s="238">
        <f t="shared" si="17"/>
        <v>0</v>
      </c>
    </row>
    <row r="56" spans="2:14" hidden="1" outlineLevel="1" x14ac:dyDescent="0.2">
      <c r="B56" s="249">
        <v>3</v>
      </c>
      <c r="C56" s="3" t="s">
        <v>108</v>
      </c>
      <c r="D56" s="238">
        <f t="shared" ref="D56:I56" si="18">INDEX(PBSScriptsNew,$B52,D53)*(INDEX(DPMQCoPayNewEff,$B52,$B56)/INDEX(CoPayCountNew,$B52))</f>
        <v>0</v>
      </c>
      <c r="E56" s="238">
        <f t="shared" si="18"/>
        <v>0</v>
      </c>
      <c r="F56" s="238">
        <f t="shared" si="18"/>
        <v>0</v>
      </c>
      <c r="G56" s="238">
        <f t="shared" si="18"/>
        <v>0</v>
      </c>
      <c r="H56" s="238">
        <f t="shared" si="18"/>
        <v>0</v>
      </c>
      <c r="I56" s="238">
        <f t="shared" si="18"/>
        <v>0</v>
      </c>
      <c r="K56" s="579" t="str">
        <f>IF(B53&lt;&gt;0,MsgNote&amp;IF(B53="Yes",INDEX(CoPayMethod,1),INDEX(CoPayMethod,2)),"")</f>
        <v/>
      </c>
      <c r="L56" s="579"/>
      <c r="M56" s="579"/>
      <c r="N56" s="443"/>
    </row>
    <row r="57" spans="2:14" hidden="1" outlineLevel="1" x14ac:dyDescent="0.2">
      <c r="B57" s="121"/>
      <c r="C57" s="3" t="s">
        <v>85</v>
      </c>
      <c r="D57" s="238">
        <f t="shared" ref="D57:I57" si="19">D55+D56</f>
        <v>0</v>
      </c>
      <c r="E57" s="238">
        <f t="shared" si="19"/>
        <v>0</v>
      </c>
      <c r="F57" s="238">
        <f t="shared" si="19"/>
        <v>0</v>
      </c>
      <c r="G57" s="238">
        <f t="shared" si="19"/>
        <v>0</v>
      </c>
      <c r="H57" s="238">
        <f t="shared" si="19"/>
        <v>0</v>
      </c>
      <c r="I57" s="238">
        <f t="shared" si="19"/>
        <v>0</v>
      </c>
    </row>
    <row r="58" spans="2:14" hidden="1" outlineLevel="1" x14ac:dyDescent="0.2">
      <c r="B58" s="121"/>
    </row>
    <row r="59" spans="2:14" ht="15.75" hidden="1" outlineLevel="1" x14ac:dyDescent="0.2">
      <c r="B59" s="121"/>
      <c r="C59" s="454"/>
      <c r="D59" s="74">
        <f>FirstYear</f>
        <v>2026</v>
      </c>
      <c r="E59" s="74">
        <f>D59+1</f>
        <v>2027</v>
      </c>
      <c r="F59" s="74">
        <f>E59+1</f>
        <v>2028</v>
      </c>
      <c r="G59" s="74">
        <f>F59+1</f>
        <v>2029</v>
      </c>
      <c r="H59" s="74">
        <f>G59+1</f>
        <v>2030</v>
      </c>
      <c r="I59" s="74">
        <f>H59+1</f>
        <v>2031</v>
      </c>
    </row>
    <row r="60" spans="2:14" hidden="1" outlineLevel="1" x14ac:dyDescent="0.2">
      <c r="B60" s="249">
        <v>1</v>
      </c>
      <c r="C60" s="76" t="s">
        <v>84</v>
      </c>
      <c r="D60" s="238">
        <f t="shared" ref="D60:I60" si="20">INDEX(RPBSScriptsNew,$B52,D53)*INDEX(DPMQCoPayNewEff,$B52,$B60)</f>
        <v>0</v>
      </c>
      <c r="E60" s="238">
        <f t="shared" si="20"/>
        <v>0</v>
      </c>
      <c r="F60" s="238">
        <f t="shared" si="20"/>
        <v>0</v>
      </c>
      <c r="G60" s="238">
        <f t="shared" si="20"/>
        <v>0</v>
      </c>
      <c r="H60" s="238">
        <f t="shared" si="20"/>
        <v>0</v>
      </c>
      <c r="I60" s="238">
        <f t="shared" si="20"/>
        <v>0</v>
      </c>
    </row>
    <row r="61" spans="2:14" hidden="1" outlineLevel="1" x14ac:dyDescent="0.2">
      <c r="B61" s="249">
        <v>4</v>
      </c>
      <c r="C61" s="3" t="s">
        <v>108</v>
      </c>
      <c r="D61" s="238">
        <f t="shared" ref="D61:I61" si="21">INDEX(RPBSScriptsNew,$B52,D53)*(INDEX(DPMQCoPayNewEff,$B52,$B61)/INDEX(CoPayCountNew,$B52))</f>
        <v>0</v>
      </c>
      <c r="E61" s="238">
        <f t="shared" si="21"/>
        <v>0</v>
      </c>
      <c r="F61" s="238">
        <f t="shared" si="21"/>
        <v>0</v>
      </c>
      <c r="G61" s="238">
        <f t="shared" si="21"/>
        <v>0</v>
      </c>
      <c r="H61" s="238">
        <f t="shared" si="21"/>
        <v>0</v>
      </c>
      <c r="I61" s="238">
        <f t="shared" si="21"/>
        <v>0</v>
      </c>
    </row>
    <row r="62" spans="2:14" hidden="1" outlineLevel="1" x14ac:dyDescent="0.2">
      <c r="B62" s="121"/>
      <c r="C62" s="3" t="s">
        <v>86</v>
      </c>
      <c r="D62" s="238">
        <f t="shared" ref="D62:I62" si="22">D60+D61</f>
        <v>0</v>
      </c>
      <c r="E62" s="238">
        <f t="shared" si="22"/>
        <v>0</v>
      </c>
      <c r="F62" s="238">
        <f t="shared" si="22"/>
        <v>0</v>
      </c>
      <c r="G62" s="238">
        <f t="shared" si="22"/>
        <v>0</v>
      </c>
      <c r="H62" s="238">
        <f t="shared" si="22"/>
        <v>0</v>
      </c>
      <c r="I62" s="238">
        <f t="shared" si="22"/>
        <v>0</v>
      </c>
    </row>
    <row r="63" spans="2:14" collapsed="1" x14ac:dyDescent="0.2">
      <c r="B63" s="121"/>
      <c r="C63" s="457"/>
      <c r="D63" s="457"/>
      <c r="E63" s="457"/>
      <c r="F63" s="31"/>
      <c r="G63" s="31"/>
      <c r="H63" s="31"/>
      <c r="I63" s="31"/>
      <c r="J63" s="31"/>
      <c r="K63" s="31"/>
      <c r="L63" s="31"/>
      <c r="M63" s="31"/>
      <c r="N63" s="31"/>
    </row>
    <row r="64" spans="2:14" ht="15" x14ac:dyDescent="0.2">
      <c r="B64" s="249">
        <v>4</v>
      </c>
      <c r="C64" s="129" t="str">
        <f>IF(SPANewFlag&lt;&gt;0,INDEX(PBSScriptsNew,B64,1),MsgNotUsed)</f>
        <v>** NOT USED **</v>
      </c>
      <c r="D64" s="123"/>
      <c r="E64" s="123"/>
      <c r="F64" s="123"/>
      <c r="G64" s="123"/>
      <c r="H64" s="123"/>
      <c r="I64" s="123"/>
      <c r="J64" s="117"/>
      <c r="K64" s="116"/>
      <c r="L64" s="588" t="str">
        <f>IF(C64&lt;&gt;MsgNotUsed,"Co-payment group " &amp; INDEX(DPMQCoPayNewEff,B64,2),"")</f>
        <v/>
      </c>
      <c r="M64" s="588"/>
      <c r="N64" s="380"/>
    </row>
    <row r="65" spans="2:14" hidden="1" outlineLevel="1" x14ac:dyDescent="0.2">
      <c r="B65" s="209">
        <f>INDEX(SANew,B64,5)</f>
        <v>0</v>
      </c>
      <c r="C65" s="457"/>
      <c r="D65" s="319">
        <v>2</v>
      </c>
      <c r="E65" s="319">
        <v>3</v>
      </c>
      <c r="F65" s="319">
        <v>4</v>
      </c>
      <c r="G65" s="319">
        <v>5</v>
      </c>
      <c r="H65" s="319">
        <v>6</v>
      </c>
      <c r="I65" s="319">
        <v>7</v>
      </c>
      <c r="K65" s="31"/>
      <c r="L65" s="31"/>
      <c r="M65" s="31"/>
      <c r="N65" s="31"/>
    </row>
    <row r="66" spans="2:14" hidden="1" outlineLevel="1" x14ac:dyDescent="0.2">
      <c r="B66" s="130"/>
      <c r="D66" s="74">
        <f>FirstYear</f>
        <v>2026</v>
      </c>
      <c r="E66" s="74">
        <f>D66+1</f>
        <v>2027</v>
      </c>
      <c r="F66" s="74">
        <f>E66+1</f>
        <v>2028</v>
      </c>
      <c r="G66" s="74">
        <f>F66+1</f>
        <v>2029</v>
      </c>
      <c r="H66" s="74">
        <f>G66+1</f>
        <v>2030</v>
      </c>
      <c r="I66" s="74">
        <f>H66+1</f>
        <v>2031</v>
      </c>
    </row>
    <row r="67" spans="2:14" hidden="1" outlineLevel="1" x14ac:dyDescent="0.2">
      <c r="B67" s="249">
        <v>1</v>
      </c>
      <c r="C67" s="76" t="s">
        <v>83</v>
      </c>
      <c r="D67" s="238">
        <f t="shared" ref="D67:I67" si="23">INDEX(PBSScriptsNew,$B64,D65)*INDEX(DPMQCoPayNewEff,$B64,$B67)</f>
        <v>0</v>
      </c>
      <c r="E67" s="238">
        <f t="shared" si="23"/>
        <v>0</v>
      </c>
      <c r="F67" s="238">
        <f t="shared" si="23"/>
        <v>0</v>
      </c>
      <c r="G67" s="238">
        <f t="shared" si="23"/>
        <v>0</v>
      </c>
      <c r="H67" s="238">
        <f t="shared" si="23"/>
        <v>0</v>
      </c>
      <c r="I67" s="238">
        <f t="shared" si="23"/>
        <v>0</v>
      </c>
    </row>
    <row r="68" spans="2:14" hidden="1" outlineLevel="1" x14ac:dyDescent="0.2">
      <c r="B68" s="249">
        <v>3</v>
      </c>
      <c r="C68" s="3" t="s">
        <v>108</v>
      </c>
      <c r="D68" s="238">
        <f t="shared" ref="D68:I68" si="24">INDEX(PBSScriptsNew,$B64,D65)*(INDEX(DPMQCoPayNewEff,$B64,$B68)/INDEX(CoPayCountNew,$B64))</f>
        <v>0</v>
      </c>
      <c r="E68" s="238">
        <f t="shared" si="24"/>
        <v>0</v>
      </c>
      <c r="F68" s="238">
        <f t="shared" si="24"/>
        <v>0</v>
      </c>
      <c r="G68" s="238">
        <f t="shared" si="24"/>
        <v>0</v>
      </c>
      <c r="H68" s="238">
        <f t="shared" si="24"/>
        <v>0</v>
      </c>
      <c r="I68" s="238">
        <f t="shared" si="24"/>
        <v>0</v>
      </c>
      <c r="K68" s="579" t="str">
        <f>IF(B65&lt;&gt;0,MsgNote&amp;IF(B65="Yes",INDEX(CoPayMethod,1),INDEX(CoPayMethod,2)),"")</f>
        <v/>
      </c>
      <c r="L68" s="579"/>
      <c r="M68" s="579"/>
      <c r="N68" s="443"/>
    </row>
    <row r="69" spans="2:14" hidden="1" outlineLevel="1" x14ac:dyDescent="0.2">
      <c r="B69" s="121"/>
      <c r="C69" s="3" t="s">
        <v>85</v>
      </c>
      <c r="D69" s="238">
        <f t="shared" ref="D69:I69" si="25">D67+D68</f>
        <v>0</v>
      </c>
      <c r="E69" s="238">
        <f t="shared" si="25"/>
        <v>0</v>
      </c>
      <c r="F69" s="238">
        <f t="shared" si="25"/>
        <v>0</v>
      </c>
      <c r="G69" s="238">
        <f t="shared" si="25"/>
        <v>0</v>
      </c>
      <c r="H69" s="238">
        <f t="shared" si="25"/>
        <v>0</v>
      </c>
      <c r="I69" s="238">
        <f t="shared" si="25"/>
        <v>0</v>
      </c>
    </row>
    <row r="70" spans="2:14" hidden="1" outlineLevel="1" x14ac:dyDescent="0.2">
      <c r="B70" s="121"/>
    </row>
    <row r="71" spans="2:14" ht="15.75" hidden="1" outlineLevel="1" x14ac:dyDescent="0.2">
      <c r="B71" s="121"/>
      <c r="C71" s="454"/>
      <c r="D71" s="74">
        <f>FirstYear</f>
        <v>2026</v>
      </c>
      <c r="E71" s="74">
        <f>D71+1</f>
        <v>2027</v>
      </c>
      <c r="F71" s="74">
        <f>E71+1</f>
        <v>2028</v>
      </c>
      <c r="G71" s="74">
        <f>F71+1</f>
        <v>2029</v>
      </c>
      <c r="H71" s="74">
        <f>G71+1</f>
        <v>2030</v>
      </c>
      <c r="I71" s="74">
        <f>H71+1</f>
        <v>2031</v>
      </c>
    </row>
    <row r="72" spans="2:14" hidden="1" outlineLevel="1" x14ac:dyDescent="0.2">
      <c r="B72" s="249">
        <v>1</v>
      </c>
      <c r="C72" s="76" t="s">
        <v>84</v>
      </c>
      <c r="D72" s="238">
        <f t="shared" ref="D72:I72" si="26">INDEX(RPBSScriptsNew,$B64,D65)*INDEX(DPMQCoPayNewEff,$B64,$B72)</f>
        <v>0</v>
      </c>
      <c r="E72" s="238">
        <f t="shared" si="26"/>
        <v>0</v>
      </c>
      <c r="F72" s="238">
        <f t="shared" si="26"/>
        <v>0</v>
      </c>
      <c r="G72" s="238">
        <f t="shared" si="26"/>
        <v>0</v>
      </c>
      <c r="H72" s="238">
        <f t="shared" si="26"/>
        <v>0</v>
      </c>
      <c r="I72" s="238">
        <f t="shared" si="26"/>
        <v>0</v>
      </c>
    </row>
    <row r="73" spans="2:14" hidden="1" outlineLevel="1" x14ac:dyDescent="0.2">
      <c r="B73" s="249">
        <v>4</v>
      </c>
      <c r="C73" s="3" t="s">
        <v>108</v>
      </c>
      <c r="D73" s="238">
        <f t="shared" ref="D73:I73" si="27">INDEX(RPBSScriptsNew,$B64,D65)*(INDEX(DPMQCoPayNewEff,$B64,$B73)/INDEX(CoPayCountNew,$B64))</f>
        <v>0</v>
      </c>
      <c r="E73" s="238">
        <f t="shared" si="27"/>
        <v>0</v>
      </c>
      <c r="F73" s="238">
        <f t="shared" si="27"/>
        <v>0</v>
      </c>
      <c r="G73" s="238">
        <f t="shared" si="27"/>
        <v>0</v>
      </c>
      <c r="H73" s="238">
        <f t="shared" si="27"/>
        <v>0</v>
      </c>
      <c r="I73" s="238">
        <f t="shared" si="27"/>
        <v>0</v>
      </c>
    </row>
    <row r="74" spans="2:14" hidden="1" outlineLevel="1" x14ac:dyDescent="0.2">
      <c r="B74" s="121"/>
      <c r="C74" s="3" t="s">
        <v>86</v>
      </c>
      <c r="D74" s="238">
        <f t="shared" ref="D74:I74" si="28">D72+D73</f>
        <v>0</v>
      </c>
      <c r="E74" s="238">
        <f t="shared" si="28"/>
        <v>0</v>
      </c>
      <c r="F74" s="238">
        <f t="shared" si="28"/>
        <v>0</v>
      </c>
      <c r="G74" s="238">
        <f t="shared" si="28"/>
        <v>0</v>
      </c>
      <c r="H74" s="238">
        <f t="shared" si="28"/>
        <v>0</v>
      </c>
      <c r="I74" s="238">
        <f t="shared" si="28"/>
        <v>0</v>
      </c>
    </row>
    <row r="75" spans="2:14" collapsed="1" x14ac:dyDescent="0.2">
      <c r="B75" s="121"/>
      <c r="C75" s="457"/>
      <c r="D75" s="457"/>
      <c r="E75" s="457"/>
      <c r="F75" s="31"/>
      <c r="G75" s="31"/>
      <c r="H75" s="31"/>
      <c r="I75" s="31"/>
      <c r="J75" s="31"/>
      <c r="K75" s="31"/>
      <c r="L75" s="31"/>
      <c r="M75" s="31"/>
      <c r="N75" s="31"/>
    </row>
    <row r="76" spans="2:14" ht="15" x14ac:dyDescent="0.2">
      <c r="B76" s="249">
        <v>5</v>
      </c>
      <c r="C76" s="129" t="str">
        <f>IF(SPANewFlag&lt;&gt;0,INDEX(PBSScriptsNew,B76,1),MsgNotUsed)</f>
        <v>** NOT USED **</v>
      </c>
      <c r="D76" s="123"/>
      <c r="E76" s="123"/>
      <c r="F76" s="123"/>
      <c r="G76" s="123"/>
      <c r="H76" s="123"/>
      <c r="I76" s="123"/>
      <c r="J76" s="117"/>
      <c r="K76" s="116"/>
      <c r="L76" s="588" t="str">
        <f>IF(C76&lt;&gt;MsgNotUsed,"Co-payment group " &amp; INDEX(DPMQCoPayNewEff,B76,2),"")</f>
        <v/>
      </c>
      <c r="M76" s="588"/>
      <c r="N76" s="380"/>
    </row>
    <row r="77" spans="2:14" hidden="1" outlineLevel="1" x14ac:dyDescent="0.2">
      <c r="B77" s="209">
        <f>INDEX(SANew,B76,5)</f>
        <v>0</v>
      </c>
      <c r="C77" s="457"/>
      <c r="D77" s="319">
        <v>2</v>
      </c>
      <c r="E77" s="319">
        <v>3</v>
      </c>
      <c r="F77" s="319">
        <v>4</v>
      </c>
      <c r="G77" s="319">
        <v>5</v>
      </c>
      <c r="H77" s="319">
        <v>6</v>
      </c>
      <c r="I77" s="319">
        <v>7</v>
      </c>
      <c r="K77" s="31"/>
      <c r="L77" s="31"/>
      <c r="M77" s="31"/>
      <c r="N77" s="31"/>
    </row>
    <row r="78" spans="2:14" hidden="1" outlineLevel="1" x14ac:dyDescent="0.2">
      <c r="B78" s="130"/>
      <c r="D78" s="74">
        <f>FirstYear</f>
        <v>2026</v>
      </c>
      <c r="E78" s="74">
        <f>D78+1</f>
        <v>2027</v>
      </c>
      <c r="F78" s="74">
        <f>E78+1</f>
        <v>2028</v>
      </c>
      <c r="G78" s="74">
        <f>F78+1</f>
        <v>2029</v>
      </c>
      <c r="H78" s="74">
        <f>G78+1</f>
        <v>2030</v>
      </c>
      <c r="I78" s="74">
        <f>H78+1</f>
        <v>2031</v>
      </c>
    </row>
    <row r="79" spans="2:14" hidden="1" outlineLevel="1" x14ac:dyDescent="0.2">
      <c r="B79" s="249">
        <v>1</v>
      </c>
      <c r="C79" s="76" t="s">
        <v>83</v>
      </c>
      <c r="D79" s="238">
        <f t="shared" ref="D79:I79" si="29">INDEX(PBSScriptsNew,$B76,D77)*INDEX(DPMQCoPayNewEff,$B76,$B79)</f>
        <v>0</v>
      </c>
      <c r="E79" s="238">
        <f t="shared" si="29"/>
        <v>0</v>
      </c>
      <c r="F79" s="238">
        <f t="shared" si="29"/>
        <v>0</v>
      </c>
      <c r="G79" s="238">
        <f t="shared" si="29"/>
        <v>0</v>
      </c>
      <c r="H79" s="238">
        <f t="shared" si="29"/>
        <v>0</v>
      </c>
      <c r="I79" s="238">
        <f t="shared" si="29"/>
        <v>0</v>
      </c>
    </row>
    <row r="80" spans="2:14" hidden="1" outlineLevel="1" x14ac:dyDescent="0.2">
      <c r="B80" s="249">
        <v>3</v>
      </c>
      <c r="C80" s="3" t="s">
        <v>108</v>
      </c>
      <c r="D80" s="238">
        <f t="shared" ref="D80:I80" si="30">INDEX(PBSScriptsNew,$B76,D77)*(INDEX(DPMQCoPayNewEff,$B76,$B80)/INDEX(CoPayCountNew,$B76))</f>
        <v>0</v>
      </c>
      <c r="E80" s="238">
        <f t="shared" si="30"/>
        <v>0</v>
      </c>
      <c r="F80" s="238">
        <f t="shared" si="30"/>
        <v>0</v>
      </c>
      <c r="G80" s="238">
        <f t="shared" si="30"/>
        <v>0</v>
      </c>
      <c r="H80" s="238">
        <f t="shared" si="30"/>
        <v>0</v>
      </c>
      <c r="I80" s="238">
        <f t="shared" si="30"/>
        <v>0</v>
      </c>
      <c r="K80" s="579" t="str">
        <f>IF(B77&lt;&gt;0,MsgNote&amp;IF(B77="Yes",INDEX(CoPayMethod,1),INDEX(CoPayMethod,2)),"")</f>
        <v/>
      </c>
      <c r="L80" s="579"/>
      <c r="M80" s="579"/>
      <c r="N80" s="443"/>
    </row>
    <row r="81" spans="2:14" hidden="1" outlineLevel="1" x14ac:dyDescent="0.2">
      <c r="B81" s="121"/>
      <c r="C81" s="3" t="s">
        <v>85</v>
      </c>
      <c r="D81" s="238">
        <f t="shared" ref="D81:I81" si="31">D79+D80</f>
        <v>0</v>
      </c>
      <c r="E81" s="238">
        <f t="shared" si="31"/>
        <v>0</v>
      </c>
      <c r="F81" s="238">
        <f t="shared" si="31"/>
        <v>0</v>
      </c>
      <c r="G81" s="238">
        <f t="shared" si="31"/>
        <v>0</v>
      </c>
      <c r="H81" s="238">
        <f t="shared" si="31"/>
        <v>0</v>
      </c>
      <c r="I81" s="238">
        <f t="shared" si="31"/>
        <v>0</v>
      </c>
    </row>
    <row r="82" spans="2:14" hidden="1" outlineLevel="1" x14ac:dyDescent="0.2">
      <c r="B82" s="121"/>
    </row>
    <row r="83" spans="2:14" ht="15.75" hidden="1" outlineLevel="1" x14ac:dyDescent="0.2">
      <c r="B83" s="121"/>
      <c r="C83" s="454"/>
      <c r="D83" s="74">
        <f>FirstYear</f>
        <v>2026</v>
      </c>
      <c r="E83" s="74">
        <f>D83+1</f>
        <v>2027</v>
      </c>
      <c r="F83" s="74">
        <f>E83+1</f>
        <v>2028</v>
      </c>
      <c r="G83" s="74">
        <f>F83+1</f>
        <v>2029</v>
      </c>
      <c r="H83" s="74">
        <f>G83+1</f>
        <v>2030</v>
      </c>
      <c r="I83" s="74">
        <f>H83+1</f>
        <v>2031</v>
      </c>
    </row>
    <row r="84" spans="2:14" hidden="1" outlineLevel="1" x14ac:dyDescent="0.2">
      <c r="B84" s="249">
        <v>1</v>
      </c>
      <c r="C84" s="76" t="s">
        <v>84</v>
      </c>
      <c r="D84" s="238">
        <f t="shared" ref="D84:I84" si="32">INDEX(RPBSScriptsNew,$B76,D77)*INDEX(DPMQCoPayNewEff,$B76,$B84)</f>
        <v>0</v>
      </c>
      <c r="E84" s="238">
        <f t="shared" si="32"/>
        <v>0</v>
      </c>
      <c r="F84" s="238">
        <f t="shared" si="32"/>
        <v>0</v>
      </c>
      <c r="G84" s="238">
        <f t="shared" si="32"/>
        <v>0</v>
      </c>
      <c r="H84" s="238">
        <f t="shared" si="32"/>
        <v>0</v>
      </c>
      <c r="I84" s="238">
        <f t="shared" si="32"/>
        <v>0</v>
      </c>
    </row>
    <row r="85" spans="2:14" hidden="1" outlineLevel="1" x14ac:dyDescent="0.2">
      <c r="B85" s="249">
        <v>4</v>
      </c>
      <c r="C85" s="3" t="s">
        <v>108</v>
      </c>
      <c r="D85" s="238">
        <f t="shared" ref="D85:I85" si="33">INDEX(RPBSScriptsNew,$B76,D77)*(INDEX(DPMQCoPayNewEff,$B76,$B85)/INDEX(CoPayCountNew,$B76))</f>
        <v>0</v>
      </c>
      <c r="E85" s="238">
        <f t="shared" si="33"/>
        <v>0</v>
      </c>
      <c r="F85" s="238">
        <f t="shared" si="33"/>
        <v>0</v>
      </c>
      <c r="G85" s="238">
        <f t="shared" si="33"/>
        <v>0</v>
      </c>
      <c r="H85" s="238">
        <f t="shared" si="33"/>
        <v>0</v>
      </c>
      <c r="I85" s="238">
        <f t="shared" si="33"/>
        <v>0</v>
      </c>
    </row>
    <row r="86" spans="2:14" hidden="1" outlineLevel="1" x14ac:dyDescent="0.2">
      <c r="B86" s="121"/>
      <c r="C86" s="3" t="s">
        <v>86</v>
      </c>
      <c r="D86" s="238">
        <f t="shared" ref="D86:I86" si="34">D84+D85</f>
        <v>0</v>
      </c>
      <c r="E86" s="238">
        <f t="shared" si="34"/>
        <v>0</v>
      </c>
      <c r="F86" s="238">
        <f t="shared" si="34"/>
        <v>0</v>
      </c>
      <c r="G86" s="238">
        <f t="shared" si="34"/>
        <v>0</v>
      </c>
      <c r="H86" s="238">
        <f t="shared" si="34"/>
        <v>0</v>
      </c>
      <c r="I86" s="238">
        <f t="shared" si="34"/>
        <v>0</v>
      </c>
    </row>
    <row r="87" spans="2:14" collapsed="1" x14ac:dyDescent="0.2">
      <c r="B87" s="121"/>
      <c r="C87" s="457"/>
      <c r="D87" s="457"/>
      <c r="E87" s="457"/>
      <c r="F87" s="31"/>
      <c r="G87" s="31"/>
      <c r="H87" s="31"/>
      <c r="I87" s="31"/>
      <c r="J87" s="31"/>
      <c r="K87" s="31"/>
      <c r="L87" s="31"/>
      <c r="M87" s="31"/>
      <c r="N87" s="31"/>
    </row>
    <row r="88" spans="2:14" ht="15" x14ac:dyDescent="0.2">
      <c r="B88" s="249">
        <v>6</v>
      </c>
      <c r="C88" s="129" t="str">
        <f>IF(SPANewFlag&lt;&gt;0,INDEX(PBSScriptsNew,B88,1),MsgNotUsed)</f>
        <v>** NOT USED **</v>
      </c>
      <c r="D88" s="123"/>
      <c r="E88" s="123"/>
      <c r="F88" s="123"/>
      <c r="G88" s="123"/>
      <c r="H88" s="123"/>
      <c r="I88" s="123"/>
      <c r="J88" s="117"/>
      <c r="K88" s="116"/>
      <c r="L88" s="588" t="str">
        <f>IF(C88&lt;&gt;MsgNotUsed,"Co-payment group " &amp; INDEX(DPMQCoPayNewEff,B88,2),"")</f>
        <v/>
      </c>
      <c r="M88" s="588"/>
      <c r="N88" s="380"/>
    </row>
    <row r="89" spans="2:14" hidden="1" outlineLevel="1" x14ac:dyDescent="0.2">
      <c r="B89" s="209">
        <f>INDEX(SANew,B88,5)</f>
        <v>0</v>
      </c>
      <c r="C89" s="457"/>
      <c r="D89" s="319">
        <v>2</v>
      </c>
      <c r="E89" s="319">
        <v>3</v>
      </c>
      <c r="F89" s="319">
        <v>4</v>
      </c>
      <c r="G89" s="319">
        <v>5</v>
      </c>
      <c r="H89" s="319">
        <v>6</v>
      </c>
      <c r="I89" s="319">
        <v>7</v>
      </c>
      <c r="K89" s="31"/>
      <c r="L89" s="31"/>
      <c r="M89" s="31"/>
      <c r="N89" s="31"/>
    </row>
    <row r="90" spans="2:14" hidden="1" outlineLevel="1" x14ac:dyDescent="0.2">
      <c r="B90" s="130"/>
      <c r="D90" s="74">
        <f>FirstYear</f>
        <v>2026</v>
      </c>
      <c r="E90" s="74">
        <f>D90+1</f>
        <v>2027</v>
      </c>
      <c r="F90" s="74">
        <f>E90+1</f>
        <v>2028</v>
      </c>
      <c r="G90" s="74">
        <f>F90+1</f>
        <v>2029</v>
      </c>
      <c r="H90" s="74">
        <f>G90+1</f>
        <v>2030</v>
      </c>
      <c r="I90" s="74">
        <f>H90+1</f>
        <v>2031</v>
      </c>
    </row>
    <row r="91" spans="2:14" hidden="1" outlineLevel="1" x14ac:dyDescent="0.2">
      <c r="B91" s="249">
        <v>1</v>
      </c>
      <c r="C91" s="76" t="s">
        <v>83</v>
      </c>
      <c r="D91" s="238">
        <f t="shared" ref="D91:I91" si="35">INDEX(PBSScriptsNew,$B88,D89)*INDEX(DPMQCoPayNewEff,$B88,$B91)</f>
        <v>0</v>
      </c>
      <c r="E91" s="238">
        <f t="shared" si="35"/>
        <v>0</v>
      </c>
      <c r="F91" s="238">
        <f t="shared" si="35"/>
        <v>0</v>
      </c>
      <c r="G91" s="238">
        <f t="shared" si="35"/>
        <v>0</v>
      </c>
      <c r="H91" s="238">
        <f t="shared" si="35"/>
        <v>0</v>
      </c>
      <c r="I91" s="238">
        <f t="shared" si="35"/>
        <v>0</v>
      </c>
    </row>
    <row r="92" spans="2:14" hidden="1" outlineLevel="1" x14ac:dyDescent="0.2">
      <c r="B92" s="249">
        <v>3</v>
      </c>
      <c r="C92" s="3" t="s">
        <v>108</v>
      </c>
      <c r="D92" s="238">
        <f t="shared" ref="D92:I92" si="36">INDEX(PBSScriptsNew,$B88,D89)*(INDEX(DPMQCoPayNewEff,$B88,$B92)/INDEX(CoPayCountNew,$B88))</f>
        <v>0</v>
      </c>
      <c r="E92" s="238">
        <f t="shared" si="36"/>
        <v>0</v>
      </c>
      <c r="F92" s="238">
        <f t="shared" si="36"/>
        <v>0</v>
      </c>
      <c r="G92" s="238">
        <f t="shared" si="36"/>
        <v>0</v>
      </c>
      <c r="H92" s="238">
        <f t="shared" si="36"/>
        <v>0</v>
      </c>
      <c r="I92" s="238">
        <f t="shared" si="36"/>
        <v>0</v>
      </c>
      <c r="K92" s="579" t="str">
        <f>IF(B89&lt;&gt;0,MsgNote&amp;IF(B89="Yes",INDEX(CoPayMethod,1),INDEX(CoPayMethod,2)),"")</f>
        <v/>
      </c>
      <c r="L92" s="579"/>
      <c r="M92" s="579"/>
      <c r="N92" s="443"/>
    </row>
    <row r="93" spans="2:14" hidden="1" outlineLevel="1" x14ac:dyDescent="0.2">
      <c r="B93" s="121"/>
      <c r="C93" s="3" t="s">
        <v>85</v>
      </c>
      <c r="D93" s="238">
        <f t="shared" ref="D93:I93" si="37">D91+D92</f>
        <v>0</v>
      </c>
      <c r="E93" s="238">
        <f t="shared" si="37"/>
        <v>0</v>
      </c>
      <c r="F93" s="238">
        <f t="shared" si="37"/>
        <v>0</v>
      </c>
      <c r="G93" s="238">
        <f t="shared" si="37"/>
        <v>0</v>
      </c>
      <c r="H93" s="238">
        <f t="shared" si="37"/>
        <v>0</v>
      </c>
      <c r="I93" s="238">
        <f t="shared" si="37"/>
        <v>0</v>
      </c>
    </row>
    <row r="94" spans="2:14" hidden="1" outlineLevel="1" x14ac:dyDescent="0.2">
      <c r="B94" s="121"/>
    </row>
    <row r="95" spans="2:14" ht="15.75" hidden="1" outlineLevel="1" x14ac:dyDescent="0.2">
      <c r="B95" s="121"/>
      <c r="C95" s="454"/>
      <c r="D95" s="74">
        <f>FirstYear</f>
        <v>2026</v>
      </c>
      <c r="E95" s="74">
        <f>D95+1</f>
        <v>2027</v>
      </c>
      <c r="F95" s="74">
        <f>E95+1</f>
        <v>2028</v>
      </c>
      <c r="G95" s="74">
        <f>F95+1</f>
        <v>2029</v>
      </c>
      <c r="H95" s="74">
        <f>G95+1</f>
        <v>2030</v>
      </c>
      <c r="I95" s="74">
        <f>H95+1</f>
        <v>2031</v>
      </c>
    </row>
    <row r="96" spans="2:14" hidden="1" outlineLevel="1" x14ac:dyDescent="0.2">
      <c r="B96" s="249">
        <v>1</v>
      </c>
      <c r="C96" s="76" t="s">
        <v>84</v>
      </c>
      <c r="D96" s="238">
        <f t="shared" ref="D96:I96" si="38">INDEX(RPBSScriptsNew,$B88,D89)*INDEX(DPMQCoPayNewEff,$B88,$B96)</f>
        <v>0</v>
      </c>
      <c r="E96" s="238">
        <f t="shared" si="38"/>
        <v>0</v>
      </c>
      <c r="F96" s="238">
        <f t="shared" si="38"/>
        <v>0</v>
      </c>
      <c r="G96" s="238">
        <f t="shared" si="38"/>
        <v>0</v>
      </c>
      <c r="H96" s="238">
        <f t="shared" si="38"/>
        <v>0</v>
      </c>
      <c r="I96" s="238">
        <f t="shared" si="38"/>
        <v>0</v>
      </c>
    </row>
    <row r="97" spans="2:14" hidden="1" outlineLevel="1" x14ac:dyDescent="0.2">
      <c r="B97" s="249">
        <v>4</v>
      </c>
      <c r="C97" s="3" t="s">
        <v>108</v>
      </c>
      <c r="D97" s="238">
        <f t="shared" ref="D97:I97" si="39">INDEX(RPBSScriptsNew,$B88,D89)*(INDEX(DPMQCoPayNewEff,$B88,$B97)/INDEX(CoPayCountNew,$B88))</f>
        <v>0</v>
      </c>
      <c r="E97" s="238">
        <f t="shared" si="39"/>
        <v>0</v>
      </c>
      <c r="F97" s="238">
        <f t="shared" si="39"/>
        <v>0</v>
      </c>
      <c r="G97" s="238">
        <f t="shared" si="39"/>
        <v>0</v>
      </c>
      <c r="H97" s="238">
        <f t="shared" si="39"/>
        <v>0</v>
      </c>
      <c r="I97" s="238">
        <f t="shared" si="39"/>
        <v>0</v>
      </c>
    </row>
    <row r="98" spans="2:14" hidden="1" outlineLevel="1" x14ac:dyDescent="0.2">
      <c r="B98" s="121"/>
      <c r="C98" s="3" t="s">
        <v>86</v>
      </c>
      <c r="D98" s="238">
        <f t="shared" ref="D98:I98" si="40">D96+D97</f>
        <v>0</v>
      </c>
      <c r="E98" s="238">
        <f t="shared" si="40"/>
        <v>0</v>
      </c>
      <c r="F98" s="238">
        <f t="shared" si="40"/>
        <v>0</v>
      </c>
      <c r="G98" s="238">
        <f t="shared" si="40"/>
        <v>0</v>
      </c>
      <c r="H98" s="238">
        <f t="shared" si="40"/>
        <v>0</v>
      </c>
      <c r="I98" s="238">
        <f t="shared" si="40"/>
        <v>0</v>
      </c>
    </row>
    <row r="99" spans="2:14" collapsed="1" x14ac:dyDescent="0.2">
      <c r="B99" s="121"/>
      <c r="C99" s="457"/>
      <c r="D99" s="457"/>
      <c r="E99" s="457"/>
      <c r="F99" s="31"/>
      <c r="G99" s="31"/>
      <c r="H99" s="31"/>
      <c r="I99" s="31"/>
      <c r="J99" s="31"/>
      <c r="K99" s="31"/>
      <c r="L99" s="31"/>
      <c r="M99" s="31"/>
      <c r="N99" s="31"/>
    </row>
    <row r="100" spans="2:14" ht="15" x14ac:dyDescent="0.2">
      <c r="B100" s="249">
        <v>7</v>
      </c>
      <c r="C100" s="129" t="str">
        <f>IF(SPANewFlag&lt;&gt;0,INDEX(PBSScriptsNew,B100,1),MsgNotUsed)</f>
        <v>** NOT USED **</v>
      </c>
      <c r="D100" s="123"/>
      <c r="E100" s="123"/>
      <c r="F100" s="123"/>
      <c r="G100" s="123"/>
      <c r="H100" s="123"/>
      <c r="I100" s="123"/>
      <c r="J100" s="117"/>
      <c r="K100" s="116"/>
      <c r="L100" s="588" t="str">
        <f>IF(C100&lt;&gt;MsgNotUsed,"Co-payment group " &amp; INDEX(DPMQCoPayNewEff,B100,2),"")</f>
        <v/>
      </c>
      <c r="M100" s="588"/>
      <c r="N100" s="380"/>
    </row>
    <row r="101" spans="2:14" hidden="1" outlineLevel="1" x14ac:dyDescent="0.2">
      <c r="B101" s="209">
        <f>INDEX(SANew,B100,5)</f>
        <v>0</v>
      </c>
      <c r="C101" s="457"/>
      <c r="D101" s="319">
        <v>2</v>
      </c>
      <c r="E101" s="319">
        <v>3</v>
      </c>
      <c r="F101" s="319">
        <v>4</v>
      </c>
      <c r="G101" s="319">
        <v>5</v>
      </c>
      <c r="H101" s="319">
        <v>6</v>
      </c>
      <c r="I101" s="319">
        <v>7</v>
      </c>
      <c r="K101" s="31"/>
      <c r="L101" s="31"/>
      <c r="M101" s="31"/>
      <c r="N101" s="31"/>
    </row>
    <row r="102" spans="2:14" hidden="1" outlineLevel="1" x14ac:dyDescent="0.2">
      <c r="B102" s="130"/>
      <c r="D102" s="74">
        <f>FirstYear</f>
        <v>2026</v>
      </c>
      <c r="E102" s="74">
        <f>D102+1</f>
        <v>2027</v>
      </c>
      <c r="F102" s="74">
        <f>E102+1</f>
        <v>2028</v>
      </c>
      <c r="G102" s="74">
        <f>F102+1</f>
        <v>2029</v>
      </c>
      <c r="H102" s="74">
        <f>G102+1</f>
        <v>2030</v>
      </c>
      <c r="I102" s="74">
        <f>H102+1</f>
        <v>2031</v>
      </c>
    </row>
    <row r="103" spans="2:14" hidden="1" outlineLevel="1" x14ac:dyDescent="0.2">
      <c r="B103" s="249">
        <v>1</v>
      </c>
      <c r="C103" s="76" t="s">
        <v>83</v>
      </c>
      <c r="D103" s="238">
        <f t="shared" ref="D103:I103" si="41">INDEX(PBSScriptsNew,$B100,D101)*INDEX(DPMQCoPayNewEff,$B100,$B103)</f>
        <v>0</v>
      </c>
      <c r="E103" s="238">
        <f t="shared" si="41"/>
        <v>0</v>
      </c>
      <c r="F103" s="238">
        <f t="shared" si="41"/>
        <v>0</v>
      </c>
      <c r="G103" s="238">
        <f t="shared" si="41"/>
        <v>0</v>
      </c>
      <c r="H103" s="238">
        <f t="shared" si="41"/>
        <v>0</v>
      </c>
      <c r="I103" s="238">
        <f t="shared" si="41"/>
        <v>0</v>
      </c>
    </row>
    <row r="104" spans="2:14" hidden="1" outlineLevel="1" x14ac:dyDescent="0.2">
      <c r="B104" s="249">
        <v>3</v>
      </c>
      <c r="C104" s="3" t="s">
        <v>108</v>
      </c>
      <c r="D104" s="238">
        <f t="shared" ref="D104:I104" si="42">INDEX(PBSScriptsNew,$B100,D101)*(INDEX(DPMQCoPayNewEff,$B100,$B104)/INDEX(CoPayCountNew,$B100))</f>
        <v>0</v>
      </c>
      <c r="E104" s="238">
        <f t="shared" si="42"/>
        <v>0</v>
      </c>
      <c r="F104" s="238">
        <f t="shared" si="42"/>
        <v>0</v>
      </c>
      <c r="G104" s="238">
        <f t="shared" si="42"/>
        <v>0</v>
      </c>
      <c r="H104" s="238">
        <f t="shared" si="42"/>
        <v>0</v>
      </c>
      <c r="I104" s="238">
        <f t="shared" si="42"/>
        <v>0</v>
      </c>
      <c r="K104" s="579" t="str">
        <f>IF(B101&lt;&gt;0,MsgNote&amp;IF(B101="Yes",INDEX(CoPayMethod,1),INDEX(CoPayMethod,2)),"")</f>
        <v/>
      </c>
      <c r="L104" s="579"/>
      <c r="M104" s="579"/>
      <c r="N104" s="443"/>
    </row>
    <row r="105" spans="2:14" hidden="1" outlineLevel="1" x14ac:dyDescent="0.2">
      <c r="B105" s="121"/>
      <c r="C105" s="3" t="s">
        <v>85</v>
      </c>
      <c r="D105" s="238">
        <f t="shared" ref="D105:I105" si="43">D103+D104</f>
        <v>0</v>
      </c>
      <c r="E105" s="238">
        <f t="shared" si="43"/>
        <v>0</v>
      </c>
      <c r="F105" s="238">
        <f t="shared" si="43"/>
        <v>0</v>
      </c>
      <c r="G105" s="238">
        <f t="shared" si="43"/>
        <v>0</v>
      </c>
      <c r="H105" s="238">
        <f t="shared" si="43"/>
        <v>0</v>
      </c>
      <c r="I105" s="238">
        <f t="shared" si="43"/>
        <v>0</v>
      </c>
    </row>
    <row r="106" spans="2:14" hidden="1" outlineLevel="1" x14ac:dyDescent="0.2">
      <c r="B106" s="121"/>
    </row>
    <row r="107" spans="2:14" ht="15.75" hidden="1" outlineLevel="1" x14ac:dyDescent="0.2">
      <c r="B107" s="121"/>
      <c r="C107" s="454"/>
      <c r="D107" s="74">
        <f>FirstYear</f>
        <v>2026</v>
      </c>
      <c r="E107" s="74">
        <f>D107+1</f>
        <v>2027</v>
      </c>
      <c r="F107" s="74">
        <f>E107+1</f>
        <v>2028</v>
      </c>
      <c r="G107" s="74">
        <f>F107+1</f>
        <v>2029</v>
      </c>
      <c r="H107" s="74">
        <f>G107+1</f>
        <v>2030</v>
      </c>
      <c r="I107" s="74">
        <f>H107+1</f>
        <v>2031</v>
      </c>
    </row>
    <row r="108" spans="2:14" hidden="1" outlineLevel="1" x14ac:dyDescent="0.2">
      <c r="B108" s="249">
        <v>1</v>
      </c>
      <c r="C108" s="76" t="s">
        <v>84</v>
      </c>
      <c r="D108" s="238">
        <f t="shared" ref="D108:I108" si="44">INDEX(RPBSScriptsNew,$B100,D101)*INDEX(DPMQCoPayNewEff,$B100,$B108)</f>
        <v>0</v>
      </c>
      <c r="E108" s="238">
        <f t="shared" si="44"/>
        <v>0</v>
      </c>
      <c r="F108" s="238">
        <f t="shared" si="44"/>
        <v>0</v>
      </c>
      <c r="G108" s="238">
        <f t="shared" si="44"/>
        <v>0</v>
      </c>
      <c r="H108" s="238">
        <f t="shared" si="44"/>
        <v>0</v>
      </c>
      <c r="I108" s="238">
        <f t="shared" si="44"/>
        <v>0</v>
      </c>
    </row>
    <row r="109" spans="2:14" hidden="1" outlineLevel="1" x14ac:dyDescent="0.2">
      <c r="B109" s="249">
        <v>4</v>
      </c>
      <c r="C109" s="3" t="s">
        <v>108</v>
      </c>
      <c r="D109" s="238">
        <f t="shared" ref="D109:I109" si="45">INDEX(RPBSScriptsNew,$B100,D101)*(INDEX(DPMQCoPayNewEff,$B100,$B109)/INDEX(CoPayCountNew,$B100))</f>
        <v>0</v>
      </c>
      <c r="E109" s="238">
        <f t="shared" si="45"/>
        <v>0</v>
      </c>
      <c r="F109" s="238">
        <f t="shared" si="45"/>
        <v>0</v>
      </c>
      <c r="G109" s="238">
        <f t="shared" si="45"/>
        <v>0</v>
      </c>
      <c r="H109" s="238">
        <f t="shared" si="45"/>
        <v>0</v>
      </c>
      <c r="I109" s="238">
        <f t="shared" si="45"/>
        <v>0</v>
      </c>
    </row>
    <row r="110" spans="2:14" hidden="1" outlineLevel="1" x14ac:dyDescent="0.2">
      <c r="B110" s="121"/>
      <c r="C110" s="3" t="s">
        <v>86</v>
      </c>
      <c r="D110" s="238">
        <f t="shared" ref="D110:I110" si="46">D108+D109</f>
        <v>0</v>
      </c>
      <c r="E110" s="238">
        <f t="shared" si="46"/>
        <v>0</v>
      </c>
      <c r="F110" s="238">
        <f t="shared" si="46"/>
        <v>0</v>
      </c>
      <c r="G110" s="238">
        <f t="shared" si="46"/>
        <v>0</v>
      </c>
      <c r="H110" s="238">
        <f t="shared" si="46"/>
        <v>0</v>
      </c>
      <c r="I110" s="238">
        <f t="shared" si="46"/>
        <v>0</v>
      </c>
    </row>
    <row r="111" spans="2:14" collapsed="1" x14ac:dyDescent="0.2">
      <c r="B111" s="121"/>
      <c r="C111" s="457"/>
      <c r="D111" s="457"/>
      <c r="E111" s="457"/>
      <c r="F111" s="31"/>
      <c r="G111" s="31"/>
      <c r="H111" s="31"/>
      <c r="I111" s="31"/>
      <c r="J111" s="31"/>
      <c r="K111" s="31"/>
      <c r="L111" s="31"/>
      <c r="M111" s="31"/>
      <c r="N111" s="31"/>
    </row>
    <row r="112" spans="2:14" ht="15" x14ac:dyDescent="0.2">
      <c r="B112" s="249">
        <v>8</v>
      </c>
      <c r="C112" s="129" t="str">
        <f>IF(SPANewFlag&lt;&gt;0,INDEX(PBSScriptsNew,B112,1),MsgNotUsed)</f>
        <v>** NOT USED **</v>
      </c>
      <c r="D112" s="123"/>
      <c r="E112" s="123"/>
      <c r="F112" s="123"/>
      <c r="G112" s="123"/>
      <c r="H112" s="123"/>
      <c r="I112" s="123"/>
      <c r="J112" s="117"/>
      <c r="K112" s="116"/>
      <c r="L112" s="588" t="str">
        <f>IF(C112&lt;&gt;MsgNotUsed,"Co-payment group " &amp; INDEX(DPMQCoPayNewEff,B112,2),"")</f>
        <v/>
      </c>
      <c r="M112" s="588"/>
      <c r="N112" s="380"/>
    </row>
    <row r="113" spans="2:14" hidden="1" outlineLevel="1" x14ac:dyDescent="0.2">
      <c r="B113" s="209">
        <f>INDEX(SANew,B112,5)</f>
        <v>0</v>
      </c>
      <c r="C113" s="457"/>
      <c r="D113" s="319">
        <v>2</v>
      </c>
      <c r="E113" s="319">
        <v>3</v>
      </c>
      <c r="F113" s="319">
        <v>4</v>
      </c>
      <c r="G113" s="319">
        <v>5</v>
      </c>
      <c r="H113" s="319">
        <v>6</v>
      </c>
      <c r="I113" s="319">
        <v>7</v>
      </c>
      <c r="K113" s="31"/>
      <c r="L113" s="31"/>
      <c r="M113" s="31"/>
      <c r="N113" s="31"/>
    </row>
    <row r="114" spans="2:14" hidden="1" outlineLevel="1" x14ac:dyDescent="0.2">
      <c r="B114" s="130"/>
      <c r="D114" s="74">
        <f>FirstYear</f>
        <v>2026</v>
      </c>
      <c r="E114" s="74">
        <f>D114+1</f>
        <v>2027</v>
      </c>
      <c r="F114" s="74">
        <f>E114+1</f>
        <v>2028</v>
      </c>
      <c r="G114" s="74">
        <f>F114+1</f>
        <v>2029</v>
      </c>
      <c r="H114" s="74">
        <f>G114+1</f>
        <v>2030</v>
      </c>
      <c r="I114" s="74">
        <f>H114+1</f>
        <v>2031</v>
      </c>
    </row>
    <row r="115" spans="2:14" hidden="1" outlineLevel="1" x14ac:dyDescent="0.2">
      <c r="B115" s="249">
        <v>1</v>
      </c>
      <c r="C115" s="76" t="s">
        <v>83</v>
      </c>
      <c r="D115" s="238">
        <f t="shared" ref="D115:I115" si="47">INDEX(PBSScriptsNew,$B112,D113)*INDEX(DPMQCoPayNewEff,$B112,$B115)</f>
        <v>0</v>
      </c>
      <c r="E115" s="238">
        <f t="shared" si="47"/>
        <v>0</v>
      </c>
      <c r="F115" s="238">
        <f t="shared" si="47"/>
        <v>0</v>
      </c>
      <c r="G115" s="238">
        <f t="shared" si="47"/>
        <v>0</v>
      </c>
      <c r="H115" s="238">
        <f t="shared" si="47"/>
        <v>0</v>
      </c>
      <c r="I115" s="238">
        <f t="shared" si="47"/>
        <v>0</v>
      </c>
    </row>
    <row r="116" spans="2:14" hidden="1" outlineLevel="1" x14ac:dyDescent="0.2">
      <c r="B116" s="249">
        <v>3</v>
      </c>
      <c r="C116" s="3" t="s">
        <v>108</v>
      </c>
      <c r="D116" s="238">
        <f t="shared" ref="D116:I116" si="48">INDEX(PBSScriptsNew,$B112,D113)*(INDEX(DPMQCoPayNewEff,$B112,$B116)/INDEX(CoPayCountNew,$B112))</f>
        <v>0</v>
      </c>
      <c r="E116" s="238">
        <f t="shared" si="48"/>
        <v>0</v>
      </c>
      <c r="F116" s="238">
        <f t="shared" si="48"/>
        <v>0</v>
      </c>
      <c r="G116" s="238">
        <f t="shared" si="48"/>
        <v>0</v>
      </c>
      <c r="H116" s="238">
        <f t="shared" si="48"/>
        <v>0</v>
      </c>
      <c r="I116" s="238">
        <f t="shared" si="48"/>
        <v>0</v>
      </c>
      <c r="K116" s="579" t="str">
        <f>IF(B113&lt;&gt;0,MsgNote&amp;IF(B113="Yes",INDEX(CoPayMethod,1),INDEX(CoPayMethod,2)),"")</f>
        <v/>
      </c>
      <c r="L116" s="579"/>
      <c r="M116" s="579"/>
      <c r="N116" s="443"/>
    </row>
    <row r="117" spans="2:14" hidden="1" outlineLevel="1" x14ac:dyDescent="0.2">
      <c r="B117" s="121"/>
      <c r="C117" s="3" t="s">
        <v>85</v>
      </c>
      <c r="D117" s="238">
        <f t="shared" ref="D117:I117" si="49">D115+D116</f>
        <v>0</v>
      </c>
      <c r="E117" s="238">
        <f t="shared" si="49"/>
        <v>0</v>
      </c>
      <c r="F117" s="238">
        <f t="shared" si="49"/>
        <v>0</v>
      </c>
      <c r="G117" s="238">
        <f t="shared" si="49"/>
        <v>0</v>
      </c>
      <c r="H117" s="238">
        <f t="shared" si="49"/>
        <v>0</v>
      </c>
      <c r="I117" s="238">
        <f t="shared" si="49"/>
        <v>0</v>
      </c>
    </row>
    <row r="118" spans="2:14" hidden="1" outlineLevel="1" x14ac:dyDescent="0.2">
      <c r="B118" s="121"/>
    </row>
    <row r="119" spans="2:14" ht="15.75" hidden="1" outlineLevel="1" x14ac:dyDescent="0.2">
      <c r="B119" s="121"/>
      <c r="C119" s="454"/>
      <c r="D119" s="74">
        <f>FirstYear</f>
        <v>2026</v>
      </c>
      <c r="E119" s="74">
        <f>D119+1</f>
        <v>2027</v>
      </c>
      <c r="F119" s="74">
        <f>E119+1</f>
        <v>2028</v>
      </c>
      <c r="G119" s="74">
        <f>F119+1</f>
        <v>2029</v>
      </c>
      <c r="H119" s="74">
        <f>G119+1</f>
        <v>2030</v>
      </c>
      <c r="I119" s="74">
        <f>H119+1</f>
        <v>2031</v>
      </c>
    </row>
    <row r="120" spans="2:14" hidden="1" outlineLevel="1" x14ac:dyDescent="0.2">
      <c r="B120" s="249">
        <v>1</v>
      </c>
      <c r="C120" s="76" t="s">
        <v>84</v>
      </c>
      <c r="D120" s="238">
        <f t="shared" ref="D120:I120" si="50">INDEX(RPBSScriptsNew,$B112,D113)*INDEX(DPMQCoPayNewEff,$B112,$B120)</f>
        <v>0</v>
      </c>
      <c r="E120" s="238">
        <f t="shared" si="50"/>
        <v>0</v>
      </c>
      <c r="F120" s="238">
        <f t="shared" si="50"/>
        <v>0</v>
      </c>
      <c r="G120" s="238">
        <f t="shared" si="50"/>
        <v>0</v>
      </c>
      <c r="H120" s="238">
        <f t="shared" si="50"/>
        <v>0</v>
      </c>
      <c r="I120" s="238">
        <f t="shared" si="50"/>
        <v>0</v>
      </c>
    </row>
    <row r="121" spans="2:14" hidden="1" outlineLevel="1" x14ac:dyDescent="0.2">
      <c r="B121" s="249">
        <v>4</v>
      </c>
      <c r="C121" s="3" t="s">
        <v>108</v>
      </c>
      <c r="D121" s="238">
        <f t="shared" ref="D121:I121" si="51">INDEX(RPBSScriptsNew,$B112,D113)*(INDEX(DPMQCoPayNewEff,$B112,$B121)/INDEX(CoPayCountNew,$B112))</f>
        <v>0</v>
      </c>
      <c r="E121" s="238">
        <f t="shared" si="51"/>
        <v>0</v>
      </c>
      <c r="F121" s="238">
        <f t="shared" si="51"/>
        <v>0</v>
      </c>
      <c r="G121" s="238">
        <f t="shared" si="51"/>
        <v>0</v>
      </c>
      <c r="H121" s="238">
        <f t="shared" si="51"/>
        <v>0</v>
      </c>
      <c r="I121" s="238">
        <f t="shared" si="51"/>
        <v>0</v>
      </c>
    </row>
    <row r="122" spans="2:14" hidden="1" outlineLevel="1" x14ac:dyDescent="0.2">
      <c r="B122" s="121"/>
      <c r="C122" s="3" t="s">
        <v>86</v>
      </c>
      <c r="D122" s="238">
        <f t="shared" ref="D122:I122" si="52">D120+D121</f>
        <v>0</v>
      </c>
      <c r="E122" s="238">
        <f t="shared" si="52"/>
        <v>0</v>
      </c>
      <c r="F122" s="238">
        <f t="shared" si="52"/>
        <v>0</v>
      </c>
      <c r="G122" s="238">
        <f t="shared" si="52"/>
        <v>0</v>
      </c>
      <c r="H122" s="238">
        <f t="shared" si="52"/>
        <v>0</v>
      </c>
      <c r="I122" s="238">
        <f t="shared" si="52"/>
        <v>0</v>
      </c>
    </row>
    <row r="123" spans="2:14" collapsed="1" x14ac:dyDescent="0.2">
      <c r="B123" s="121"/>
      <c r="C123" s="457"/>
      <c r="D123" s="457"/>
      <c r="E123" s="457"/>
      <c r="F123" s="31"/>
      <c r="G123" s="31"/>
      <c r="H123" s="31"/>
      <c r="I123" s="31"/>
      <c r="J123" s="31"/>
      <c r="K123" s="31"/>
      <c r="L123" s="31"/>
      <c r="M123" s="31"/>
      <c r="N123" s="31"/>
    </row>
    <row r="124" spans="2:14" ht="15" x14ac:dyDescent="0.2">
      <c r="B124" s="249">
        <v>9</v>
      </c>
      <c r="C124" s="129" t="str">
        <f>IF(SPANewFlag&lt;&gt;0,INDEX(PBSScriptsNew,B124,1),MsgNotUsed)</f>
        <v>** NOT USED **</v>
      </c>
      <c r="D124" s="123"/>
      <c r="E124" s="123"/>
      <c r="F124" s="123"/>
      <c r="G124" s="123"/>
      <c r="H124" s="123"/>
      <c r="I124" s="123"/>
      <c r="J124" s="117"/>
      <c r="K124" s="116"/>
      <c r="L124" s="588" t="str">
        <f>IF(C124&lt;&gt;MsgNotUsed,"Co-payment group " &amp; INDEX(DPMQCoPayNewEff,B124,2),"")</f>
        <v/>
      </c>
      <c r="M124" s="588"/>
      <c r="N124" s="380"/>
    </row>
    <row r="125" spans="2:14" hidden="1" outlineLevel="1" x14ac:dyDescent="0.2">
      <c r="B125" s="209">
        <f>INDEX(SANew,B124,5)</f>
        <v>0</v>
      </c>
      <c r="C125" s="457"/>
      <c r="D125" s="319">
        <v>2</v>
      </c>
      <c r="E125" s="319">
        <v>3</v>
      </c>
      <c r="F125" s="319">
        <v>4</v>
      </c>
      <c r="G125" s="319">
        <v>5</v>
      </c>
      <c r="H125" s="319">
        <v>6</v>
      </c>
      <c r="I125" s="319">
        <v>7</v>
      </c>
      <c r="K125" s="31"/>
      <c r="L125" s="31"/>
      <c r="M125" s="31"/>
      <c r="N125" s="31"/>
    </row>
    <row r="126" spans="2:14" hidden="1" outlineLevel="1" x14ac:dyDescent="0.2">
      <c r="B126" s="130"/>
      <c r="D126" s="74">
        <f>FirstYear</f>
        <v>2026</v>
      </c>
      <c r="E126" s="74">
        <f>D126+1</f>
        <v>2027</v>
      </c>
      <c r="F126" s="74">
        <f>E126+1</f>
        <v>2028</v>
      </c>
      <c r="G126" s="74">
        <f>F126+1</f>
        <v>2029</v>
      </c>
      <c r="H126" s="74">
        <f>G126+1</f>
        <v>2030</v>
      </c>
      <c r="I126" s="74">
        <f>H126+1</f>
        <v>2031</v>
      </c>
    </row>
    <row r="127" spans="2:14" hidden="1" outlineLevel="1" x14ac:dyDescent="0.2">
      <c r="B127" s="249">
        <v>1</v>
      </c>
      <c r="C127" s="76" t="s">
        <v>83</v>
      </c>
      <c r="D127" s="238">
        <f t="shared" ref="D127:I127" si="53">INDEX(PBSScriptsNew,$B124,D125)*INDEX(DPMQCoPayNewEff,$B124,$B127)</f>
        <v>0</v>
      </c>
      <c r="E127" s="238">
        <f t="shared" si="53"/>
        <v>0</v>
      </c>
      <c r="F127" s="238">
        <f t="shared" si="53"/>
        <v>0</v>
      </c>
      <c r="G127" s="238">
        <f t="shared" si="53"/>
        <v>0</v>
      </c>
      <c r="H127" s="238">
        <f t="shared" si="53"/>
        <v>0</v>
      </c>
      <c r="I127" s="238">
        <f t="shared" si="53"/>
        <v>0</v>
      </c>
    </row>
    <row r="128" spans="2:14" hidden="1" outlineLevel="1" x14ac:dyDescent="0.2">
      <c r="B128" s="249">
        <v>3</v>
      </c>
      <c r="C128" s="3" t="s">
        <v>108</v>
      </c>
      <c r="D128" s="238">
        <f t="shared" ref="D128:I128" si="54">INDEX(PBSScriptsNew,$B124,D125)*(INDEX(DPMQCoPayNewEff,$B124,$B128)/INDEX(CoPayCountNew,$B124))</f>
        <v>0</v>
      </c>
      <c r="E128" s="238">
        <f t="shared" si="54"/>
        <v>0</v>
      </c>
      <c r="F128" s="238">
        <f t="shared" si="54"/>
        <v>0</v>
      </c>
      <c r="G128" s="238">
        <f t="shared" si="54"/>
        <v>0</v>
      </c>
      <c r="H128" s="238">
        <f t="shared" si="54"/>
        <v>0</v>
      </c>
      <c r="I128" s="238">
        <f t="shared" si="54"/>
        <v>0</v>
      </c>
      <c r="K128" s="579" t="str">
        <f>IF(B125&lt;&gt;0,MsgNote&amp;IF(B125="Yes",INDEX(CoPayMethod,1),INDEX(CoPayMethod,2)),"")</f>
        <v/>
      </c>
      <c r="L128" s="579"/>
      <c r="M128" s="579"/>
      <c r="N128" s="443"/>
    </row>
    <row r="129" spans="2:14" hidden="1" outlineLevel="1" x14ac:dyDescent="0.2">
      <c r="B129" s="121"/>
      <c r="C129" s="3" t="s">
        <v>85</v>
      </c>
      <c r="D129" s="238">
        <f t="shared" ref="D129:I129" si="55">D127+D128</f>
        <v>0</v>
      </c>
      <c r="E129" s="238">
        <f t="shared" si="55"/>
        <v>0</v>
      </c>
      <c r="F129" s="238">
        <f t="shared" si="55"/>
        <v>0</v>
      </c>
      <c r="G129" s="238">
        <f t="shared" si="55"/>
        <v>0</v>
      </c>
      <c r="H129" s="238">
        <f t="shared" si="55"/>
        <v>0</v>
      </c>
      <c r="I129" s="238">
        <f t="shared" si="55"/>
        <v>0</v>
      </c>
    </row>
    <row r="130" spans="2:14" hidden="1" outlineLevel="1" x14ac:dyDescent="0.2">
      <c r="B130" s="121"/>
    </row>
    <row r="131" spans="2:14" ht="15.75" hidden="1" outlineLevel="1" x14ac:dyDescent="0.2">
      <c r="B131" s="121"/>
      <c r="C131" s="454"/>
      <c r="D131" s="74">
        <f>FirstYear</f>
        <v>2026</v>
      </c>
      <c r="E131" s="74">
        <f>D131+1</f>
        <v>2027</v>
      </c>
      <c r="F131" s="74">
        <f>E131+1</f>
        <v>2028</v>
      </c>
      <c r="G131" s="74">
        <f>F131+1</f>
        <v>2029</v>
      </c>
      <c r="H131" s="74">
        <f>G131+1</f>
        <v>2030</v>
      </c>
      <c r="I131" s="74">
        <f>H131+1</f>
        <v>2031</v>
      </c>
    </row>
    <row r="132" spans="2:14" hidden="1" outlineLevel="1" x14ac:dyDescent="0.2">
      <c r="B132" s="249">
        <v>1</v>
      </c>
      <c r="C132" s="76" t="s">
        <v>84</v>
      </c>
      <c r="D132" s="238">
        <f t="shared" ref="D132:I132" si="56">INDEX(RPBSScriptsNew,$B124,D125)*INDEX(DPMQCoPayNewEff,$B124,$B132)</f>
        <v>0</v>
      </c>
      <c r="E132" s="238">
        <f t="shared" si="56"/>
        <v>0</v>
      </c>
      <c r="F132" s="238">
        <f t="shared" si="56"/>
        <v>0</v>
      </c>
      <c r="G132" s="238">
        <f t="shared" si="56"/>
        <v>0</v>
      </c>
      <c r="H132" s="238">
        <f t="shared" si="56"/>
        <v>0</v>
      </c>
      <c r="I132" s="238">
        <f t="shared" si="56"/>
        <v>0</v>
      </c>
    </row>
    <row r="133" spans="2:14" hidden="1" outlineLevel="1" x14ac:dyDescent="0.2">
      <c r="B133" s="249">
        <v>4</v>
      </c>
      <c r="C133" s="3" t="s">
        <v>108</v>
      </c>
      <c r="D133" s="238">
        <f t="shared" ref="D133:I133" si="57">INDEX(RPBSScriptsNew,$B124,D125)*(INDEX(DPMQCoPayNewEff,$B124,$B133)/INDEX(CoPayCountNew,$B124))</f>
        <v>0</v>
      </c>
      <c r="E133" s="238">
        <f t="shared" si="57"/>
        <v>0</v>
      </c>
      <c r="F133" s="238">
        <f t="shared" si="57"/>
        <v>0</v>
      </c>
      <c r="G133" s="238">
        <f t="shared" si="57"/>
        <v>0</v>
      </c>
      <c r="H133" s="238">
        <f t="shared" si="57"/>
        <v>0</v>
      </c>
      <c r="I133" s="238">
        <f t="shared" si="57"/>
        <v>0</v>
      </c>
    </row>
    <row r="134" spans="2:14" hidden="1" outlineLevel="1" x14ac:dyDescent="0.2">
      <c r="B134" s="121"/>
      <c r="C134" s="3" t="s">
        <v>86</v>
      </c>
      <c r="D134" s="238">
        <f t="shared" ref="D134:I134" si="58">D132+D133</f>
        <v>0</v>
      </c>
      <c r="E134" s="238">
        <f t="shared" si="58"/>
        <v>0</v>
      </c>
      <c r="F134" s="238">
        <f t="shared" si="58"/>
        <v>0</v>
      </c>
      <c r="G134" s="238">
        <f t="shared" si="58"/>
        <v>0</v>
      </c>
      <c r="H134" s="238">
        <f t="shared" si="58"/>
        <v>0</v>
      </c>
      <c r="I134" s="238">
        <f t="shared" si="58"/>
        <v>0</v>
      </c>
    </row>
    <row r="135" spans="2:14" collapsed="1" x14ac:dyDescent="0.2">
      <c r="B135" s="121"/>
      <c r="C135" s="457"/>
      <c r="D135" s="457"/>
      <c r="E135" s="457"/>
      <c r="F135" s="31"/>
      <c r="G135" s="31"/>
      <c r="H135" s="31"/>
      <c r="I135" s="31"/>
      <c r="J135" s="31"/>
      <c r="K135" s="31"/>
      <c r="L135" s="31"/>
      <c r="M135" s="31"/>
      <c r="N135" s="31"/>
    </row>
    <row r="136" spans="2:14" ht="15" x14ac:dyDescent="0.2">
      <c r="B136" s="249">
        <v>10</v>
      </c>
      <c r="C136" s="129" t="str">
        <f>IF(SPANewFlag&lt;&gt;0,INDEX(PBSScriptsNew,B136,1),MsgNotUsed)</f>
        <v>** NOT USED **</v>
      </c>
      <c r="D136" s="123"/>
      <c r="E136" s="123"/>
      <c r="F136" s="123"/>
      <c r="G136" s="123"/>
      <c r="H136" s="123"/>
      <c r="I136" s="123"/>
      <c r="J136" s="117"/>
      <c r="K136" s="116"/>
      <c r="L136" s="588" t="str">
        <f>IF(C136&lt;&gt;MsgNotUsed,"Co-payment group " &amp; INDEX(DPMQCoPayNewEff,B136,2),"")</f>
        <v/>
      </c>
      <c r="M136" s="588"/>
      <c r="N136" s="380"/>
    </row>
    <row r="137" spans="2:14" hidden="1" outlineLevel="1" x14ac:dyDescent="0.2">
      <c r="B137" s="209">
        <f>INDEX(SANew,B136,5)</f>
        <v>0</v>
      </c>
      <c r="C137" s="457"/>
      <c r="D137" s="319">
        <v>2</v>
      </c>
      <c r="E137" s="319">
        <v>3</v>
      </c>
      <c r="F137" s="319">
        <v>4</v>
      </c>
      <c r="G137" s="319">
        <v>5</v>
      </c>
      <c r="H137" s="319">
        <v>6</v>
      </c>
      <c r="I137" s="319">
        <v>7</v>
      </c>
      <c r="K137" s="31"/>
      <c r="L137" s="31"/>
      <c r="M137" s="31"/>
      <c r="N137" s="31"/>
    </row>
    <row r="138" spans="2:14" hidden="1" outlineLevel="1" x14ac:dyDescent="0.2">
      <c r="B138" s="130"/>
      <c r="D138" s="74">
        <f>FirstYear</f>
        <v>2026</v>
      </c>
      <c r="E138" s="74">
        <f>D138+1</f>
        <v>2027</v>
      </c>
      <c r="F138" s="74">
        <f>E138+1</f>
        <v>2028</v>
      </c>
      <c r="G138" s="74">
        <f>F138+1</f>
        <v>2029</v>
      </c>
      <c r="H138" s="74">
        <f>G138+1</f>
        <v>2030</v>
      </c>
      <c r="I138" s="74">
        <f>H138+1</f>
        <v>2031</v>
      </c>
    </row>
    <row r="139" spans="2:14" hidden="1" outlineLevel="1" x14ac:dyDescent="0.2">
      <c r="B139" s="249">
        <v>1</v>
      </c>
      <c r="C139" s="76" t="s">
        <v>83</v>
      </c>
      <c r="D139" s="238">
        <f t="shared" ref="D139:I139" si="59">INDEX(PBSScriptsNew,$B136,D137)*INDEX(DPMQCoPayNewEff,$B136,$B139)</f>
        <v>0</v>
      </c>
      <c r="E139" s="238">
        <f t="shared" si="59"/>
        <v>0</v>
      </c>
      <c r="F139" s="238">
        <f t="shared" si="59"/>
        <v>0</v>
      </c>
      <c r="G139" s="238">
        <f t="shared" si="59"/>
        <v>0</v>
      </c>
      <c r="H139" s="238">
        <f t="shared" si="59"/>
        <v>0</v>
      </c>
      <c r="I139" s="238">
        <f t="shared" si="59"/>
        <v>0</v>
      </c>
    </row>
    <row r="140" spans="2:14" hidden="1" outlineLevel="1" x14ac:dyDescent="0.2">
      <c r="B140" s="249">
        <v>3</v>
      </c>
      <c r="C140" s="3" t="s">
        <v>108</v>
      </c>
      <c r="D140" s="238">
        <f t="shared" ref="D140:I140" si="60">INDEX(PBSScriptsNew,$B136,D137)*(INDEX(DPMQCoPayNewEff,$B136,$B140)/INDEX(CoPayCountNew,$B136))</f>
        <v>0</v>
      </c>
      <c r="E140" s="238">
        <f t="shared" si="60"/>
        <v>0</v>
      </c>
      <c r="F140" s="238">
        <f t="shared" si="60"/>
        <v>0</v>
      </c>
      <c r="G140" s="238">
        <f t="shared" si="60"/>
        <v>0</v>
      </c>
      <c r="H140" s="238">
        <f t="shared" si="60"/>
        <v>0</v>
      </c>
      <c r="I140" s="238">
        <f t="shared" si="60"/>
        <v>0</v>
      </c>
      <c r="K140" s="579" t="str">
        <f>IF(B137&lt;&gt;0,MsgNote&amp;IF(B137="Yes",INDEX(CoPayMethod,1),INDEX(CoPayMethod,2)),"")</f>
        <v/>
      </c>
      <c r="L140" s="579"/>
      <c r="M140" s="579"/>
      <c r="N140" s="443"/>
    </row>
    <row r="141" spans="2:14" hidden="1" outlineLevel="1" x14ac:dyDescent="0.2">
      <c r="B141" s="121"/>
      <c r="C141" s="3" t="s">
        <v>85</v>
      </c>
      <c r="D141" s="238">
        <f t="shared" ref="D141:I141" si="61">D139+D140</f>
        <v>0</v>
      </c>
      <c r="E141" s="238">
        <f t="shared" si="61"/>
        <v>0</v>
      </c>
      <c r="F141" s="238">
        <f t="shared" si="61"/>
        <v>0</v>
      </c>
      <c r="G141" s="238">
        <f t="shared" si="61"/>
        <v>0</v>
      </c>
      <c r="H141" s="238">
        <f t="shared" si="61"/>
        <v>0</v>
      </c>
      <c r="I141" s="238">
        <f t="shared" si="61"/>
        <v>0</v>
      </c>
    </row>
    <row r="142" spans="2:14" hidden="1" outlineLevel="1" x14ac:dyDescent="0.2">
      <c r="B142" s="121"/>
    </row>
    <row r="143" spans="2:14" ht="15.75" hidden="1" outlineLevel="1" x14ac:dyDescent="0.2">
      <c r="B143" s="121"/>
      <c r="C143" s="454"/>
      <c r="D143" s="74">
        <f>FirstYear</f>
        <v>2026</v>
      </c>
      <c r="E143" s="74">
        <f>D143+1</f>
        <v>2027</v>
      </c>
      <c r="F143" s="74">
        <f>E143+1</f>
        <v>2028</v>
      </c>
      <c r="G143" s="74">
        <f>F143+1</f>
        <v>2029</v>
      </c>
      <c r="H143" s="74">
        <f>G143+1</f>
        <v>2030</v>
      </c>
      <c r="I143" s="74">
        <f>H143+1</f>
        <v>2031</v>
      </c>
    </row>
    <row r="144" spans="2:14" hidden="1" outlineLevel="1" x14ac:dyDescent="0.2">
      <c r="B144" s="249">
        <v>1</v>
      </c>
      <c r="C144" s="76" t="s">
        <v>84</v>
      </c>
      <c r="D144" s="238">
        <f t="shared" ref="D144:I144" si="62">INDEX(RPBSScriptsNew,$B136,D137)*INDEX(DPMQCoPayNewEff,$B136,$B144)</f>
        <v>0</v>
      </c>
      <c r="E144" s="238">
        <f t="shared" si="62"/>
        <v>0</v>
      </c>
      <c r="F144" s="238">
        <f t="shared" si="62"/>
        <v>0</v>
      </c>
      <c r="G144" s="238">
        <f t="shared" si="62"/>
        <v>0</v>
      </c>
      <c r="H144" s="238">
        <f t="shared" si="62"/>
        <v>0</v>
      </c>
      <c r="I144" s="238">
        <f t="shared" si="62"/>
        <v>0</v>
      </c>
    </row>
    <row r="145" spans="2:14" hidden="1" outlineLevel="1" x14ac:dyDescent="0.2">
      <c r="B145" s="249">
        <v>4</v>
      </c>
      <c r="C145" s="3" t="s">
        <v>108</v>
      </c>
      <c r="D145" s="238">
        <f t="shared" ref="D145:I145" si="63">INDEX(RPBSScriptsNew,$B136,D137)*(INDEX(DPMQCoPayNewEff,$B136,$B145)/INDEX(CoPayCountNew,$B136))</f>
        <v>0</v>
      </c>
      <c r="E145" s="238">
        <f t="shared" si="63"/>
        <v>0</v>
      </c>
      <c r="F145" s="238">
        <f t="shared" si="63"/>
        <v>0</v>
      </c>
      <c r="G145" s="238">
        <f t="shared" si="63"/>
        <v>0</v>
      </c>
      <c r="H145" s="238">
        <f t="shared" si="63"/>
        <v>0</v>
      </c>
      <c r="I145" s="238">
        <f t="shared" si="63"/>
        <v>0</v>
      </c>
    </row>
    <row r="146" spans="2:14" hidden="1" outlineLevel="1" x14ac:dyDescent="0.2">
      <c r="B146" s="121"/>
      <c r="C146" s="3" t="s">
        <v>86</v>
      </c>
      <c r="D146" s="238">
        <f t="shared" ref="D146:I146" si="64">D144+D145</f>
        <v>0</v>
      </c>
      <c r="E146" s="238">
        <f t="shared" si="64"/>
        <v>0</v>
      </c>
      <c r="F146" s="238">
        <f t="shared" si="64"/>
        <v>0</v>
      </c>
      <c r="G146" s="238">
        <f t="shared" si="64"/>
        <v>0</v>
      </c>
      <c r="H146" s="238">
        <f t="shared" si="64"/>
        <v>0</v>
      </c>
      <c r="I146" s="238">
        <f t="shared" si="64"/>
        <v>0</v>
      </c>
    </row>
    <row r="147" spans="2:14" collapsed="1" x14ac:dyDescent="0.2">
      <c r="B147" s="121"/>
      <c r="C147" s="457"/>
      <c r="D147" s="457"/>
      <c r="E147" s="457"/>
      <c r="F147" s="31"/>
      <c r="G147" s="31"/>
      <c r="H147" s="31"/>
      <c r="I147" s="31"/>
      <c r="J147" s="31"/>
      <c r="K147" s="31"/>
      <c r="L147" s="31"/>
      <c r="M147" s="31"/>
      <c r="N147" s="31"/>
    </row>
    <row r="148" spans="2:14" ht="15" x14ac:dyDescent="0.2">
      <c r="B148" s="249">
        <v>11</v>
      </c>
      <c r="C148" s="129" t="str">
        <f>IF(SPANewFlag&lt;&gt;0,INDEX(PBSScriptsNew,B148,1),MsgNotUsed)</f>
        <v>** NOT USED **</v>
      </c>
      <c r="D148" s="123"/>
      <c r="E148" s="123"/>
      <c r="F148" s="123"/>
      <c r="G148" s="123"/>
      <c r="H148" s="123"/>
      <c r="I148" s="123"/>
      <c r="J148" s="117"/>
      <c r="K148" s="116"/>
      <c r="L148" s="588" t="str">
        <f>IF(C148&lt;&gt;MsgNotUsed,"Co-payment group " &amp; INDEX(DPMQCoPayNewEff,B148,2),"")</f>
        <v/>
      </c>
      <c r="M148" s="588"/>
      <c r="N148" s="380"/>
    </row>
    <row r="149" spans="2:14" hidden="1" outlineLevel="1" x14ac:dyDescent="0.2">
      <c r="B149" s="209">
        <f>INDEX(SANew,B148,5)</f>
        <v>0</v>
      </c>
      <c r="C149" s="457"/>
      <c r="D149" s="319">
        <v>2</v>
      </c>
      <c r="E149" s="319">
        <v>3</v>
      </c>
      <c r="F149" s="319">
        <v>4</v>
      </c>
      <c r="G149" s="319">
        <v>5</v>
      </c>
      <c r="H149" s="319">
        <v>6</v>
      </c>
      <c r="I149" s="319">
        <v>7</v>
      </c>
      <c r="K149" s="31"/>
      <c r="L149" s="31"/>
      <c r="M149" s="31"/>
      <c r="N149" s="31"/>
    </row>
    <row r="150" spans="2:14" hidden="1" outlineLevel="1" x14ac:dyDescent="0.2">
      <c r="B150" s="130"/>
      <c r="D150" s="74">
        <f>FirstYear</f>
        <v>2026</v>
      </c>
      <c r="E150" s="74">
        <f>D150+1</f>
        <v>2027</v>
      </c>
      <c r="F150" s="74">
        <f>E150+1</f>
        <v>2028</v>
      </c>
      <c r="G150" s="74">
        <f>F150+1</f>
        <v>2029</v>
      </c>
      <c r="H150" s="74">
        <f>G150+1</f>
        <v>2030</v>
      </c>
      <c r="I150" s="74">
        <f>H150+1</f>
        <v>2031</v>
      </c>
    </row>
    <row r="151" spans="2:14" hidden="1" outlineLevel="1" x14ac:dyDescent="0.2">
      <c r="B151" s="249">
        <v>1</v>
      </c>
      <c r="C151" s="76" t="s">
        <v>83</v>
      </c>
      <c r="D151" s="238">
        <f t="shared" ref="D151:I151" si="65">INDEX(PBSScriptsNew,$B148,D149)*INDEX(DPMQCoPayNewEff,$B148,$B151)</f>
        <v>0</v>
      </c>
      <c r="E151" s="238">
        <f t="shared" si="65"/>
        <v>0</v>
      </c>
      <c r="F151" s="238">
        <f t="shared" si="65"/>
        <v>0</v>
      </c>
      <c r="G151" s="238">
        <f t="shared" si="65"/>
        <v>0</v>
      </c>
      <c r="H151" s="238">
        <f t="shared" si="65"/>
        <v>0</v>
      </c>
      <c r="I151" s="238">
        <f t="shared" si="65"/>
        <v>0</v>
      </c>
    </row>
    <row r="152" spans="2:14" hidden="1" outlineLevel="1" x14ac:dyDescent="0.2">
      <c r="B152" s="249">
        <v>3</v>
      </c>
      <c r="C152" s="3" t="s">
        <v>108</v>
      </c>
      <c r="D152" s="238">
        <f t="shared" ref="D152:I152" si="66">INDEX(PBSScriptsNew,$B148,D149)*(INDEX(DPMQCoPayNewEff,$B148,$B152)/INDEX(CoPayCountNew,$B148))</f>
        <v>0</v>
      </c>
      <c r="E152" s="238">
        <f t="shared" si="66"/>
        <v>0</v>
      </c>
      <c r="F152" s="238">
        <f t="shared" si="66"/>
        <v>0</v>
      </c>
      <c r="G152" s="238">
        <f t="shared" si="66"/>
        <v>0</v>
      </c>
      <c r="H152" s="238">
        <f t="shared" si="66"/>
        <v>0</v>
      </c>
      <c r="I152" s="238">
        <f t="shared" si="66"/>
        <v>0</v>
      </c>
      <c r="K152" s="579" t="str">
        <f>IF(B149&lt;&gt;0,MsgNote&amp;IF(B149="Yes",INDEX(CoPayMethod,1),INDEX(CoPayMethod,2)),"")</f>
        <v/>
      </c>
      <c r="L152" s="579"/>
      <c r="M152" s="579"/>
      <c r="N152" s="443"/>
    </row>
    <row r="153" spans="2:14" hidden="1" outlineLevel="1" x14ac:dyDescent="0.2">
      <c r="B153" s="121"/>
      <c r="C153" s="3" t="s">
        <v>85</v>
      </c>
      <c r="D153" s="238">
        <f t="shared" ref="D153:I153" si="67">D151+D152</f>
        <v>0</v>
      </c>
      <c r="E153" s="238">
        <f t="shared" si="67"/>
        <v>0</v>
      </c>
      <c r="F153" s="238">
        <f t="shared" si="67"/>
        <v>0</v>
      </c>
      <c r="G153" s="238">
        <f t="shared" si="67"/>
        <v>0</v>
      </c>
      <c r="H153" s="238">
        <f t="shared" si="67"/>
        <v>0</v>
      </c>
      <c r="I153" s="238">
        <f t="shared" si="67"/>
        <v>0</v>
      </c>
    </row>
    <row r="154" spans="2:14" hidden="1" outlineLevel="1" x14ac:dyDescent="0.2">
      <c r="B154" s="121"/>
    </row>
    <row r="155" spans="2:14" ht="15.75" hidden="1" outlineLevel="1" x14ac:dyDescent="0.2">
      <c r="B155" s="121"/>
      <c r="C155" s="454"/>
      <c r="D155" s="74">
        <f>FirstYear</f>
        <v>2026</v>
      </c>
      <c r="E155" s="74">
        <f>D155+1</f>
        <v>2027</v>
      </c>
      <c r="F155" s="74">
        <f>E155+1</f>
        <v>2028</v>
      </c>
      <c r="G155" s="74">
        <f>F155+1</f>
        <v>2029</v>
      </c>
      <c r="H155" s="74">
        <f>G155+1</f>
        <v>2030</v>
      </c>
      <c r="I155" s="74">
        <f>H155+1</f>
        <v>2031</v>
      </c>
    </row>
    <row r="156" spans="2:14" hidden="1" outlineLevel="1" x14ac:dyDescent="0.2">
      <c r="B156" s="249">
        <v>1</v>
      </c>
      <c r="C156" s="76" t="s">
        <v>84</v>
      </c>
      <c r="D156" s="238">
        <f t="shared" ref="D156:I156" si="68">INDEX(RPBSScriptsNew,$B148,D149)*INDEX(DPMQCoPayNewEff,$B148,$B156)</f>
        <v>0</v>
      </c>
      <c r="E156" s="238">
        <f t="shared" si="68"/>
        <v>0</v>
      </c>
      <c r="F156" s="238">
        <f t="shared" si="68"/>
        <v>0</v>
      </c>
      <c r="G156" s="238">
        <f t="shared" si="68"/>
        <v>0</v>
      </c>
      <c r="H156" s="238">
        <f t="shared" si="68"/>
        <v>0</v>
      </c>
      <c r="I156" s="238">
        <f t="shared" si="68"/>
        <v>0</v>
      </c>
    </row>
    <row r="157" spans="2:14" hidden="1" outlineLevel="1" x14ac:dyDescent="0.2">
      <c r="B157" s="249">
        <v>4</v>
      </c>
      <c r="C157" s="3" t="s">
        <v>108</v>
      </c>
      <c r="D157" s="238">
        <f t="shared" ref="D157:I157" si="69">INDEX(RPBSScriptsNew,$B148,D149)*(INDEX(DPMQCoPayNewEff,$B148,$B157)/INDEX(CoPayCountNew,$B148))</f>
        <v>0</v>
      </c>
      <c r="E157" s="238">
        <f t="shared" si="69"/>
        <v>0</v>
      </c>
      <c r="F157" s="238">
        <f t="shared" si="69"/>
        <v>0</v>
      </c>
      <c r="G157" s="238">
        <f t="shared" si="69"/>
        <v>0</v>
      </c>
      <c r="H157" s="238">
        <f t="shared" si="69"/>
        <v>0</v>
      </c>
      <c r="I157" s="238">
        <f t="shared" si="69"/>
        <v>0</v>
      </c>
    </row>
    <row r="158" spans="2:14" hidden="1" outlineLevel="1" x14ac:dyDescent="0.2">
      <c r="B158" s="121"/>
      <c r="C158" s="3" t="s">
        <v>86</v>
      </c>
      <c r="D158" s="238">
        <f t="shared" ref="D158:I158" si="70">D156+D157</f>
        <v>0</v>
      </c>
      <c r="E158" s="238">
        <f t="shared" si="70"/>
        <v>0</v>
      </c>
      <c r="F158" s="238">
        <f t="shared" si="70"/>
        <v>0</v>
      </c>
      <c r="G158" s="238">
        <f t="shared" si="70"/>
        <v>0</v>
      </c>
      <c r="H158" s="238">
        <f t="shared" si="70"/>
        <v>0</v>
      </c>
      <c r="I158" s="238">
        <f t="shared" si="70"/>
        <v>0</v>
      </c>
    </row>
    <row r="159" spans="2:14" collapsed="1" x14ac:dyDescent="0.2">
      <c r="B159" s="121"/>
      <c r="C159" s="457"/>
      <c r="D159" s="457"/>
      <c r="E159" s="457"/>
      <c r="F159" s="31"/>
      <c r="G159" s="31"/>
      <c r="H159" s="31"/>
      <c r="I159" s="31"/>
      <c r="J159" s="31"/>
      <c r="K159" s="31"/>
      <c r="L159" s="31"/>
      <c r="M159" s="31"/>
      <c r="N159" s="31"/>
    </row>
    <row r="160" spans="2:14" ht="15" x14ac:dyDescent="0.2">
      <c r="B160" s="249">
        <v>12</v>
      </c>
      <c r="C160" s="129" t="str">
        <f>IF(SPANewFlag&lt;&gt;0,INDEX(PBSScriptsNew,B160,1),MsgNotUsed)</f>
        <v>** NOT USED **</v>
      </c>
      <c r="D160" s="123"/>
      <c r="E160" s="123"/>
      <c r="F160" s="123"/>
      <c r="G160" s="123"/>
      <c r="H160" s="123"/>
      <c r="I160" s="123"/>
      <c r="J160" s="117"/>
      <c r="K160" s="116"/>
      <c r="L160" s="588" t="str">
        <f>IF(C160&lt;&gt;MsgNotUsed,"Co-payment group " &amp; INDEX(DPMQCoPayNewEff,B160,2),"")</f>
        <v/>
      </c>
      <c r="M160" s="588"/>
      <c r="N160" s="380"/>
    </row>
    <row r="161" spans="2:14" hidden="1" outlineLevel="1" x14ac:dyDescent="0.2">
      <c r="B161" s="209">
        <f>INDEX(SANew,B160,5)</f>
        <v>0</v>
      </c>
      <c r="C161" s="457"/>
      <c r="D161" s="319">
        <v>2</v>
      </c>
      <c r="E161" s="319">
        <v>3</v>
      </c>
      <c r="F161" s="319">
        <v>4</v>
      </c>
      <c r="G161" s="319">
        <v>5</v>
      </c>
      <c r="H161" s="319">
        <v>6</v>
      </c>
      <c r="I161" s="319">
        <v>7</v>
      </c>
      <c r="K161" s="31"/>
      <c r="L161" s="31"/>
      <c r="M161" s="31"/>
      <c r="N161" s="31"/>
    </row>
    <row r="162" spans="2:14" hidden="1" outlineLevel="1" x14ac:dyDescent="0.2">
      <c r="B162" s="130"/>
      <c r="D162" s="74">
        <f>FirstYear</f>
        <v>2026</v>
      </c>
      <c r="E162" s="74">
        <f>D162+1</f>
        <v>2027</v>
      </c>
      <c r="F162" s="74">
        <f>E162+1</f>
        <v>2028</v>
      </c>
      <c r="G162" s="74">
        <f>F162+1</f>
        <v>2029</v>
      </c>
      <c r="H162" s="74">
        <f>G162+1</f>
        <v>2030</v>
      </c>
      <c r="I162" s="74">
        <f>H162+1</f>
        <v>2031</v>
      </c>
    </row>
    <row r="163" spans="2:14" hidden="1" outlineLevel="1" x14ac:dyDescent="0.2">
      <c r="B163" s="249">
        <v>1</v>
      </c>
      <c r="C163" s="76" t="s">
        <v>83</v>
      </c>
      <c r="D163" s="238">
        <f t="shared" ref="D163:I163" si="71">INDEX(PBSScriptsNew,$B160,D161)*INDEX(DPMQCoPayNewEff,$B160,$B163)</f>
        <v>0</v>
      </c>
      <c r="E163" s="238">
        <f t="shared" si="71"/>
        <v>0</v>
      </c>
      <c r="F163" s="238">
        <f t="shared" si="71"/>
        <v>0</v>
      </c>
      <c r="G163" s="238">
        <f t="shared" si="71"/>
        <v>0</v>
      </c>
      <c r="H163" s="238">
        <f t="shared" si="71"/>
        <v>0</v>
      </c>
      <c r="I163" s="238">
        <f t="shared" si="71"/>
        <v>0</v>
      </c>
    </row>
    <row r="164" spans="2:14" hidden="1" outlineLevel="1" x14ac:dyDescent="0.2">
      <c r="B164" s="249">
        <v>3</v>
      </c>
      <c r="C164" s="3" t="s">
        <v>108</v>
      </c>
      <c r="D164" s="238">
        <f t="shared" ref="D164:I164" si="72">INDEX(PBSScriptsNew,$B160,D161)*(INDEX(DPMQCoPayNewEff,$B160,$B164)/INDEX(CoPayCountNew,$B160))</f>
        <v>0</v>
      </c>
      <c r="E164" s="238">
        <f t="shared" si="72"/>
        <v>0</v>
      </c>
      <c r="F164" s="238">
        <f t="shared" si="72"/>
        <v>0</v>
      </c>
      <c r="G164" s="238">
        <f t="shared" si="72"/>
        <v>0</v>
      </c>
      <c r="H164" s="238">
        <f t="shared" si="72"/>
        <v>0</v>
      </c>
      <c r="I164" s="238">
        <f t="shared" si="72"/>
        <v>0</v>
      </c>
      <c r="K164" s="579" t="str">
        <f>IF(B161&lt;&gt;0,MsgNote&amp;IF(B161="Yes",INDEX(CoPayMethod,1),INDEX(CoPayMethod,2)),"")</f>
        <v/>
      </c>
      <c r="L164" s="579"/>
      <c r="M164" s="579"/>
      <c r="N164" s="443"/>
    </row>
    <row r="165" spans="2:14" hidden="1" outlineLevel="1" x14ac:dyDescent="0.2">
      <c r="B165" s="121"/>
      <c r="C165" s="3" t="s">
        <v>85</v>
      </c>
      <c r="D165" s="238">
        <f t="shared" ref="D165:I165" si="73">D163+D164</f>
        <v>0</v>
      </c>
      <c r="E165" s="238">
        <f t="shared" si="73"/>
        <v>0</v>
      </c>
      <c r="F165" s="238">
        <f t="shared" si="73"/>
        <v>0</v>
      </c>
      <c r="G165" s="238">
        <f t="shared" si="73"/>
        <v>0</v>
      </c>
      <c r="H165" s="238">
        <f t="shared" si="73"/>
        <v>0</v>
      </c>
      <c r="I165" s="238">
        <f t="shared" si="73"/>
        <v>0</v>
      </c>
    </row>
    <row r="166" spans="2:14" hidden="1" outlineLevel="1" x14ac:dyDescent="0.2">
      <c r="B166" s="121"/>
    </row>
    <row r="167" spans="2:14" ht="15.75" hidden="1" outlineLevel="1" x14ac:dyDescent="0.2">
      <c r="B167" s="121"/>
      <c r="C167" s="454"/>
      <c r="D167" s="74">
        <f>FirstYear</f>
        <v>2026</v>
      </c>
      <c r="E167" s="74">
        <f>D167+1</f>
        <v>2027</v>
      </c>
      <c r="F167" s="74">
        <f>E167+1</f>
        <v>2028</v>
      </c>
      <c r="G167" s="74">
        <f>F167+1</f>
        <v>2029</v>
      </c>
      <c r="H167" s="74">
        <f>G167+1</f>
        <v>2030</v>
      </c>
      <c r="I167" s="74">
        <f>H167+1</f>
        <v>2031</v>
      </c>
    </row>
    <row r="168" spans="2:14" hidden="1" outlineLevel="1" x14ac:dyDescent="0.2">
      <c r="B168" s="249">
        <v>1</v>
      </c>
      <c r="C168" s="76" t="s">
        <v>84</v>
      </c>
      <c r="D168" s="238">
        <f t="shared" ref="D168:I168" si="74">INDEX(RPBSScriptsNew,$B160,D161)*INDEX(DPMQCoPayNewEff,$B160,$B168)</f>
        <v>0</v>
      </c>
      <c r="E168" s="238">
        <f t="shared" si="74"/>
        <v>0</v>
      </c>
      <c r="F168" s="238">
        <f t="shared" si="74"/>
        <v>0</v>
      </c>
      <c r="G168" s="238">
        <f t="shared" si="74"/>
        <v>0</v>
      </c>
      <c r="H168" s="238">
        <f t="shared" si="74"/>
        <v>0</v>
      </c>
      <c r="I168" s="238">
        <f t="shared" si="74"/>
        <v>0</v>
      </c>
    </row>
    <row r="169" spans="2:14" hidden="1" outlineLevel="1" x14ac:dyDescent="0.2">
      <c r="B169" s="249">
        <v>4</v>
      </c>
      <c r="C169" s="3" t="s">
        <v>108</v>
      </c>
      <c r="D169" s="238">
        <f t="shared" ref="D169:I169" si="75">INDEX(RPBSScriptsNew,$B160,D161)*(INDEX(DPMQCoPayNewEff,$B160,$B169)/INDEX(CoPayCountNew,$B160))</f>
        <v>0</v>
      </c>
      <c r="E169" s="238">
        <f t="shared" si="75"/>
        <v>0</v>
      </c>
      <c r="F169" s="238">
        <f t="shared" si="75"/>
        <v>0</v>
      </c>
      <c r="G169" s="238">
        <f t="shared" si="75"/>
        <v>0</v>
      </c>
      <c r="H169" s="238">
        <f t="shared" si="75"/>
        <v>0</v>
      </c>
      <c r="I169" s="238">
        <f t="shared" si="75"/>
        <v>0</v>
      </c>
    </row>
    <row r="170" spans="2:14" hidden="1" outlineLevel="1" x14ac:dyDescent="0.2">
      <c r="B170" s="121"/>
      <c r="C170" s="3" t="s">
        <v>86</v>
      </c>
      <c r="D170" s="238">
        <f t="shared" ref="D170:I170" si="76">D168+D169</f>
        <v>0</v>
      </c>
      <c r="E170" s="238">
        <f t="shared" si="76"/>
        <v>0</v>
      </c>
      <c r="F170" s="238">
        <f t="shared" si="76"/>
        <v>0</v>
      </c>
      <c r="G170" s="238">
        <f t="shared" si="76"/>
        <v>0</v>
      </c>
      <c r="H170" s="238">
        <f t="shared" si="76"/>
        <v>0</v>
      </c>
      <c r="I170" s="238">
        <f t="shared" si="76"/>
        <v>0</v>
      </c>
    </row>
    <row r="171" spans="2:14" collapsed="1" x14ac:dyDescent="0.2">
      <c r="B171" s="121"/>
      <c r="C171" s="457"/>
      <c r="D171" s="457"/>
      <c r="E171" s="457"/>
      <c r="F171" s="31"/>
      <c r="G171" s="31"/>
      <c r="H171" s="31"/>
      <c r="I171" s="31"/>
      <c r="J171" s="31"/>
      <c r="K171" s="31"/>
      <c r="L171" s="31"/>
      <c r="M171" s="31"/>
      <c r="N171" s="31"/>
    </row>
    <row r="172" spans="2:14" ht="15" x14ac:dyDescent="0.2">
      <c r="B172" s="249">
        <v>13</v>
      </c>
      <c r="C172" s="129" t="str">
        <f>IF(SPANewFlag&lt;&gt;0,INDEX(PBSScriptsNew,B172,1),MsgNotUsed)</f>
        <v>** NOT USED **</v>
      </c>
      <c r="D172" s="123"/>
      <c r="E172" s="123"/>
      <c r="F172" s="123"/>
      <c r="G172" s="123"/>
      <c r="H172" s="123"/>
      <c r="I172" s="123"/>
      <c r="J172" s="117"/>
      <c r="K172" s="116"/>
      <c r="L172" s="588" t="str">
        <f>IF(C172&lt;&gt;MsgNotUsed,"Co-payment group " &amp; INDEX(DPMQCoPayNewEff,B172,2),"")</f>
        <v/>
      </c>
      <c r="M172" s="588"/>
      <c r="N172" s="380"/>
    </row>
    <row r="173" spans="2:14" hidden="1" outlineLevel="1" x14ac:dyDescent="0.2">
      <c r="B173" s="209">
        <f>INDEX(SANew,B172,5)</f>
        <v>0</v>
      </c>
      <c r="C173" s="457"/>
      <c r="D173" s="319">
        <v>2</v>
      </c>
      <c r="E173" s="319">
        <v>3</v>
      </c>
      <c r="F173" s="319">
        <v>4</v>
      </c>
      <c r="G173" s="319">
        <v>5</v>
      </c>
      <c r="H173" s="319">
        <v>6</v>
      </c>
      <c r="I173" s="319">
        <v>7</v>
      </c>
      <c r="K173" s="31"/>
      <c r="L173" s="31"/>
      <c r="M173" s="31"/>
      <c r="N173" s="31"/>
    </row>
    <row r="174" spans="2:14" hidden="1" outlineLevel="1" x14ac:dyDescent="0.2">
      <c r="B174" s="130"/>
      <c r="D174" s="74">
        <f>FirstYear</f>
        <v>2026</v>
      </c>
      <c r="E174" s="74">
        <f>D174+1</f>
        <v>2027</v>
      </c>
      <c r="F174" s="74">
        <f>E174+1</f>
        <v>2028</v>
      </c>
      <c r="G174" s="74">
        <f>F174+1</f>
        <v>2029</v>
      </c>
      <c r="H174" s="74">
        <f>G174+1</f>
        <v>2030</v>
      </c>
      <c r="I174" s="74">
        <f>H174+1</f>
        <v>2031</v>
      </c>
    </row>
    <row r="175" spans="2:14" hidden="1" outlineLevel="1" x14ac:dyDescent="0.2">
      <c r="B175" s="249">
        <v>1</v>
      </c>
      <c r="C175" s="76" t="s">
        <v>83</v>
      </c>
      <c r="D175" s="238">
        <f t="shared" ref="D175:I175" si="77">INDEX(PBSScriptsNew,$B172,D173)*INDEX(DPMQCoPayNewEff,$B172,$B175)</f>
        <v>0</v>
      </c>
      <c r="E175" s="238">
        <f t="shared" si="77"/>
        <v>0</v>
      </c>
      <c r="F175" s="238">
        <f t="shared" si="77"/>
        <v>0</v>
      </c>
      <c r="G175" s="238">
        <f t="shared" si="77"/>
        <v>0</v>
      </c>
      <c r="H175" s="238">
        <f t="shared" si="77"/>
        <v>0</v>
      </c>
      <c r="I175" s="238">
        <f t="shared" si="77"/>
        <v>0</v>
      </c>
    </row>
    <row r="176" spans="2:14" hidden="1" outlineLevel="1" x14ac:dyDescent="0.2">
      <c r="B176" s="249">
        <v>3</v>
      </c>
      <c r="C176" s="3" t="s">
        <v>108</v>
      </c>
      <c r="D176" s="238">
        <f t="shared" ref="D176:I176" si="78">INDEX(PBSScriptsNew,$B172,D173)*(INDEX(DPMQCoPayNewEff,$B172,$B176)/INDEX(CoPayCountNew,$B172))</f>
        <v>0</v>
      </c>
      <c r="E176" s="238">
        <f t="shared" si="78"/>
        <v>0</v>
      </c>
      <c r="F176" s="238">
        <f t="shared" si="78"/>
        <v>0</v>
      </c>
      <c r="G176" s="238">
        <f t="shared" si="78"/>
        <v>0</v>
      </c>
      <c r="H176" s="238">
        <f t="shared" si="78"/>
        <v>0</v>
      </c>
      <c r="I176" s="238">
        <f t="shared" si="78"/>
        <v>0</v>
      </c>
      <c r="K176" s="579" t="str">
        <f>IF(B173&lt;&gt;0,MsgNote&amp;IF(B173="Yes",INDEX(CoPayMethod,1),INDEX(CoPayMethod,2)),"")</f>
        <v/>
      </c>
      <c r="L176" s="579"/>
      <c r="M176" s="579"/>
      <c r="N176" s="443"/>
    </row>
    <row r="177" spans="2:14" hidden="1" outlineLevel="1" x14ac:dyDescent="0.2">
      <c r="B177" s="121"/>
      <c r="C177" s="3" t="s">
        <v>85</v>
      </c>
      <c r="D177" s="238">
        <f t="shared" ref="D177:I177" si="79">D175+D176</f>
        <v>0</v>
      </c>
      <c r="E177" s="238">
        <f t="shared" si="79"/>
        <v>0</v>
      </c>
      <c r="F177" s="238">
        <f t="shared" si="79"/>
        <v>0</v>
      </c>
      <c r="G177" s="238">
        <f t="shared" si="79"/>
        <v>0</v>
      </c>
      <c r="H177" s="238">
        <f t="shared" si="79"/>
        <v>0</v>
      </c>
      <c r="I177" s="238">
        <f t="shared" si="79"/>
        <v>0</v>
      </c>
    </row>
    <row r="178" spans="2:14" hidden="1" outlineLevel="1" x14ac:dyDescent="0.2">
      <c r="B178" s="121"/>
    </row>
    <row r="179" spans="2:14" ht="15.75" hidden="1" outlineLevel="1" x14ac:dyDescent="0.2">
      <c r="B179" s="121"/>
      <c r="C179" s="454"/>
      <c r="D179" s="74">
        <f>FirstYear</f>
        <v>2026</v>
      </c>
      <c r="E179" s="74">
        <f>D179+1</f>
        <v>2027</v>
      </c>
      <c r="F179" s="74">
        <f>E179+1</f>
        <v>2028</v>
      </c>
      <c r="G179" s="74">
        <f>F179+1</f>
        <v>2029</v>
      </c>
      <c r="H179" s="74">
        <f>G179+1</f>
        <v>2030</v>
      </c>
      <c r="I179" s="74">
        <f>H179+1</f>
        <v>2031</v>
      </c>
    </row>
    <row r="180" spans="2:14" hidden="1" outlineLevel="1" x14ac:dyDescent="0.2">
      <c r="B180" s="249">
        <v>1</v>
      </c>
      <c r="C180" s="76" t="s">
        <v>84</v>
      </c>
      <c r="D180" s="238">
        <f t="shared" ref="D180:I180" si="80">INDEX(RPBSScriptsNew,$B172,D173)*INDEX(DPMQCoPayNewEff,$B172,$B180)</f>
        <v>0</v>
      </c>
      <c r="E180" s="238">
        <f t="shared" si="80"/>
        <v>0</v>
      </c>
      <c r="F180" s="238">
        <f t="shared" si="80"/>
        <v>0</v>
      </c>
      <c r="G180" s="238">
        <f t="shared" si="80"/>
        <v>0</v>
      </c>
      <c r="H180" s="238">
        <f t="shared" si="80"/>
        <v>0</v>
      </c>
      <c r="I180" s="238">
        <f t="shared" si="80"/>
        <v>0</v>
      </c>
    </row>
    <row r="181" spans="2:14" hidden="1" outlineLevel="1" x14ac:dyDescent="0.2">
      <c r="B181" s="249">
        <v>4</v>
      </c>
      <c r="C181" s="3" t="s">
        <v>108</v>
      </c>
      <c r="D181" s="238">
        <f t="shared" ref="D181:I181" si="81">INDEX(RPBSScriptsNew,$B172,D173)*(INDEX(DPMQCoPayNewEff,$B172,$B181)/INDEX(CoPayCountNew,$B172))</f>
        <v>0</v>
      </c>
      <c r="E181" s="238">
        <f t="shared" si="81"/>
        <v>0</v>
      </c>
      <c r="F181" s="238">
        <f t="shared" si="81"/>
        <v>0</v>
      </c>
      <c r="G181" s="238">
        <f t="shared" si="81"/>
        <v>0</v>
      </c>
      <c r="H181" s="238">
        <f t="shared" si="81"/>
        <v>0</v>
      </c>
      <c r="I181" s="238">
        <f t="shared" si="81"/>
        <v>0</v>
      </c>
    </row>
    <row r="182" spans="2:14" hidden="1" outlineLevel="1" x14ac:dyDescent="0.2">
      <c r="B182" s="121"/>
      <c r="C182" s="3" t="s">
        <v>86</v>
      </c>
      <c r="D182" s="238">
        <f t="shared" ref="D182:I182" si="82">D180+D181</f>
        <v>0</v>
      </c>
      <c r="E182" s="238">
        <f t="shared" si="82"/>
        <v>0</v>
      </c>
      <c r="F182" s="238">
        <f t="shared" si="82"/>
        <v>0</v>
      </c>
      <c r="G182" s="238">
        <f t="shared" si="82"/>
        <v>0</v>
      </c>
      <c r="H182" s="238">
        <f t="shared" si="82"/>
        <v>0</v>
      </c>
      <c r="I182" s="238">
        <f t="shared" si="82"/>
        <v>0</v>
      </c>
    </row>
    <row r="183" spans="2:14" collapsed="1" x14ac:dyDescent="0.2">
      <c r="B183" s="121"/>
      <c r="C183" s="457"/>
      <c r="D183" s="457"/>
      <c r="E183" s="457"/>
      <c r="F183" s="31"/>
      <c r="G183" s="31"/>
      <c r="H183" s="31"/>
      <c r="I183" s="31"/>
      <c r="J183" s="31"/>
      <c r="K183" s="31"/>
      <c r="L183" s="31"/>
      <c r="M183" s="31"/>
      <c r="N183" s="31"/>
    </row>
    <row r="184" spans="2:14" ht="15" x14ac:dyDescent="0.2">
      <c r="B184" s="249">
        <v>14</v>
      </c>
      <c r="C184" s="129" t="str">
        <f>IF(SPANewFlag&lt;&gt;0,INDEX(PBSScriptsNew,B184,1),MsgNotUsed)</f>
        <v>** NOT USED **</v>
      </c>
      <c r="D184" s="123"/>
      <c r="E184" s="123"/>
      <c r="F184" s="123"/>
      <c r="G184" s="123"/>
      <c r="H184" s="123"/>
      <c r="I184" s="123"/>
      <c r="J184" s="117"/>
      <c r="K184" s="116"/>
      <c r="L184" s="588" t="str">
        <f>IF(C184&lt;&gt;MsgNotUsed,"Co-payment group " &amp; INDEX(DPMQCoPayNewEff,B184,2),"")</f>
        <v/>
      </c>
      <c r="M184" s="588"/>
      <c r="N184" s="380"/>
    </row>
    <row r="185" spans="2:14" hidden="1" outlineLevel="1" x14ac:dyDescent="0.2">
      <c r="B185" s="209">
        <f>INDEX(SANew,B184,5)</f>
        <v>0</v>
      </c>
      <c r="C185" s="457"/>
      <c r="D185" s="319">
        <v>2</v>
      </c>
      <c r="E185" s="319">
        <v>3</v>
      </c>
      <c r="F185" s="319">
        <v>4</v>
      </c>
      <c r="G185" s="319">
        <v>5</v>
      </c>
      <c r="H185" s="319">
        <v>6</v>
      </c>
      <c r="I185" s="319">
        <v>7</v>
      </c>
      <c r="K185" s="31"/>
      <c r="L185" s="31"/>
      <c r="M185" s="31"/>
      <c r="N185" s="31"/>
    </row>
    <row r="186" spans="2:14" hidden="1" outlineLevel="1" x14ac:dyDescent="0.2">
      <c r="B186" s="130"/>
      <c r="D186" s="74">
        <f>FirstYear</f>
        <v>2026</v>
      </c>
      <c r="E186" s="74">
        <f>D186+1</f>
        <v>2027</v>
      </c>
      <c r="F186" s="74">
        <f>E186+1</f>
        <v>2028</v>
      </c>
      <c r="G186" s="74">
        <f>F186+1</f>
        <v>2029</v>
      </c>
      <c r="H186" s="74">
        <f>G186+1</f>
        <v>2030</v>
      </c>
      <c r="I186" s="74">
        <f>H186+1</f>
        <v>2031</v>
      </c>
    </row>
    <row r="187" spans="2:14" hidden="1" outlineLevel="1" x14ac:dyDescent="0.2">
      <c r="B187" s="249">
        <v>1</v>
      </c>
      <c r="C187" s="76" t="s">
        <v>83</v>
      </c>
      <c r="D187" s="238">
        <f t="shared" ref="D187:I187" si="83">INDEX(PBSScriptsNew,$B184,D185)*INDEX(DPMQCoPayNewEff,$B184,$B187)</f>
        <v>0</v>
      </c>
      <c r="E187" s="238">
        <f t="shared" si="83"/>
        <v>0</v>
      </c>
      <c r="F187" s="238">
        <f t="shared" si="83"/>
        <v>0</v>
      </c>
      <c r="G187" s="238">
        <f t="shared" si="83"/>
        <v>0</v>
      </c>
      <c r="H187" s="238">
        <f t="shared" si="83"/>
        <v>0</v>
      </c>
      <c r="I187" s="238">
        <f t="shared" si="83"/>
        <v>0</v>
      </c>
    </row>
    <row r="188" spans="2:14" hidden="1" outlineLevel="1" x14ac:dyDescent="0.2">
      <c r="B188" s="249">
        <v>3</v>
      </c>
      <c r="C188" s="3" t="s">
        <v>108</v>
      </c>
      <c r="D188" s="238">
        <f t="shared" ref="D188:I188" si="84">INDEX(PBSScriptsNew,$B184,D185)*(INDEX(DPMQCoPayNewEff,$B184,$B188)/INDEX(CoPayCountNew,$B184))</f>
        <v>0</v>
      </c>
      <c r="E188" s="238">
        <f t="shared" si="84"/>
        <v>0</v>
      </c>
      <c r="F188" s="238">
        <f t="shared" si="84"/>
        <v>0</v>
      </c>
      <c r="G188" s="238">
        <f t="shared" si="84"/>
        <v>0</v>
      </c>
      <c r="H188" s="238">
        <f t="shared" si="84"/>
        <v>0</v>
      </c>
      <c r="I188" s="238">
        <f t="shared" si="84"/>
        <v>0</v>
      </c>
      <c r="K188" s="579" t="str">
        <f>IF(B185&lt;&gt;0,MsgNote&amp;IF(B185="Yes",INDEX(CoPayMethod,1),INDEX(CoPayMethod,2)),"")</f>
        <v/>
      </c>
      <c r="L188" s="579"/>
      <c r="M188" s="579"/>
      <c r="N188" s="443"/>
    </row>
    <row r="189" spans="2:14" hidden="1" outlineLevel="1" x14ac:dyDescent="0.2">
      <c r="B189" s="121"/>
      <c r="C189" s="3" t="s">
        <v>85</v>
      </c>
      <c r="D189" s="238">
        <f t="shared" ref="D189:I189" si="85">D187+D188</f>
        <v>0</v>
      </c>
      <c r="E189" s="238">
        <f t="shared" si="85"/>
        <v>0</v>
      </c>
      <c r="F189" s="238">
        <f t="shared" si="85"/>
        <v>0</v>
      </c>
      <c r="G189" s="238">
        <f t="shared" si="85"/>
        <v>0</v>
      </c>
      <c r="H189" s="238">
        <f t="shared" si="85"/>
        <v>0</v>
      </c>
      <c r="I189" s="238">
        <f t="shared" si="85"/>
        <v>0</v>
      </c>
    </row>
    <row r="190" spans="2:14" hidden="1" outlineLevel="1" x14ac:dyDescent="0.2">
      <c r="B190" s="121"/>
    </row>
    <row r="191" spans="2:14" ht="15.75" hidden="1" outlineLevel="1" x14ac:dyDescent="0.2">
      <c r="B191" s="121"/>
      <c r="C191" s="454"/>
      <c r="D191" s="74">
        <f>FirstYear</f>
        <v>2026</v>
      </c>
      <c r="E191" s="74">
        <f>D191+1</f>
        <v>2027</v>
      </c>
      <c r="F191" s="74">
        <f>E191+1</f>
        <v>2028</v>
      </c>
      <c r="G191" s="74">
        <f>F191+1</f>
        <v>2029</v>
      </c>
      <c r="H191" s="74">
        <f>G191+1</f>
        <v>2030</v>
      </c>
      <c r="I191" s="74">
        <f>H191+1</f>
        <v>2031</v>
      </c>
    </row>
    <row r="192" spans="2:14" hidden="1" outlineLevel="1" x14ac:dyDescent="0.2">
      <c r="B192" s="249">
        <v>1</v>
      </c>
      <c r="C192" s="76" t="s">
        <v>84</v>
      </c>
      <c r="D192" s="238">
        <f t="shared" ref="D192:I192" si="86">INDEX(RPBSScriptsNew,$B184,D185)*INDEX(DPMQCoPayNewEff,$B184,$B192)</f>
        <v>0</v>
      </c>
      <c r="E192" s="238">
        <f t="shared" si="86"/>
        <v>0</v>
      </c>
      <c r="F192" s="238">
        <f t="shared" si="86"/>
        <v>0</v>
      </c>
      <c r="G192" s="238">
        <f t="shared" si="86"/>
        <v>0</v>
      </c>
      <c r="H192" s="238">
        <f t="shared" si="86"/>
        <v>0</v>
      </c>
      <c r="I192" s="238">
        <f t="shared" si="86"/>
        <v>0</v>
      </c>
    </row>
    <row r="193" spans="2:14" hidden="1" outlineLevel="1" x14ac:dyDescent="0.2">
      <c r="B193" s="249">
        <v>4</v>
      </c>
      <c r="C193" s="3" t="s">
        <v>108</v>
      </c>
      <c r="D193" s="238">
        <f t="shared" ref="D193:I193" si="87">INDEX(RPBSScriptsNew,$B184,D185)*(INDEX(DPMQCoPayNewEff,$B184,$B193)/INDEX(CoPayCountNew,$B184))</f>
        <v>0</v>
      </c>
      <c r="E193" s="238">
        <f t="shared" si="87"/>
        <v>0</v>
      </c>
      <c r="F193" s="238">
        <f t="shared" si="87"/>
        <v>0</v>
      </c>
      <c r="G193" s="238">
        <f t="shared" si="87"/>
        <v>0</v>
      </c>
      <c r="H193" s="238">
        <f t="shared" si="87"/>
        <v>0</v>
      </c>
      <c r="I193" s="238">
        <f t="shared" si="87"/>
        <v>0</v>
      </c>
    </row>
    <row r="194" spans="2:14" hidden="1" outlineLevel="1" x14ac:dyDescent="0.2">
      <c r="B194" s="121"/>
      <c r="C194" s="3" t="s">
        <v>86</v>
      </c>
      <c r="D194" s="238">
        <f t="shared" ref="D194:I194" si="88">D192+D193</f>
        <v>0</v>
      </c>
      <c r="E194" s="238">
        <f t="shared" si="88"/>
        <v>0</v>
      </c>
      <c r="F194" s="238">
        <f t="shared" si="88"/>
        <v>0</v>
      </c>
      <c r="G194" s="238">
        <f t="shared" si="88"/>
        <v>0</v>
      </c>
      <c r="H194" s="238">
        <f t="shared" si="88"/>
        <v>0</v>
      </c>
      <c r="I194" s="238">
        <f t="shared" si="88"/>
        <v>0</v>
      </c>
    </row>
    <row r="195" spans="2:14" collapsed="1" x14ac:dyDescent="0.2">
      <c r="B195" s="121"/>
      <c r="C195" s="457"/>
      <c r="D195" s="457"/>
      <c r="E195" s="457"/>
      <c r="F195" s="31"/>
      <c r="G195" s="31"/>
      <c r="H195" s="31"/>
      <c r="I195" s="31"/>
      <c r="J195" s="31"/>
      <c r="K195" s="31"/>
      <c r="L195" s="31"/>
      <c r="M195" s="31"/>
      <c r="N195" s="31"/>
    </row>
    <row r="196" spans="2:14" ht="15" x14ac:dyDescent="0.2">
      <c r="B196" s="249">
        <v>15</v>
      </c>
      <c r="C196" s="129" t="str">
        <f>IF(SPANewFlag&lt;&gt;0,INDEX(PBSScriptsNew,B196,1),MsgNotUsed)</f>
        <v>** NOT USED **</v>
      </c>
      <c r="D196" s="123"/>
      <c r="E196" s="123"/>
      <c r="F196" s="123"/>
      <c r="G196" s="123"/>
      <c r="H196" s="123"/>
      <c r="I196" s="123"/>
      <c r="J196" s="117"/>
      <c r="K196" s="116"/>
      <c r="L196" s="588" t="str">
        <f>IF(C196&lt;&gt;MsgNotUsed,"Co-payment group " &amp; INDEX(DPMQCoPayNewEff,B196,2),"")</f>
        <v/>
      </c>
      <c r="M196" s="588"/>
      <c r="N196" s="380"/>
    </row>
    <row r="197" spans="2:14" hidden="1" outlineLevel="1" x14ac:dyDescent="0.2">
      <c r="B197" s="209">
        <f>INDEX(SANew,B196,5)</f>
        <v>0</v>
      </c>
      <c r="C197" s="457"/>
      <c r="D197" s="319">
        <v>2</v>
      </c>
      <c r="E197" s="319">
        <v>3</v>
      </c>
      <c r="F197" s="319">
        <v>4</v>
      </c>
      <c r="G197" s="319">
        <v>5</v>
      </c>
      <c r="H197" s="319">
        <v>6</v>
      </c>
      <c r="I197" s="319">
        <v>7</v>
      </c>
      <c r="K197" s="31"/>
      <c r="L197" s="31"/>
      <c r="M197" s="31"/>
      <c r="N197" s="31"/>
    </row>
    <row r="198" spans="2:14" hidden="1" outlineLevel="1" x14ac:dyDescent="0.2">
      <c r="B198" s="130"/>
      <c r="D198" s="74">
        <f>FirstYear</f>
        <v>2026</v>
      </c>
      <c r="E198" s="74">
        <f>D198+1</f>
        <v>2027</v>
      </c>
      <c r="F198" s="74">
        <f>E198+1</f>
        <v>2028</v>
      </c>
      <c r="G198" s="74">
        <f>F198+1</f>
        <v>2029</v>
      </c>
      <c r="H198" s="74">
        <f>G198+1</f>
        <v>2030</v>
      </c>
      <c r="I198" s="74">
        <f>H198+1</f>
        <v>2031</v>
      </c>
    </row>
    <row r="199" spans="2:14" hidden="1" outlineLevel="1" x14ac:dyDescent="0.2">
      <c r="B199" s="249">
        <v>1</v>
      </c>
      <c r="C199" s="76" t="s">
        <v>83</v>
      </c>
      <c r="D199" s="238">
        <f t="shared" ref="D199:I199" si="89">INDEX(PBSScriptsNew,$B196,D197)*INDEX(DPMQCoPayNewEff,$B196,$B199)</f>
        <v>0</v>
      </c>
      <c r="E199" s="238">
        <f t="shared" si="89"/>
        <v>0</v>
      </c>
      <c r="F199" s="238">
        <f t="shared" si="89"/>
        <v>0</v>
      </c>
      <c r="G199" s="238">
        <f t="shared" si="89"/>
        <v>0</v>
      </c>
      <c r="H199" s="238">
        <f t="shared" si="89"/>
        <v>0</v>
      </c>
      <c r="I199" s="238">
        <f t="shared" si="89"/>
        <v>0</v>
      </c>
    </row>
    <row r="200" spans="2:14" hidden="1" outlineLevel="1" x14ac:dyDescent="0.2">
      <c r="B200" s="249">
        <v>3</v>
      </c>
      <c r="C200" s="3" t="s">
        <v>108</v>
      </c>
      <c r="D200" s="238">
        <f t="shared" ref="D200:I200" si="90">INDEX(PBSScriptsNew,$B196,D197)*(INDEX(DPMQCoPayNewEff,$B196,$B200)/INDEX(CoPayCountNew,$B196))</f>
        <v>0</v>
      </c>
      <c r="E200" s="238">
        <f t="shared" si="90"/>
        <v>0</v>
      </c>
      <c r="F200" s="238">
        <f t="shared" si="90"/>
        <v>0</v>
      </c>
      <c r="G200" s="238">
        <f t="shared" si="90"/>
        <v>0</v>
      </c>
      <c r="H200" s="238">
        <f t="shared" si="90"/>
        <v>0</v>
      </c>
      <c r="I200" s="238">
        <f t="shared" si="90"/>
        <v>0</v>
      </c>
      <c r="K200" s="579" t="str">
        <f>IF(B197&lt;&gt;0,MsgNote&amp;IF(B197="Yes",INDEX(CoPayMethod,1),INDEX(CoPayMethod,2)),"")</f>
        <v/>
      </c>
      <c r="L200" s="579"/>
      <c r="M200" s="579"/>
      <c r="N200" s="443"/>
    </row>
    <row r="201" spans="2:14" hidden="1" outlineLevel="1" x14ac:dyDescent="0.2">
      <c r="B201" s="121"/>
      <c r="C201" s="3" t="s">
        <v>85</v>
      </c>
      <c r="D201" s="238">
        <f t="shared" ref="D201:I201" si="91">D199+D200</f>
        <v>0</v>
      </c>
      <c r="E201" s="238">
        <f t="shared" si="91"/>
        <v>0</v>
      </c>
      <c r="F201" s="238">
        <f t="shared" si="91"/>
        <v>0</v>
      </c>
      <c r="G201" s="238">
        <f t="shared" si="91"/>
        <v>0</v>
      </c>
      <c r="H201" s="238">
        <f t="shared" si="91"/>
        <v>0</v>
      </c>
      <c r="I201" s="238">
        <f t="shared" si="91"/>
        <v>0</v>
      </c>
    </row>
    <row r="202" spans="2:14" hidden="1" outlineLevel="1" x14ac:dyDescent="0.2">
      <c r="B202" s="121"/>
    </row>
    <row r="203" spans="2:14" ht="15.75" hidden="1" outlineLevel="1" x14ac:dyDescent="0.2">
      <c r="B203" s="121"/>
      <c r="C203" s="454"/>
      <c r="D203" s="74">
        <f>FirstYear</f>
        <v>2026</v>
      </c>
      <c r="E203" s="74">
        <f>D203+1</f>
        <v>2027</v>
      </c>
      <c r="F203" s="74">
        <f>E203+1</f>
        <v>2028</v>
      </c>
      <c r="G203" s="74">
        <f>F203+1</f>
        <v>2029</v>
      </c>
      <c r="H203" s="74">
        <f>G203+1</f>
        <v>2030</v>
      </c>
      <c r="I203" s="74">
        <f>H203+1</f>
        <v>2031</v>
      </c>
    </row>
    <row r="204" spans="2:14" hidden="1" outlineLevel="1" x14ac:dyDescent="0.2">
      <c r="B204" s="249">
        <v>1</v>
      </c>
      <c r="C204" s="76" t="s">
        <v>84</v>
      </c>
      <c r="D204" s="238">
        <f t="shared" ref="D204:I204" si="92">INDEX(RPBSScriptsNew,$B196,D197)*INDEX(DPMQCoPayNewEff,$B196,$B204)</f>
        <v>0</v>
      </c>
      <c r="E204" s="238">
        <f t="shared" si="92"/>
        <v>0</v>
      </c>
      <c r="F204" s="238">
        <f t="shared" si="92"/>
        <v>0</v>
      </c>
      <c r="G204" s="238">
        <f t="shared" si="92"/>
        <v>0</v>
      </c>
      <c r="H204" s="238">
        <f t="shared" si="92"/>
        <v>0</v>
      </c>
      <c r="I204" s="238">
        <f t="shared" si="92"/>
        <v>0</v>
      </c>
    </row>
    <row r="205" spans="2:14" hidden="1" outlineLevel="1" x14ac:dyDescent="0.2">
      <c r="B205" s="249">
        <v>4</v>
      </c>
      <c r="C205" s="3" t="s">
        <v>108</v>
      </c>
      <c r="D205" s="238">
        <f t="shared" ref="D205:I205" si="93">INDEX(RPBSScriptsNew,$B196,D197)*(INDEX(DPMQCoPayNewEff,$B196,$B205)/INDEX(CoPayCountNew,$B196))</f>
        <v>0</v>
      </c>
      <c r="E205" s="238">
        <f t="shared" si="93"/>
        <v>0</v>
      </c>
      <c r="F205" s="238">
        <f t="shared" si="93"/>
        <v>0</v>
      </c>
      <c r="G205" s="238">
        <f t="shared" si="93"/>
        <v>0</v>
      </c>
      <c r="H205" s="238">
        <f t="shared" si="93"/>
        <v>0</v>
      </c>
      <c r="I205" s="238">
        <f t="shared" si="93"/>
        <v>0</v>
      </c>
    </row>
    <row r="206" spans="2:14" hidden="1" outlineLevel="1" x14ac:dyDescent="0.2">
      <c r="B206" s="121"/>
      <c r="C206" s="3" t="s">
        <v>86</v>
      </c>
      <c r="D206" s="238">
        <f t="shared" ref="D206:I206" si="94">D204+D205</f>
        <v>0</v>
      </c>
      <c r="E206" s="238">
        <f t="shared" si="94"/>
        <v>0</v>
      </c>
      <c r="F206" s="238">
        <f t="shared" si="94"/>
        <v>0</v>
      </c>
      <c r="G206" s="238">
        <f t="shared" si="94"/>
        <v>0</v>
      </c>
      <c r="H206" s="238">
        <f t="shared" si="94"/>
        <v>0</v>
      </c>
      <c r="I206" s="238">
        <f t="shared" si="94"/>
        <v>0</v>
      </c>
    </row>
    <row r="207" spans="2:14" collapsed="1" x14ac:dyDescent="0.2">
      <c r="B207" s="121"/>
      <c r="C207" s="457"/>
      <c r="D207" s="457"/>
      <c r="E207" s="457"/>
      <c r="F207" s="31"/>
      <c r="G207" s="31"/>
      <c r="H207" s="31"/>
      <c r="I207" s="31"/>
      <c r="J207" s="31"/>
      <c r="K207" s="31"/>
      <c r="L207" s="31"/>
      <c r="M207" s="31"/>
      <c r="N207" s="31"/>
    </row>
    <row r="208" spans="2:14" ht="15" x14ac:dyDescent="0.2">
      <c r="B208" s="249">
        <v>16</v>
      </c>
      <c r="C208" s="129" t="str">
        <f>IF(SPANewFlag&lt;&gt;0,INDEX(PBSScriptsNew,B208,1),MsgNotUsed)</f>
        <v>** NOT USED **</v>
      </c>
      <c r="D208" s="123"/>
      <c r="E208" s="123"/>
      <c r="F208" s="123"/>
      <c r="G208" s="123"/>
      <c r="H208" s="123"/>
      <c r="I208" s="123"/>
      <c r="J208" s="117"/>
      <c r="K208" s="116"/>
      <c r="L208" s="588" t="str">
        <f>IF(C208&lt;&gt;MsgNotUsed,"Co-payment group " &amp; INDEX(DPMQCoPayNewEff,B208,2),"")</f>
        <v/>
      </c>
      <c r="M208" s="588"/>
      <c r="N208" s="380"/>
    </row>
    <row r="209" spans="2:14" hidden="1" outlineLevel="1" x14ac:dyDescent="0.2">
      <c r="B209" s="209">
        <f>INDEX(SANew,B208,5)</f>
        <v>0</v>
      </c>
      <c r="C209" s="457"/>
      <c r="D209" s="319">
        <v>2</v>
      </c>
      <c r="E209" s="319">
        <v>3</v>
      </c>
      <c r="F209" s="319">
        <v>4</v>
      </c>
      <c r="G209" s="319">
        <v>5</v>
      </c>
      <c r="H209" s="319">
        <v>6</v>
      </c>
      <c r="I209" s="319">
        <v>7</v>
      </c>
      <c r="K209" s="31"/>
      <c r="L209" s="31"/>
      <c r="M209" s="31"/>
      <c r="N209" s="31"/>
    </row>
    <row r="210" spans="2:14" hidden="1" outlineLevel="1" x14ac:dyDescent="0.2">
      <c r="B210" s="130"/>
      <c r="D210" s="74">
        <f>FirstYear</f>
        <v>2026</v>
      </c>
      <c r="E210" s="74">
        <f>D210+1</f>
        <v>2027</v>
      </c>
      <c r="F210" s="74">
        <f>E210+1</f>
        <v>2028</v>
      </c>
      <c r="G210" s="74">
        <f>F210+1</f>
        <v>2029</v>
      </c>
      <c r="H210" s="74">
        <f>G210+1</f>
        <v>2030</v>
      </c>
      <c r="I210" s="74">
        <f>H210+1</f>
        <v>2031</v>
      </c>
    </row>
    <row r="211" spans="2:14" hidden="1" outlineLevel="1" x14ac:dyDescent="0.2">
      <c r="B211" s="249">
        <v>1</v>
      </c>
      <c r="C211" s="76" t="s">
        <v>83</v>
      </c>
      <c r="D211" s="238">
        <f t="shared" ref="D211:I211" si="95">INDEX(PBSScriptsNew,$B208,D209)*INDEX(DPMQCoPayNewEff,$B208,$B211)</f>
        <v>0</v>
      </c>
      <c r="E211" s="238">
        <f t="shared" si="95"/>
        <v>0</v>
      </c>
      <c r="F211" s="238">
        <f t="shared" si="95"/>
        <v>0</v>
      </c>
      <c r="G211" s="238">
        <f t="shared" si="95"/>
        <v>0</v>
      </c>
      <c r="H211" s="238">
        <f t="shared" si="95"/>
        <v>0</v>
      </c>
      <c r="I211" s="238">
        <f t="shared" si="95"/>
        <v>0</v>
      </c>
    </row>
    <row r="212" spans="2:14" hidden="1" outlineLevel="1" x14ac:dyDescent="0.2">
      <c r="B212" s="249">
        <v>3</v>
      </c>
      <c r="C212" s="3" t="s">
        <v>108</v>
      </c>
      <c r="D212" s="238">
        <f t="shared" ref="D212:I212" si="96">INDEX(PBSScriptsNew,$B208,D209)*(INDEX(DPMQCoPayNewEff,$B208,$B212)/INDEX(CoPayCountNew,$B208))</f>
        <v>0</v>
      </c>
      <c r="E212" s="238">
        <f t="shared" si="96"/>
        <v>0</v>
      </c>
      <c r="F212" s="238">
        <f t="shared" si="96"/>
        <v>0</v>
      </c>
      <c r="G212" s="238">
        <f t="shared" si="96"/>
        <v>0</v>
      </c>
      <c r="H212" s="238">
        <f t="shared" si="96"/>
        <v>0</v>
      </c>
      <c r="I212" s="238">
        <f t="shared" si="96"/>
        <v>0</v>
      </c>
      <c r="K212" s="579" t="str">
        <f>IF(B209&lt;&gt;0,MsgNote&amp;IF(B209="Yes",INDEX(CoPayMethod,1),INDEX(CoPayMethod,2)),"")</f>
        <v/>
      </c>
      <c r="L212" s="579"/>
      <c r="M212" s="579"/>
      <c r="N212" s="443"/>
    </row>
    <row r="213" spans="2:14" hidden="1" outlineLevel="1" x14ac:dyDescent="0.2">
      <c r="B213" s="121"/>
      <c r="C213" s="3" t="s">
        <v>85</v>
      </c>
      <c r="D213" s="238">
        <f t="shared" ref="D213:I213" si="97">D211+D212</f>
        <v>0</v>
      </c>
      <c r="E213" s="238">
        <f t="shared" si="97"/>
        <v>0</v>
      </c>
      <c r="F213" s="238">
        <f t="shared" si="97"/>
        <v>0</v>
      </c>
      <c r="G213" s="238">
        <f t="shared" si="97"/>
        <v>0</v>
      </c>
      <c r="H213" s="238">
        <f t="shared" si="97"/>
        <v>0</v>
      </c>
      <c r="I213" s="238">
        <f t="shared" si="97"/>
        <v>0</v>
      </c>
    </row>
    <row r="214" spans="2:14" hidden="1" outlineLevel="1" x14ac:dyDescent="0.2">
      <c r="B214" s="121"/>
    </row>
    <row r="215" spans="2:14" ht="15.75" hidden="1" outlineLevel="1" x14ac:dyDescent="0.2">
      <c r="B215" s="121"/>
      <c r="C215" s="454"/>
      <c r="D215" s="74">
        <f>FirstYear</f>
        <v>2026</v>
      </c>
      <c r="E215" s="74">
        <f>D215+1</f>
        <v>2027</v>
      </c>
      <c r="F215" s="74">
        <f>E215+1</f>
        <v>2028</v>
      </c>
      <c r="G215" s="74">
        <f>F215+1</f>
        <v>2029</v>
      </c>
      <c r="H215" s="74">
        <f>G215+1</f>
        <v>2030</v>
      </c>
      <c r="I215" s="74">
        <f>H215+1</f>
        <v>2031</v>
      </c>
    </row>
    <row r="216" spans="2:14" hidden="1" outlineLevel="1" x14ac:dyDescent="0.2">
      <c r="B216" s="249">
        <v>1</v>
      </c>
      <c r="C216" s="76" t="s">
        <v>84</v>
      </c>
      <c r="D216" s="238">
        <f t="shared" ref="D216:I216" si="98">INDEX(RPBSScriptsNew,$B208,D209)*INDEX(DPMQCoPayNewEff,$B208,$B216)</f>
        <v>0</v>
      </c>
      <c r="E216" s="238">
        <f t="shared" si="98"/>
        <v>0</v>
      </c>
      <c r="F216" s="238">
        <f t="shared" si="98"/>
        <v>0</v>
      </c>
      <c r="G216" s="238">
        <f t="shared" si="98"/>
        <v>0</v>
      </c>
      <c r="H216" s="238">
        <f t="shared" si="98"/>
        <v>0</v>
      </c>
      <c r="I216" s="238">
        <f t="shared" si="98"/>
        <v>0</v>
      </c>
    </row>
    <row r="217" spans="2:14" hidden="1" outlineLevel="1" x14ac:dyDescent="0.2">
      <c r="B217" s="249">
        <v>4</v>
      </c>
      <c r="C217" s="3" t="s">
        <v>108</v>
      </c>
      <c r="D217" s="238">
        <f t="shared" ref="D217:I217" si="99">INDEX(RPBSScriptsNew,$B208,D209)*(INDEX(DPMQCoPayNewEff,$B208,$B217)/INDEX(CoPayCountNew,$B208))</f>
        <v>0</v>
      </c>
      <c r="E217" s="238">
        <f t="shared" si="99"/>
        <v>0</v>
      </c>
      <c r="F217" s="238">
        <f t="shared" si="99"/>
        <v>0</v>
      </c>
      <c r="G217" s="238">
        <f t="shared" si="99"/>
        <v>0</v>
      </c>
      <c r="H217" s="238">
        <f t="shared" si="99"/>
        <v>0</v>
      </c>
      <c r="I217" s="238">
        <f t="shared" si="99"/>
        <v>0</v>
      </c>
    </row>
    <row r="218" spans="2:14" hidden="1" outlineLevel="1" x14ac:dyDescent="0.2">
      <c r="B218" s="121"/>
      <c r="C218" s="3" t="s">
        <v>86</v>
      </c>
      <c r="D218" s="238">
        <f t="shared" ref="D218:I218" si="100">D216+D217</f>
        <v>0</v>
      </c>
      <c r="E218" s="238">
        <f t="shared" si="100"/>
        <v>0</v>
      </c>
      <c r="F218" s="238">
        <f t="shared" si="100"/>
        <v>0</v>
      </c>
      <c r="G218" s="238">
        <f t="shared" si="100"/>
        <v>0</v>
      </c>
      <c r="H218" s="238">
        <f t="shared" si="100"/>
        <v>0</v>
      </c>
      <c r="I218" s="238">
        <f t="shared" si="100"/>
        <v>0</v>
      </c>
    </row>
    <row r="219" spans="2:14" collapsed="1" x14ac:dyDescent="0.2">
      <c r="B219" s="121"/>
      <c r="C219" s="457"/>
      <c r="D219" s="457"/>
      <c r="E219" s="457"/>
      <c r="F219" s="31"/>
      <c r="G219" s="31"/>
      <c r="H219" s="31"/>
      <c r="I219" s="31"/>
      <c r="J219" s="31"/>
      <c r="K219" s="31"/>
      <c r="L219" s="31"/>
      <c r="M219" s="31"/>
      <c r="N219" s="31"/>
    </row>
    <row r="220" spans="2:14" ht="15" x14ac:dyDescent="0.2">
      <c r="B220" s="249">
        <v>17</v>
      </c>
      <c r="C220" s="129" t="str">
        <f>IF(SPANewFlag&lt;&gt;0,INDEX(PBSScriptsNew,B220,1),MsgNotUsed)</f>
        <v>** NOT USED **</v>
      </c>
      <c r="D220" s="123"/>
      <c r="E220" s="123"/>
      <c r="F220" s="123"/>
      <c r="G220" s="123"/>
      <c r="H220" s="123"/>
      <c r="I220" s="123"/>
      <c r="J220" s="117"/>
      <c r="K220" s="116"/>
      <c r="L220" s="588" t="str">
        <f>IF(C220&lt;&gt;MsgNotUsed,"Co-payment group " &amp; INDEX(DPMQCoPayNewEff,B220,2),"")</f>
        <v/>
      </c>
      <c r="M220" s="588"/>
      <c r="N220" s="380"/>
    </row>
    <row r="221" spans="2:14" hidden="1" outlineLevel="1" x14ac:dyDescent="0.2">
      <c r="B221" s="209">
        <f>INDEX(SANew,B220,5)</f>
        <v>0</v>
      </c>
      <c r="C221" s="457"/>
      <c r="D221" s="319">
        <v>2</v>
      </c>
      <c r="E221" s="319">
        <v>3</v>
      </c>
      <c r="F221" s="319">
        <v>4</v>
      </c>
      <c r="G221" s="319">
        <v>5</v>
      </c>
      <c r="H221" s="319">
        <v>6</v>
      </c>
      <c r="I221" s="319">
        <v>7</v>
      </c>
      <c r="K221" s="31"/>
      <c r="L221" s="31"/>
      <c r="M221" s="31"/>
      <c r="N221" s="31"/>
    </row>
    <row r="222" spans="2:14" hidden="1" outlineLevel="1" x14ac:dyDescent="0.2">
      <c r="B222" s="130"/>
      <c r="D222" s="74">
        <f>FirstYear</f>
        <v>2026</v>
      </c>
      <c r="E222" s="74">
        <f>D222+1</f>
        <v>2027</v>
      </c>
      <c r="F222" s="74">
        <f>E222+1</f>
        <v>2028</v>
      </c>
      <c r="G222" s="74">
        <f>F222+1</f>
        <v>2029</v>
      </c>
      <c r="H222" s="74">
        <f>G222+1</f>
        <v>2030</v>
      </c>
      <c r="I222" s="74">
        <f>H222+1</f>
        <v>2031</v>
      </c>
    </row>
    <row r="223" spans="2:14" hidden="1" outlineLevel="1" x14ac:dyDescent="0.2">
      <c r="B223" s="249">
        <v>1</v>
      </c>
      <c r="C223" s="76" t="s">
        <v>83</v>
      </c>
      <c r="D223" s="238">
        <f t="shared" ref="D223:I223" si="101">INDEX(PBSScriptsNew,$B220,D221)*INDEX(DPMQCoPayNewEff,$B220,$B223)</f>
        <v>0</v>
      </c>
      <c r="E223" s="238">
        <f t="shared" si="101"/>
        <v>0</v>
      </c>
      <c r="F223" s="238">
        <f t="shared" si="101"/>
        <v>0</v>
      </c>
      <c r="G223" s="238">
        <f t="shared" si="101"/>
        <v>0</v>
      </c>
      <c r="H223" s="238">
        <f t="shared" si="101"/>
        <v>0</v>
      </c>
      <c r="I223" s="238">
        <f t="shared" si="101"/>
        <v>0</v>
      </c>
    </row>
    <row r="224" spans="2:14" hidden="1" outlineLevel="1" x14ac:dyDescent="0.2">
      <c r="B224" s="249">
        <v>3</v>
      </c>
      <c r="C224" s="3" t="s">
        <v>108</v>
      </c>
      <c r="D224" s="238">
        <f t="shared" ref="D224:I224" si="102">INDEX(PBSScriptsNew,$B220,D221)*(INDEX(DPMQCoPayNewEff,$B220,$B224)/INDEX(CoPayCountNew,$B220))</f>
        <v>0</v>
      </c>
      <c r="E224" s="238">
        <f t="shared" si="102"/>
        <v>0</v>
      </c>
      <c r="F224" s="238">
        <f t="shared" si="102"/>
        <v>0</v>
      </c>
      <c r="G224" s="238">
        <f t="shared" si="102"/>
        <v>0</v>
      </c>
      <c r="H224" s="238">
        <f t="shared" si="102"/>
        <v>0</v>
      </c>
      <c r="I224" s="238">
        <f t="shared" si="102"/>
        <v>0</v>
      </c>
      <c r="K224" s="579" t="str">
        <f>IF(B221&lt;&gt;0,MsgNote&amp;IF(B221="Yes",INDEX(CoPayMethod,1),INDEX(CoPayMethod,2)),"")</f>
        <v/>
      </c>
      <c r="L224" s="579"/>
      <c r="M224" s="579"/>
      <c r="N224" s="443"/>
    </row>
    <row r="225" spans="2:14" hidden="1" outlineLevel="1" x14ac:dyDescent="0.2">
      <c r="B225" s="121"/>
      <c r="C225" s="3" t="s">
        <v>85</v>
      </c>
      <c r="D225" s="238">
        <f t="shared" ref="D225:I225" si="103">D223+D224</f>
        <v>0</v>
      </c>
      <c r="E225" s="238">
        <f t="shared" si="103"/>
        <v>0</v>
      </c>
      <c r="F225" s="238">
        <f t="shared" si="103"/>
        <v>0</v>
      </c>
      <c r="G225" s="238">
        <f t="shared" si="103"/>
        <v>0</v>
      </c>
      <c r="H225" s="238">
        <f t="shared" si="103"/>
        <v>0</v>
      </c>
      <c r="I225" s="238">
        <f t="shared" si="103"/>
        <v>0</v>
      </c>
    </row>
    <row r="226" spans="2:14" hidden="1" outlineLevel="1" x14ac:dyDescent="0.2">
      <c r="B226" s="121"/>
    </row>
    <row r="227" spans="2:14" ht="15.75" hidden="1" outlineLevel="1" x14ac:dyDescent="0.2">
      <c r="B227" s="121"/>
      <c r="C227" s="454"/>
      <c r="D227" s="74">
        <f>FirstYear</f>
        <v>2026</v>
      </c>
      <c r="E227" s="74">
        <f>D227+1</f>
        <v>2027</v>
      </c>
      <c r="F227" s="74">
        <f>E227+1</f>
        <v>2028</v>
      </c>
      <c r="G227" s="74">
        <f>F227+1</f>
        <v>2029</v>
      </c>
      <c r="H227" s="74">
        <f>G227+1</f>
        <v>2030</v>
      </c>
      <c r="I227" s="74">
        <f>H227+1</f>
        <v>2031</v>
      </c>
    </row>
    <row r="228" spans="2:14" hidden="1" outlineLevel="1" x14ac:dyDescent="0.2">
      <c r="B228" s="249">
        <v>1</v>
      </c>
      <c r="C228" s="76" t="s">
        <v>84</v>
      </c>
      <c r="D228" s="238">
        <f t="shared" ref="D228:I228" si="104">INDEX(RPBSScriptsNew,$B220,D221)*INDEX(DPMQCoPayNewEff,$B220,$B228)</f>
        <v>0</v>
      </c>
      <c r="E228" s="238">
        <f t="shared" si="104"/>
        <v>0</v>
      </c>
      <c r="F228" s="238">
        <f t="shared" si="104"/>
        <v>0</v>
      </c>
      <c r="G228" s="238">
        <f t="shared" si="104"/>
        <v>0</v>
      </c>
      <c r="H228" s="238">
        <f t="shared" si="104"/>
        <v>0</v>
      </c>
      <c r="I228" s="238">
        <f t="shared" si="104"/>
        <v>0</v>
      </c>
    </row>
    <row r="229" spans="2:14" hidden="1" outlineLevel="1" x14ac:dyDescent="0.2">
      <c r="B229" s="249">
        <v>4</v>
      </c>
      <c r="C229" s="3" t="s">
        <v>108</v>
      </c>
      <c r="D229" s="238">
        <f t="shared" ref="D229:I229" si="105">INDEX(RPBSScriptsNew,$B220,D221)*(INDEX(DPMQCoPayNewEff,$B220,$B229)/INDEX(CoPayCountNew,$B220))</f>
        <v>0</v>
      </c>
      <c r="E229" s="238">
        <f t="shared" si="105"/>
        <v>0</v>
      </c>
      <c r="F229" s="238">
        <f t="shared" si="105"/>
        <v>0</v>
      </c>
      <c r="G229" s="238">
        <f t="shared" si="105"/>
        <v>0</v>
      </c>
      <c r="H229" s="238">
        <f t="shared" si="105"/>
        <v>0</v>
      </c>
      <c r="I229" s="238">
        <f t="shared" si="105"/>
        <v>0</v>
      </c>
    </row>
    <row r="230" spans="2:14" hidden="1" outlineLevel="1" x14ac:dyDescent="0.2">
      <c r="B230" s="121"/>
      <c r="C230" s="3" t="s">
        <v>86</v>
      </c>
      <c r="D230" s="238">
        <f t="shared" ref="D230:I230" si="106">D228+D229</f>
        <v>0</v>
      </c>
      <c r="E230" s="238">
        <f t="shared" si="106"/>
        <v>0</v>
      </c>
      <c r="F230" s="238">
        <f t="shared" si="106"/>
        <v>0</v>
      </c>
      <c r="G230" s="238">
        <f t="shared" si="106"/>
        <v>0</v>
      </c>
      <c r="H230" s="238">
        <f t="shared" si="106"/>
        <v>0</v>
      </c>
      <c r="I230" s="238">
        <f t="shared" si="106"/>
        <v>0</v>
      </c>
    </row>
    <row r="231" spans="2:14" collapsed="1" x14ac:dyDescent="0.2">
      <c r="B231" s="121"/>
      <c r="C231" s="457"/>
      <c r="D231" s="457"/>
      <c r="E231" s="457"/>
      <c r="F231" s="31"/>
      <c r="G231" s="31"/>
      <c r="H231" s="31"/>
      <c r="I231" s="31"/>
      <c r="J231" s="31"/>
      <c r="K231" s="31"/>
      <c r="L231" s="31"/>
      <c r="M231" s="31"/>
      <c r="N231" s="31"/>
    </row>
    <row r="232" spans="2:14" ht="15" x14ac:dyDescent="0.2">
      <c r="B232" s="249">
        <v>18</v>
      </c>
      <c r="C232" s="129" t="str">
        <f>IF(SPANewFlag&lt;&gt;0,INDEX(PBSScriptsNew,B232,1),MsgNotUsed)</f>
        <v>** NOT USED **</v>
      </c>
      <c r="D232" s="123"/>
      <c r="E232" s="123"/>
      <c r="F232" s="123"/>
      <c r="G232" s="123"/>
      <c r="H232" s="123"/>
      <c r="I232" s="123"/>
      <c r="J232" s="117"/>
      <c r="K232" s="116"/>
      <c r="L232" s="588" t="str">
        <f>IF(C232&lt;&gt;MsgNotUsed,"Co-payment group " &amp; INDEX(DPMQCoPayNewEff,B232,2),"")</f>
        <v/>
      </c>
      <c r="M232" s="588"/>
      <c r="N232" s="380"/>
    </row>
    <row r="233" spans="2:14" hidden="1" outlineLevel="1" x14ac:dyDescent="0.2">
      <c r="B233" s="209">
        <f>INDEX(SANew,B232,5)</f>
        <v>0</v>
      </c>
      <c r="C233" s="457"/>
      <c r="D233" s="319">
        <v>2</v>
      </c>
      <c r="E233" s="319">
        <v>3</v>
      </c>
      <c r="F233" s="319">
        <v>4</v>
      </c>
      <c r="G233" s="319">
        <v>5</v>
      </c>
      <c r="H233" s="319">
        <v>6</v>
      </c>
      <c r="I233" s="319">
        <v>7</v>
      </c>
      <c r="K233" s="31"/>
      <c r="L233" s="31"/>
      <c r="M233" s="31"/>
      <c r="N233" s="31"/>
    </row>
    <row r="234" spans="2:14" hidden="1" outlineLevel="1" x14ac:dyDescent="0.2">
      <c r="B234" s="130"/>
      <c r="D234" s="74">
        <f>FirstYear</f>
        <v>2026</v>
      </c>
      <c r="E234" s="74">
        <f>D234+1</f>
        <v>2027</v>
      </c>
      <c r="F234" s="74">
        <f>E234+1</f>
        <v>2028</v>
      </c>
      <c r="G234" s="74">
        <f>F234+1</f>
        <v>2029</v>
      </c>
      <c r="H234" s="74">
        <f>G234+1</f>
        <v>2030</v>
      </c>
      <c r="I234" s="74">
        <f>H234+1</f>
        <v>2031</v>
      </c>
    </row>
    <row r="235" spans="2:14" hidden="1" outlineLevel="1" x14ac:dyDescent="0.2">
      <c r="B235" s="249">
        <v>1</v>
      </c>
      <c r="C235" s="76" t="s">
        <v>83</v>
      </c>
      <c r="D235" s="238">
        <f t="shared" ref="D235:I235" si="107">INDEX(PBSScriptsNew,$B232,D233)*INDEX(DPMQCoPayNewEff,$B232,$B235)</f>
        <v>0</v>
      </c>
      <c r="E235" s="238">
        <f t="shared" si="107"/>
        <v>0</v>
      </c>
      <c r="F235" s="238">
        <f t="shared" si="107"/>
        <v>0</v>
      </c>
      <c r="G235" s="238">
        <f t="shared" si="107"/>
        <v>0</v>
      </c>
      <c r="H235" s="238">
        <f t="shared" si="107"/>
        <v>0</v>
      </c>
      <c r="I235" s="238">
        <f t="shared" si="107"/>
        <v>0</v>
      </c>
    </row>
    <row r="236" spans="2:14" hidden="1" outlineLevel="1" x14ac:dyDescent="0.2">
      <c r="B236" s="249">
        <v>3</v>
      </c>
      <c r="C236" s="3" t="s">
        <v>108</v>
      </c>
      <c r="D236" s="238">
        <f t="shared" ref="D236:I236" si="108">INDEX(PBSScriptsNew,$B232,D233)*(INDEX(DPMQCoPayNewEff,$B232,$B236)/INDEX(CoPayCountNew,$B232))</f>
        <v>0</v>
      </c>
      <c r="E236" s="238">
        <f t="shared" si="108"/>
        <v>0</v>
      </c>
      <c r="F236" s="238">
        <f t="shared" si="108"/>
        <v>0</v>
      </c>
      <c r="G236" s="238">
        <f t="shared" si="108"/>
        <v>0</v>
      </c>
      <c r="H236" s="238">
        <f t="shared" si="108"/>
        <v>0</v>
      </c>
      <c r="I236" s="238">
        <f t="shared" si="108"/>
        <v>0</v>
      </c>
      <c r="K236" s="579" t="str">
        <f>IF(B233&lt;&gt;0,MsgNote&amp;IF(B233="Yes",INDEX(CoPayMethod,1),INDEX(CoPayMethod,2)),"")</f>
        <v/>
      </c>
      <c r="L236" s="579"/>
      <c r="M236" s="579"/>
      <c r="N236" s="443"/>
    </row>
    <row r="237" spans="2:14" hidden="1" outlineLevel="1" x14ac:dyDescent="0.2">
      <c r="B237" s="121"/>
      <c r="C237" s="3" t="s">
        <v>85</v>
      </c>
      <c r="D237" s="238">
        <f t="shared" ref="D237:I237" si="109">D235+D236</f>
        <v>0</v>
      </c>
      <c r="E237" s="238">
        <f t="shared" si="109"/>
        <v>0</v>
      </c>
      <c r="F237" s="238">
        <f t="shared" si="109"/>
        <v>0</v>
      </c>
      <c r="G237" s="238">
        <f t="shared" si="109"/>
        <v>0</v>
      </c>
      <c r="H237" s="238">
        <f t="shared" si="109"/>
        <v>0</v>
      </c>
      <c r="I237" s="238">
        <f t="shared" si="109"/>
        <v>0</v>
      </c>
    </row>
    <row r="238" spans="2:14" hidden="1" outlineLevel="1" x14ac:dyDescent="0.2">
      <c r="B238" s="121"/>
    </row>
    <row r="239" spans="2:14" ht="15.75" hidden="1" outlineLevel="1" x14ac:dyDescent="0.2">
      <c r="B239" s="121"/>
      <c r="C239" s="454"/>
      <c r="D239" s="74">
        <f>FirstYear</f>
        <v>2026</v>
      </c>
      <c r="E239" s="74">
        <f>D239+1</f>
        <v>2027</v>
      </c>
      <c r="F239" s="74">
        <f>E239+1</f>
        <v>2028</v>
      </c>
      <c r="G239" s="74">
        <f>F239+1</f>
        <v>2029</v>
      </c>
      <c r="H239" s="74">
        <f>G239+1</f>
        <v>2030</v>
      </c>
      <c r="I239" s="74">
        <f>H239+1</f>
        <v>2031</v>
      </c>
    </row>
    <row r="240" spans="2:14" hidden="1" outlineLevel="1" x14ac:dyDescent="0.2">
      <c r="B240" s="249">
        <v>1</v>
      </c>
      <c r="C240" s="76" t="s">
        <v>84</v>
      </c>
      <c r="D240" s="238">
        <f t="shared" ref="D240:I240" si="110">INDEX(RPBSScriptsNew,$B232,D233)*INDEX(DPMQCoPayNewEff,$B232,$B240)</f>
        <v>0</v>
      </c>
      <c r="E240" s="238">
        <f t="shared" si="110"/>
        <v>0</v>
      </c>
      <c r="F240" s="238">
        <f t="shared" si="110"/>
        <v>0</v>
      </c>
      <c r="G240" s="238">
        <f t="shared" si="110"/>
        <v>0</v>
      </c>
      <c r="H240" s="238">
        <f t="shared" si="110"/>
        <v>0</v>
      </c>
      <c r="I240" s="238">
        <f t="shared" si="110"/>
        <v>0</v>
      </c>
    </row>
    <row r="241" spans="2:14" hidden="1" outlineLevel="1" x14ac:dyDescent="0.2">
      <c r="B241" s="249">
        <v>4</v>
      </c>
      <c r="C241" s="3" t="s">
        <v>108</v>
      </c>
      <c r="D241" s="238">
        <f t="shared" ref="D241:I241" si="111">INDEX(RPBSScriptsNew,$B232,D233)*(INDEX(DPMQCoPayNewEff,$B232,$B241)/INDEX(CoPayCountNew,$B232))</f>
        <v>0</v>
      </c>
      <c r="E241" s="238">
        <f t="shared" si="111"/>
        <v>0</v>
      </c>
      <c r="F241" s="238">
        <f t="shared" si="111"/>
        <v>0</v>
      </c>
      <c r="G241" s="238">
        <f t="shared" si="111"/>
        <v>0</v>
      </c>
      <c r="H241" s="238">
        <f t="shared" si="111"/>
        <v>0</v>
      </c>
      <c r="I241" s="238">
        <f t="shared" si="111"/>
        <v>0</v>
      </c>
    </row>
    <row r="242" spans="2:14" hidden="1" outlineLevel="1" x14ac:dyDescent="0.2">
      <c r="B242" s="121"/>
      <c r="C242" s="3" t="s">
        <v>86</v>
      </c>
      <c r="D242" s="238">
        <f t="shared" ref="D242:I242" si="112">D240+D241</f>
        <v>0</v>
      </c>
      <c r="E242" s="238">
        <f t="shared" si="112"/>
        <v>0</v>
      </c>
      <c r="F242" s="238">
        <f t="shared" si="112"/>
        <v>0</v>
      </c>
      <c r="G242" s="238">
        <f t="shared" si="112"/>
        <v>0</v>
      </c>
      <c r="H242" s="238">
        <f t="shared" si="112"/>
        <v>0</v>
      </c>
      <c r="I242" s="238">
        <f t="shared" si="112"/>
        <v>0</v>
      </c>
    </row>
    <row r="243" spans="2:14" collapsed="1" x14ac:dyDescent="0.2">
      <c r="B243" s="121"/>
      <c r="C243" s="457"/>
      <c r="D243" s="457"/>
      <c r="E243" s="457"/>
      <c r="F243" s="31"/>
      <c r="G243" s="31"/>
      <c r="H243" s="31"/>
      <c r="I243" s="31"/>
      <c r="J243" s="31"/>
      <c r="K243" s="31"/>
      <c r="L243" s="31"/>
      <c r="M243" s="31"/>
      <c r="N243" s="31"/>
    </row>
    <row r="244" spans="2:14" ht="15" x14ac:dyDescent="0.2">
      <c r="B244" s="249">
        <v>19</v>
      </c>
      <c r="C244" s="129" t="str">
        <f>IF(SPANewFlag&lt;&gt;0,INDEX(PBSScriptsNew,B244,1),MsgNotUsed)</f>
        <v>** NOT USED **</v>
      </c>
      <c r="D244" s="123"/>
      <c r="E244" s="123"/>
      <c r="F244" s="123"/>
      <c r="G244" s="123"/>
      <c r="H244" s="123"/>
      <c r="I244" s="123"/>
      <c r="J244" s="117"/>
      <c r="K244" s="116"/>
      <c r="L244" s="588" t="str">
        <f>IF(C244&lt;&gt;MsgNotUsed,"Co-payment group " &amp; INDEX(DPMQCoPayNewEff,B244,2),"")</f>
        <v/>
      </c>
      <c r="M244" s="588"/>
      <c r="N244" s="380"/>
    </row>
    <row r="245" spans="2:14" hidden="1" outlineLevel="1" x14ac:dyDescent="0.2">
      <c r="B245" s="209">
        <f>INDEX(SANew,B244,5)</f>
        <v>0</v>
      </c>
      <c r="C245" s="457"/>
      <c r="D245" s="319">
        <v>2</v>
      </c>
      <c r="E245" s="319">
        <v>3</v>
      </c>
      <c r="F245" s="319">
        <v>4</v>
      </c>
      <c r="G245" s="319">
        <v>5</v>
      </c>
      <c r="H245" s="319">
        <v>6</v>
      </c>
      <c r="I245" s="319">
        <v>7</v>
      </c>
      <c r="K245" s="31"/>
      <c r="L245" s="31"/>
      <c r="M245" s="31"/>
      <c r="N245" s="31"/>
    </row>
    <row r="246" spans="2:14" hidden="1" outlineLevel="1" x14ac:dyDescent="0.2">
      <c r="B246" s="130"/>
      <c r="D246" s="74">
        <f>FirstYear</f>
        <v>2026</v>
      </c>
      <c r="E246" s="74">
        <f>D246+1</f>
        <v>2027</v>
      </c>
      <c r="F246" s="74">
        <f>E246+1</f>
        <v>2028</v>
      </c>
      <c r="G246" s="74">
        <f>F246+1</f>
        <v>2029</v>
      </c>
      <c r="H246" s="74">
        <f>G246+1</f>
        <v>2030</v>
      </c>
      <c r="I246" s="74">
        <f>H246+1</f>
        <v>2031</v>
      </c>
    </row>
    <row r="247" spans="2:14" hidden="1" outlineLevel="1" x14ac:dyDescent="0.2">
      <c r="B247" s="249">
        <v>1</v>
      </c>
      <c r="C247" s="76" t="s">
        <v>83</v>
      </c>
      <c r="D247" s="238">
        <f t="shared" ref="D247:I247" si="113">INDEX(PBSScriptsNew,$B244,D245)*INDEX(DPMQCoPayNewEff,$B244,$B247)</f>
        <v>0</v>
      </c>
      <c r="E247" s="238">
        <f t="shared" si="113"/>
        <v>0</v>
      </c>
      <c r="F247" s="238">
        <f t="shared" si="113"/>
        <v>0</v>
      </c>
      <c r="G247" s="238">
        <f t="shared" si="113"/>
        <v>0</v>
      </c>
      <c r="H247" s="238">
        <f t="shared" si="113"/>
        <v>0</v>
      </c>
      <c r="I247" s="238">
        <f t="shared" si="113"/>
        <v>0</v>
      </c>
    </row>
    <row r="248" spans="2:14" hidden="1" outlineLevel="1" x14ac:dyDescent="0.2">
      <c r="B248" s="249">
        <v>3</v>
      </c>
      <c r="C248" s="3" t="s">
        <v>108</v>
      </c>
      <c r="D248" s="238">
        <f t="shared" ref="D248:I248" si="114">INDEX(PBSScriptsNew,$B244,D245)*(INDEX(DPMQCoPayNewEff,$B244,$B248)/INDEX(CoPayCountNew,$B244))</f>
        <v>0</v>
      </c>
      <c r="E248" s="238">
        <f t="shared" si="114"/>
        <v>0</v>
      </c>
      <c r="F248" s="238">
        <f t="shared" si="114"/>
        <v>0</v>
      </c>
      <c r="G248" s="238">
        <f t="shared" si="114"/>
        <v>0</v>
      </c>
      <c r="H248" s="238">
        <f t="shared" si="114"/>
        <v>0</v>
      </c>
      <c r="I248" s="238">
        <f t="shared" si="114"/>
        <v>0</v>
      </c>
      <c r="K248" s="579" t="str">
        <f>IF(B245&lt;&gt;0,MsgNote&amp;IF(B245="Yes",INDEX(CoPayMethod,1),INDEX(CoPayMethod,2)),"")</f>
        <v/>
      </c>
      <c r="L248" s="579"/>
      <c r="M248" s="579"/>
      <c r="N248" s="443"/>
    </row>
    <row r="249" spans="2:14" hidden="1" outlineLevel="1" x14ac:dyDescent="0.2">
      <c r="B249" s="121"/>
      <c r="C249" s="3" t="s">
        <v>85</v>
      </c>
      <c r="D249" s="238">
        <f t="shared" ref="D249:I249" si="115">D247+D248</f>
        <v>0</v>
      </c>
      <c r="E249" s="238">
        <f t="shared" si="115"/>
        <v>0</v>
      </c>
      <c r="F249" s="238">
        <f t="shared" si="115"/>
        <v>0</v>
      </c>
      <c r="G249" s="238">
        <f t="shared" si="115"/>
        <v>0</v>
      </c>
      <c r="H249" s="238">
        <f t="shared" si="115"/>
        <v>0</v>
      </c>
      <c r="I249" s="238">
        <f t="shared" si="115"/>
        <v>0</v>
      </c>
    </row>
    <row r="250" spans="2:14" hidden="1" outlineLevel="1" x14ac:dyDescent="0.2">
      <c r="B250" s="121"/>
    </row>
    <row r="251" spans="2:14" ht="15.75" hidden="1" outlineLevel="1" x14ac:dyDescent="0.2">
      <c r="B251" s="121"/>
      <c r="C251" s="454"/>
      <c r="D251" s="74">
        <f>FirstYear</f>
        <v>2026</v>
      </c>
      <c r="E251" s="74">
        <f>D251+1</f>
        <v>2027</v>
      </c>
      <c r="F251" s="74">
        <f>E251+1</f>
        <v>2028</v>
      </c>
      <c r="G251" s="74">
        <f>F251+1</f>
        <v>2029</v>
      </c>
      <c r="H251" s="74">
        <f>G251+1</f>
        <v>2030</v>
      </c>
      <c r="I251" s="74">
        <f>H251+1</f>
        <v>2031</v>
      </c>
    </row>
    <row r="252" spans="2:14" hidden="1" outlineLevel="1" x14ac:dyDescent="0.2">
      <c r="B252" s="249">
        <v>1</v>
      </c>
      <c r="C252" s="76" t="s">
        <v>84</v>
      </c>
      <c r="D252" s="238">
        <f t="shared" ref="D252:I252" si="116">INDEX(RPBSScriptsNew,$B244,D245)*INDEX(DPMQCoPayNewEff,$B244,$B252)</f>
        <v>0</v>
      </c>
      <c r="E252" s="238">
        <f t="shared" si="116"/>
        <v>0</v>
      </c>
      <c r="F252" s="238">
        <f t="shared" si="116"/>
        <v>0</v>
      </c>
      <c r="G252" s="238">
        <f t="shared" si="116"/>
        <v>0</v>
      </c>
      <c r="H252" s="238">
        <f t="shared" si="116"/>
        <v>0</v>
      </c>
      <c r="I252" s="238">
        <f t="shared" si="116"/>
        <v>0</v>
      </c>
    </row>
    <row r="253" spans="2:14" hidden="1" outlineLevel="1" x14ac:dyDescent="0.2">
      <c r="B253" s="249">
        <v>4</v>
      </c>
      <c r="C253" s="3" t="s">
        <v>108</v>
      </c>
      <c r="D253" s="238">
        <f t="shared" ref="D253:I253" si="117">INDEX(RPBSScriptsNew,$B244,D245)*(INDEX(DPMQCoPayNewEff,$B244,$B253)/INDEX(CoPayCountNew,$B244))</f>
        <v>0</v>
      </c>
      <c r="E253" s="238">
        <f t="shared" si="117"/>
        <v>0</v>
      </c>
      <c r="F253" s="238">
        <f t="shared" si="117"/>
        <v>0</v>
      </c>
      <c r="G253" s="238">
        <f t="shared" si="117"/>
        <v>0</v>
      </c>
      <c r="H253" s="238">
        <f t="shared" si="117"/>
        <v>0</v>
      </c>
      <c r="I253" s="238">
        <f t="shared" si="117"/>
        <v>0</v>
      </c>
    </row>
    <row r="254" spans="2:14" hidden="1" outlineLevel="1" x14ac:dyDescent="0.2">
      <c r="B254" s="121"/>
      <c r="C254" s="3" t="s">
        <v>86</v>
      </c>
      <c r="D254" s="238">
        <f t="shared" ref="D254:I254" si="118">D252+D253</f>
        <v>0</v>
      </c>
      <c r="E254" s="238">
        <f t="shared" si="118"/>
        <v>0</v>
      </c>
      <c r="F254" s="238">
        <f t="shared" si="118"/>
        <v>0</v>
      </c>
      <c r="G254" s="238">
        <f t="shared" si="118"/>
        <v>0</v>
      </c>
      <c r="H254" s="238">
        <f t="shared" si="118"/>
        <v>0</v>
      </c>
      <c r="I254" s="238">
        <f t="shared" si="118"/>
        <v>0</v>
      </c>
    </row>
    <row r="255" spans="2:14" collapsed="1" x14ac:dyDescent="0.2">
      <c r="B255" s="121"/>
      <c r="C255" s="457"/>
      <c r="D255" s="457"/>
      <c r="E255" s="457"/>
      <c r="F255" s="31"/>
      <c r="G255" s="31"/>
      <c r="H255" s="31"/>
      <c r="I255" s="31"/>
      <c r="J255" s="31"/>
      <c r="K255" s="31"/>
      <c r="L255" s="31"/>
      <c r="M255" s="31"/>
      <c r="N255" s="31"/>
    </row>
    <row r="256" spans="2:14" ht="15" x14ac:dyDescent="0.2">
      <c r="B256" s="249">
        <v>20</v>
      </c>
      <c r="C256" s="129" t="str">
        <f>IF(SPANewFlag&lt;&gt;0,INDEX(PBSScriptsNew,B256,1),MsgNotUsed)</f>
        <v>** NOT USED **</v>
      </c>
      <c r="D256" s="123"/>
      <c r="E256" s="123"/>
      <c r="F256" s="123"/>
      <c r="G256" s="123"/>
      <c r="H256" s="123"/>
      <c r="I256" s="123"/>
      <c r="J256" s="117"/>
      <c r="K256" s="116"/>
      <c r="L256" s="588" t="str">
        <f>IF(C256&lt;&gt;MsgNotUsed,"Co-payment group " &amp; INDEX(DPMQCoPayNewEff,B256,2),"")</f>
        <v/>
      </c>
      <c r="M256" s="588"/>
      <c r="N256" s="380"/>
    </row>
    <row r="257" spans="2:14" hidden="1" outlineLevel="1" x14ac:dyDescent="0.2">
      <c r="B257" s="209">
        <f>INDEX(SANew,B256,5)</f>
        <v>0</v>
      </c>
      <c r="C257" s="457"/>
      <c r="D257" s="319">
        <v>2</v>
      </c>
      <c r="E257" s="319">
        <v>3</v>
      </c>
      <c r="F257" s="319">
        <v>4</v>
      </c>
      <c r="G257" s="319">
        <v>5</v>
      </c>
      <c r="H257" s="319">
        <v>6</v>
      </c>
      <c r="I257" s="319">
        <v>7</v>
      </c>
      <c r="K257" s="31"/>
      <c r="L257" s="31"/>
      <c r="M257" s="31"/>
      <c r="N257" s="31"/>
    </row>
    <row r="258" spans="2:14" hidden="1" outlineLevel="1" x14ac:dyDescent="0.2">
      <c r="B258" s="130"/>
      <c r="D258" s="74">
        <f>FirstYear</f>
        <v>2026</v>
      </c>
      <c r="E258" s="74">
        <f>D258+1</f>
        <v>2027</v>
      </c>
      <c r="F258" s="74">
        <f>E258+1</f>
        <v>2028</v>
      </c>
      <c r="G258" s="74">
        <f>F258+1</f>
        <v>2029</v>
      </c>
      <c r="H258" s="74">
        <f>G258+1</f>
        <v>2030</v>
      </c>
      <c r="I258" s="74">
        <f>H258+1</f>
        <v>2031</v>
      </c>
    </row>
    <row r="259" spans="2:14" hidden="1" outlineLevel="1" x14ac:dyDescent="0.2">
      <c r="B259" s="249">
        <v>1</v>
      </c>
      <c r="C259" s="76" t="s">
        <v>83</v>
      </c>
      <c r="D259" s="238">
        <f t="shared" ref="D259:I259" si="119">INDEX(PBSScriptsNew,$B256,D257)*INDEX(DPMQCoPayNewEff,$B256,$B259)</f>
        <v>0</v>
      </c>
      <c r="E259" s="238">
        <f t="shared" si="119"/>
        <v>0</v>
      </c>
      <c r="F259" s="238">
        <f t="shared" si="119"/>
        <v>0</v>
      </c>
      <c r="G259" s="238">
        <f t="shared" si="119"/>
        <v>0</v>
      </c>
      <c r="H259" s="238">
        <f t="shared" si="119"/>
        <v>0</v>
      </c>
      <c r="I259" s="238">
        <f t="shared" si="119"/>
        <v>0</v>
      </c>
    </row>
    <row r="260" spans="2:14" hidden="1" outlineLevel="1" x14ac:dyDescent="0.2">
      <c r="B260" s="249">
        <v>3</v>
      </c>
      <c r="C260" s="3" t="s">
        <v>108</v>
      </c>
      <c r="D260" s="238">
        <f t="shared" ref="D260:I260" si="120">INDEX(PBSScriptsNew,$B256,D257)*(INDEX(DPMQCoPayNewEff,$B256,$B260)/INDEX(CoPayCountNew,$B256))</f>
        <v>0</v>
      </c>
      <c r="E260" s="238">
        <f t="shared" si="120"/>
        <v>0</v>
      </c>
      <c r="F260" s="238">
        <f t="shared" si="120"/>
        <v>0</v>
      </c>
      <c r="G260" s="238">
        <f t="shared" si="120"/>
        <v>0</v>
      </c>
      <c r="H260" s="238">
        <f t="shared" si="120"/>
        <v>0</v>
      </c>
      <c r="I260" s="238">
        <f t="shared" si="120"/>
        <v>0</v>
      </c>
      <c r="K260" s="579" t="str">
        <f>IF(B257&lt;&gt;0,MsgNote&amp;IF(B257="Yes",INDEX(CoPayMethod,1),INDEX(CoPayMethod,2)),"")</f>
        <v/>
      </c>
      <c r="L260" s="579"/>
      <c r="M260" s="579"/>
      <c r="N260" s="443"/>
    </row>
    <row r="261" spans="2:14" hidden="1" outlineLevel="1" x14ac:dyDescent="0.2">
      <c r="B261" s="121"/>
      <c r="C261" s="3" t="s">
        <v>85</v>
      </c>
      <c r="D261" s="238">
        <f t="shared" ref="D261:I261" si="121">D259+D260</f>
        <v>0</v>
      </c>
      <c r="E261" s="238">
        <f t="shared" si="121"/>
        <v>0</v>
      </c>
      <c r="F261" s="238">
        <f t="shared" si="121"/>
        <v>0</v>
      </c>
      <c r="G261" s="238">
        <f t="shared" si="121"/>
        <v>0</v>
      </c>
      <c r="H261" s="238">
        <f t="shared" si="121"/>
        <v>0</v>
      </c>
      <c r="I261" s="238">
        <f t="shared" si="121"/>
        <v>0</v>
      </c>
    </row>
    <row r="262" spans="2:14" hidden="1" outlineLevel="1" x14ac:dyDescent="0.2">
      <c r="B262" s="121"/>
    </row>
    <row r="263" spans="2:14" ht="15.75" hidden="1" outlineLevel="1" x14ac:dyDescent="0.2">
      <c r="B263" s="121"/>
      <c r="C263" s="454"/>
      <c r="D263" s="74">
        <f>FirstYear</f>
        <v>2026</v>
      </c>
      <c r="E263" s="74">
        <f>D263+1</f>
        <v>2027</v>
      </c>
      <c r="F263" s="74">
        <f>E263+1</f>
        <v>2028</v>
      </c>
      <c r="G263" s="74">
        <f>F263+1</f>
        <v>2029</v>
      </c>
      <c r="H263" s="74">
        <f>G263+1</f>
        <v>2030</v>
      </c>
      <c r="I263" s="74">
        <f>H263+1</f>
        <v>2031</v>
      </c>
    </row>
    <row r="264" spans="2:14" hidden="1" outlineLevel="1" x14ac:dyDescent="0.2">
      <c r="B264" s="249">
        <v>1</v>
      </c>
      <c r="C264" s="76" t="s">
        <v>84</v>
      </c>
      <c r="D264" s="238">
        <f t="shared" ref="D264:I264" si="122">INDEX(RPBSScriptsNew,$B256,D257)*INDEX(DPMQCoPayNewEff,$B256,$B264)</f>
        <v>0</v>
      </c>
      <c r="E264" s="238">
        <f t="shared" si="122"/>
        <v>0</v>
      </c>
      <c r="F264" s="238">
        <f t="shared" si="122"/>
        <v>0</v>
      </c>
      <c r="G264" s="238">
        <f t="shared" si="122"/>
        <v>0</v>
      </c>
      <c r="H264" s="238">
        <f t="shared" si="122"/>
        <v>0</v>
      </c>
      <c r="I264" s="238">
        <f t="shared" si="122"/>
        <v>0</v>
      </c>
    </row>
    <row r="265" spans="2:14" hidden="1" outlineLevel="1" x14ac:dyDescent="0.2">
      <c r="B265" s="249">
        <v>4</v>
      </c>
      <c r="C265" s="3" t="s">
        <v>108</v>
      </c>
      <c r="D265" s="238">
        <f t="shared" ref="D265:I265" si="123">INDEX(RPBSScriptsNew,$B256,D257)*(INDEX(DPMQCoPayNewEff,$B256,$B265)/INDEX(CoPayCountNew,$B256))</f>
        <v>0</v>
      </c>
      <c r="E265" s="238">
        <f t="shared" si="123"/>
        <v>0</v>
      </c>
      <c r="F265" s="238">
        <f t="shared" si="123"/>
        <v>0</v>
      </c>
      <c r="G265" s="238">
        <f t="shared" si="123"/>
        <v>0</v>
      </c>
      <c r="H265" s="238">
        <f t="shared" si="123"/>
        <v>0</v>
      </c>
      <c r="I265" s="238">
        <f t="shared" si="123"/>
        <v>0</v>
      </c>
    </row>
    <row r="266" spans="2:14" hidden="1" outlineLevel="1" x14ac:dyDescent="0.2">
      <c r="B266" s="121"/>
      <c r="C266" s="3" t="s">
        <v>86</v>
      </c>
      <c r="D266" s="238">
        <f t="shared" ref="D266:I266" si="124">D264+D265</f>
        <v>0</v>
      </c>
      <c r="E266" s="238">
        <f t="shared" si="124"/>
        <v>0</v>
      </c>
      <c r="F266" s="238">
        <f t="shared" si="124"/>
        <v>0</v>
      </c>
      <c r="G266" s="238">
        <f t="shared" si="124"/>
        <v>0</v>
      </c>
      <c r="H266" s="238">
        <f t="shared" si="124"/>
        <v>0</v>
      </c>
      <c r="I266" s="238">
        <f t="shared" si="124"/>
        <v>0</v>
      </c>
    </row>
    <row r="267" spans="2:14" hidden="1" outlineLevel="1" x14ac:dyDescent="0.2">
      <c r="B267" s="121"/>
      <c r="C267" s="457"/>
      <c r="D267" s="457"/>
      <c r="E267" s="457"/>
      <c r="F267" s="31"/>
      <c r="G267" s="31"/>
      <c r="H267" s="31"/>
      <c r="I267" s="31"/>
      <c r="J267" s="31"/>
      <c r="K267" s="31"/>
      <c r="L267" s="31"/>
      <c r="M267" s="31"/>
      <c r="N267" s="31"/>
    </row>
    <row r="268" spans="2:14" collapsed="1" x14ac:dyDescent="0.2"/>
    <row r="269" spans="2:14" ht="15.75" x14ac:dyDescent="0.2">
      <c r="C269" s="111" t="s">
        <v>905</v>
      </c>
      <c r="D269" s="111"/>
      <c r="E269" s="111"/>
      <c r="F269" s="126"/>
      <c r="G269" s="113"/>
      <c r="H269" s="113"/>
      <c r="I269" s="113"/>
      <c r="J269" s="113"/>
      <c r="K269" s="113"/>
      <c r="L269" s="113"/>
      <c r="M269" s="113"/>
      <c r="N269" s="113"/>
    </row>
    <row r="270" spans="2:14" ht="15.75" x14ac:dyDescent="0.2">
      <c r="C270" s="454"/>
      <c r="D270" s="454"/>
      <c r="E270" s="454"/>
      <c r="F270" s="455"/>
      <c r="K270" s="31"/>
      <c r="L270" s="31"/>
    </row>
    <row r="271" spans="2:14" x14ac:dyDescent="0.2">
      <c r="C271" t="s">
        <v>813</v>
      </c>
      <c r="F271" s="455"/>
    </row>
    <row r="272" spans="2:14" x14ac:dyDescent="0.2">
      <c r="F272" s="455"/>
      <c r="H272" s="625" t="str">
        <f>IF(S294&gt;0,"DPMA / DPMQ","")</f>
        <v/>
      </c>
      <c r="I272" s="625"/>
      <c r="J272" s="625"/>
    </row>
    <row r="273" spans="2:20" ht="25.5" x14ac:dyDescent="0.2">
      <c r="C273" s="596" t="s">
        <v>800</v>
      </c>
      <c r="D273" s="626"/>
      <c r="E273" s="627"/>
      <c r="F273" s="5" t="s">
        <v>109</v>
      </c>
      <c r="G273" s="5" t="s">
        <v>919</v>
      </c>
      <c r="H273" s="61" t="str">
        <f>IF(S294&gt;0,"Public","DPMA / DPMQ")</f>
        <v>DPMA / DPMQ</v>
      </c>
      <c r="I273" s="61" t="str">
        <f>IF(S294&gt;0,"Private","")</f>
        <v/>
      </c>
      <c r="J273" s="61" t="str">
        <f>IF(S294&gt;0,"Weighted","DPMA / DPMQ")</f>
        <v>DPMA / DPMQ</v>
      </c>
      <c r="K273" s="61" t="s">
        <v>743</v>
      </c>
      <c r="L273" s="5" t="s">
        <v>418</v>
      </c>
      <c r="M273" s="5" t="s">
        <v>419</v>
      </c>
      <c r="N273" s="480"/>
      <c r="Q273" s="517" t="s">
        <v>418</v>
      </c>
      <c r="R273" s="517" t="s">
        <v>419</v>
      </c>
    </row>
    <row r="274" spans="2:20" x14ac:dyDescent="0.2">
      <c r="B274" s="52">
        <v>1</v>
      </c>
      <c r="C274" s="622" t="str">
        <f t="shared" ref="C274:C293" si="125">IF(SPANewFlag=1,INDEX(PBSScriptsNew,B274,1),MsgNotUsed)</f>
        <v>** NOT USED **</v>
      </c>
      <c r="D274" s="623"/>
      <c r="E274" s="624"/>
      <c r="F274" s="243"/>
      <c r="G274" s="57" t="str">
        <f>IF(AND(SPANewFlag=1,'3b. Impact - proposed (pub)'!G274&lt;&gt;""),'3b. Impact - proposed (pub)'!G274,"")</f>
        <v/>
      </c>
      <c r="H274" s="243"/>
      <c r="I274" s="243"/>
      <c r="J274" s="244">
        <f>IF(AND(ISBLANK(H274),COUNT(I274)=1),I274,IF(AND(COUNT(H274)=1,ISBLANK(I274)),H274,IF(COUNT(H274:I274)=2,H274*S274+I274*T274,0)))</f>
        <v>0</v>
      </c>
      <c r="K274" s="62" t="str">
        <f>IF(C274&lt;&gt;MsgNotUsed,'3b. Impact - proposed (pub)'!L274,"")</f>
        <v/>
      </c>
      <c r="L274" s="244">
        <f>IF(J274&gt;Q274,-Q274,-J274)</f>
        <v>0</v>
      </c>
      <c r="M274" s="244">
        <f>IF(J274&gt;R274,-R274,-J274)</f>
        <v>0</v>
      </c>
      <c r="Q274" s="516">
        <f t="shared" ref="Q274:Q293" si="126">IFERROR(INDEX(CoPayPBS,K274),0)</f>
        <v>0</v>
      </c>
      <c r="R274" s="516">
        <f t="shared" ref="R274:R293" si="127">IFERROR(INDEX(CoPayRPBS,K274),0)</f>
        <v>0</v>
      </c>
      <c r="S274" s="394" t="str">
        <f t="shared" ref="S274:S293" si="128">IFERROR(INDEX(ServiceSplitPublic,K274),"")</f>
        <v/>
      </c>
      <c r="T274" s="394" t="str">
        <f t="shared" ref="T274:T293" si="129">IFERROR(INDEX(ServiceSplitPrivate,K274),"")</f>
        <v/>
      </c>
    </row>
    <row r="275" spans="2:20" x14ac:dyDescent="0.2">
      <c r="B275" s="52">
        <v>2</v>
      </c>
      <c r="C275" s="622" t="str">
        <f t="shared" si="125"/>
        <v>** NOT USED **</v>
      </c>
      <c r="D275" s="623"/>
      <c r="E275" s="624"/>
      <c r="F275" s="243"/>
      <c r="G275" s="57" t="str">
        <f>IF(AND(SPANewFlag=1,'3b. Impact - proposed (pub)'!G275&lt;&gt;""),'3b. Impact - proposed (pub)'!G275,"")</f>
        <v/>
      </c>
      <c r="H275" s="243"/>
      <c r="I275" s="243"/>
      <c r="J275" s="244">
        <f t="shared" ref="J275:J293" si="130">IF(AND(ISBLANK(H275),COUNT(I275)=1),I275,IF(AND(COUNT(H275)=1,ISBLANK(I275)),H275,IF(COUNT(H275:I275)=2,H275*S275+I275*T275,0)))</f>
        <v>0</v>
      </c>
      <c r="K275" s="62" t="str">
        <f>IF(C275&lt;&gt;MsgNotUsed,'3b. Impact - proposed (pub)'!L275,"")</f>
        <v/>
      </c>
      <c r="L275" s="244">
        <f t="shared" ref="L275:L293" si="131">IF(J275&gt;Q275,-Q275,-J275)</f>
        <v>0</v>
      </c>
      <c r="M275" s="244">
        <f t="shared" ref="M275:M293" si="132">IF(J275&gt;R275,-R275,-J275)</f>
        <v>0</v>
      </c>
      <c r="Q275" s="516">
        <f t="shared" si="126"/>
        <v>0</v>
      </c>
      <c r="R275" s="516">
        <f t="shared" si="127"/>
        <v>0</v>
      </c>
      <c r="S275" s="394" t="str">
        <f t="shared" si="128"/>
        <v/>
      </c>
      <c r="T275" s="394" t="str">
        <f t="shared" si="129"/>
        <v/>
      </c>
    </row>
    <row r="276" spans="2:20" x14ac:dyDescent="0.2">
      <c r="B276" s="52">
        <v>3</v>
      </c>
      <c r="C276" s="622" t="str">
        <f t="shared" si="125"/>
        <v>** NOT USED **</v>
      </c>
      <c r="D276" s="623"/>
      <c r="E276" s="624"/>
      <c r="F276" s="243"/>
      <c r="G276" s="57" t="str">
        <f>IF(AND(SPANewFlag=1,'3b. Impact - proposed (pub)'!G276&lt;&gt;""),'3b. Impact - proposed (pub)'!G276,"")</f>
        <v/>
      </c>
      <c r="H276" s="243"/>
      <c r="I276" s="243"/>
      <c r="J276" s="244">
        <f t="shared" si="130"/>
        <v>0</v>
      </c>
      <c r="K276" s="62" t="str">
        <f>IF(C276&lt;&gt;MsgNotUsed,'3b. Impact - proposed (pub)'!L276,"")</f>
        <v/>
      </c>
      <c r="L276" s="244">
        <f t="shared" si="131"/>
        <v>0</v>
      </c>
      <c r="M276" s="244">
        <f t="shared" si="132"/>
        <v>0</v>
      </c>
      <c r="Q276" s="516">
        <f t="shared" si="126"/>
        <v>0</v>
      </c>
      <c r="R276" s="516">
        <f t="shared" si="127"/>
        <v>0</v>
      </c>
      <c r="S276" s="394" t="str">
        <f t="shared" si="128"/>
        <v/>
      </c>
      <c r="T276" s="394" t="str">
        <f t="shared" si="129"/>
        <v/>
      </c>
    </row>
    <row r="277" spans="2:20" x14ac:dyDescent="0.2">
      <c r="B277" s="52">
        <v>4</v>
      </c>
      <c r="C277" s="622" t="str">
        <f t="shared" si="125"/>
        <v>** NOT USED **</v>
      </c>
      <c r="D277" s="623"/>
      <c r="E277" s="624"/>
      <c r="F277" s="243"/>
      <c r="G277" s="57" t="str">
        <f>IF(AND(SPANewFlag=1,'3b. Impact - proposed (pub)'!G277&lt;&gt;""),'3b. Impact - proposed (pub)'!G277,"")</f>
        <v/>
      </c>
      <c r="H277" s="243"/>
      <c r="I277" s="243"/>
      <c r="J277" s="244">
        <f t="shared" si="130"/>
        <v>0</v>
      </c>
      <c r="K277" s="62" t="str">
        <f>IF(C277&lt;&gt;MsgNotUsed,'3b. Impact - proposed (pub)'!L277,"")</f>
        <v/>
      </c>
      <c r="L277" s="244">
        <f t="shared" si="131"/>
        <v>0</v>
      </c>
      <c r="M277" s="244">
        <f t="shared" si="132"/>
        <v>0</v>
      </c>
      <c r="Q277" s="516">
        <f t="shared" si="126"/>
        <v>0</v>
      </c>
      <c r="R277" s="516">
        <f t="shared" si="127"/>
        <v>0</v>
      </c>
      <c r="S277" s="394" t="str">
        <f t="shared" si="128"/>
        <v/>
      </c>
      <c r="T277" s="394" t="str">
        <f t="shared" si="129"/>
        <v/>
      </c>
    </row>
    <row r="278" spans="2:20" x14ac:dyDescent="0.2">
      <c r="B278" s="52">
        <v>5</v>
      </c>
      <c r="C278" s="622" t="str">
        <f t="shared" si="125"/>
        <v>** NOT USED **</v>
      </c>
      <c r="D278" s="623"/>
      <c r="E278" s="624"/>
      <c r="F278" s="243"/>
      <c r="G278" s="57" t="str">
        <f>IF(AND(SPANewFlag=1,'3b. Impact - proposed (pub)'!G278&lt;&gt;""),'3b. Impact - proposed (pub)'!G278,"")</f>
        <v/>
      </c>
      <c r="H278" s="243"/>
      <c r="I278" s="243"/>
      <c r="J278" s="244">
        <f t="shared" si="130"/>
        <v>0</v>
      </c>
      <c r="K278" s="62" t="str">
        <f>IF(C278&lt;&gt;MsgNotUsed,'3b. Impact - proposed (pub)'!L278,"")</f>
        <v/>
      </c>
      <c r="L278" s="244">
        <f t="shared" si="131"/>
        <v>0</v>
      </c>
      <c r="M278" s="244">
        <f t="shared" si="132"/>
        <v>0</v>
      </c>
      <c r="Q278" s="516">
        <f t="shared" si="126"/>
        <v>0</v>
      </c>
      <c r="R278" s="516">
        <f t="shared" si="127"/>
        <v>0</v>
      </c>
      <c r="S278" s="394" t="str">
        <f t="shared" si="128"/>
        <v/>
      </c>
      <c r="T278" s="394" t="str">
        <f t="shared" si="129"/>
        <v/>
      </c>
    </row>
    <row r="279" spans="2:20" x14ac:dyDescent="0.2">
      <c r="B279" s="52">
        <v>6</v>
      </c>
      <c r="C279" s="622" t="str">
        <f t="shared" si="125"/>
        <v>** NOT USED **</v>
      </c>
      <c r="D279" s="623"/>
      <c r="E279" s="624"/>
      <c r="F279" s="243"/>
      <c r="G279" s="57" t="str">
        <f>IF(AND(SPANewFlag=1,'3b. Impact - proposed (pub)'!G279&lt;&gt;""),'3b. Impact - proposed (pub)'!G279,"")</f>
        <v/>
      </c>
      <c r="H279" s="243"/>
      <c r="I279" s="243"/>
      <c r="J279" s="244">
        <f t="shared" si="130"/>
        <v>0</v>
      </c>
      <c r="K279" s="62" t="str">
        <f>IF(C279&lt;&gt;MsgNotUsed,'3b. Impact - proposed (pub)'!L279,"")</f>
        <v/>
      </c>
      <c r="L279" s="244">
        <f t="shared" si="131"/>
        <v>0</v>
      </c>
      <c r="M279" s="244">
        <f t="shared" si="132"/>
        <v>0</v>
      </c>
      <c r="Q279" s="516">
        <f t="shared" si="126"/>
        <v>0</v>
      </c>
      <c r="R279" s="516">
        <f t="shared" si="127"/>
        <v>0</v>
      </c>
      <c r="S279" s="394" t="str">
        <f t="shared" si="128"/>
        <v/>
      </c>
      <c r="T279" s="394" t="str">
        <f t="shared" si="129"/>
        <v/>
      </c>
    </row>
    <row r="280" spans="2:20" x14ac:dyDescent="0.2">
      <c r="B280" s="52">
        <v>7</v>
      </c>
      <c r="C280" s="622" t="str">
        <f t="shared" si="125"/>
        <v>** NOT USED **</v>
      </c>
      <c r="D280" s="623"/>
      <c r="E280" s="624"/>
      <c r="F280" s="243"/>
      <c r="G280" s="57" t="str">
        <f>IF(AND(SPANewFlag=1,'3b. Impact - proposed (pub)'!G280&lt;&gt;""),'3b. Impact - proposed (pub)'!G280,"")</f>
        <v/>
      </c>
      <c r="H280" s="243"/>
      <c r="I280" s="243"/>
      <c r="J280" s="244">
        <f t="shared" si="130"/>
        <v>0</v>
      </c>
      <c r="K280" s="62" t="str">
        <f>IF(C280&lt;&gt;MsgNotUsed,'3b. Impact - proposed (pub)'!L280,"")</f>
        <v/>
      </c>
      <c r="L280" s="244">
        <f t="shared" si="131"/>
        <v>0</v>
      </c>
      <c r="M280" s="244">
        <f t="shared" si="132"/>
        <v>0</v>
      </c>
      <c r="Q280" s="516">
        <f t="shared" si="126"/>
        <v>0</v>
      </c>
      <c r="R280" s="516">
        <f t="shared" si="127"/>
        <v>0</v>
      </c>
      <c r="S280" s="394" t="str">
        <f t="shared" si="128"/>
        <v/>
      </c>
      <c r="T280" s="394" t="str">
        <f t="shared" si="129"/>
        <v/>
      </c>
    </row>
    <row r="281" spans="2:20" x14ac:dyDescent="0.2">
      <c r="B281" s="52">
        <v>8</v>
      </c>
      <c r="C281" s="622" t="str">
        <f t="shared" si="125"/>
        <v>** NOT USED **</v>
      </c>
      <c r="D281" s="623"/>
      <c r="E281" s="624"/>
      <c r="F281" s="243"/>
      <c r="G281" s="57" t="str">
        <f>IF(AND(SPANewFlag=1,'3b. Impact - proposed (pub)'!G281&lt;&gt;""),'3b. Impact - proposed (pub)'!G281,"")</f>
        <v/>
      </c>
      <c r="H281" s="243"/>
      <c r="I281" s="243"/>
      <c r="J281" s="244">
        <f t="shared" si="130"/>
        <v>0</v>
      </c>
      <c r="K281" s="62" t="str">
        <f>IF(C281&lt;&gt;MsgNotUsed,'3b. Impact - proposed (pub)'!L281,"")</f>
        <v/>
      </c>
      <c r="L281" s="244">
        <f t="shared" si="131"/>
        <v>0</v>
      </c>
      <c r="M281" s="244">
        <f t="shared" si="132"/>
        <v>0</v>
      </c>
      <c r="Q281" s="516">
        <f t="shared" si="126"/>
        <v>0</v>
      </c>
      <c r="R281" s="516">
        <f t="shared" si="127"/>
        <v>0</v>
      </c>
      <c r="S281" s="394" t="str">
        <f t="shared" si="128"/>
        <v/>
      </c>
      <c r="T281" s="394" t="str">
        <f t="shared" si="129"/>
        <v/>
      </c>
    </row>
    <row r="282" spans="2:20" x14ac:dyDescent="0.2">
      <c r="B282" s="52">
        <v>9</v>
      </c>
      <c r="C282" s="622" t="str">
        <f t="shared" si="125"/>
        <v>** NOT USED **</v>
      </c>
      <c r="D282" s="623"/>
      <c r="E282" s="624"/>
      <c r="F282" s="243"/>
      <c r="G282" s="57" t="str">
        <f>IF(AND(SPANewFlag=1,'3b. Impact - proposed (pub)'!G282&lt;&gt;""),'3b. Impact - proposed (pub)'!G282,"")</f>
        <v/>
      </c>
      <c r="H282" s="243"/>
      <c r="I282" s="243"/>
      <c r="J282" s="244">
        <f t="shared" si="130"/>
        <v>0</v>
      </c>
      <c r="K282" s="62" t="str">
        <f>IF(C282&lt;&gt;MsgNotUsed,'3b. Impact - proposed (pub)'!L282,"")</f>
        <v/>
      </c>
      <c r="L282" s="244">
        <f t="shared" si="131"/>
        <v>0</v>
      </c>
      <c r="M282" s="244">
        <f t="shared" si="132"/>
        <v>0</v>
      </c>
      <c r="Q282" s="516">
        <f t="shared" si="126"/>
        <v>0</v>
      </c>
      <c r="R282" s="516">
        <f t="shared" si="127"/>
        <v>0</v>
      </c>
      <c r="S282" s="394" t="str">
        <f t="shared" si="128"/>
        <v/>
      </c>
      <c r="T282" s="394" t="str">
        <f t="shared" si="129"/>
        <v/>
      </c>
    </row>
    <row r="283" spans="2:20" x14ac:dyDescent="0.2">
      <c r="B283" s="52">
        <v>10</v>
      </c>
      <c r="C283" s="622" t="str">
        <f t="shared" si="125"/>
        <v>** NOT USED **</v>
      </c>
      <c r="D283" s="623"/>
      <c r="E283" s="624"/>
      <c r="F283" s="243"/>
      <c r="G283" s="57" t="str">
        <f>IF(AND(SPANewFlag=1,'3b. Impact - proposed (pub)'!G283&lt;&gt;""),'3b. Impact - proposed (pub)'!G283,"")</f>
        <v/>
      </c>
      <c r="H283" s="243"/>
      <c r="I283" s="243"/>
      <c r="J283" s="244">
        <f t="shared" si="130"/>
        <v>0</v>
      </c>
      <c r="K283" s="62" t="str">
        <f>IF(C283&lt;&gt;MsgNotUsed,'3b. Impact - proposed (pub)'!L283,"")</f>
        <v/>
      </c>
      <c r="L283" s="244">
        <f t="shared" si="131"/>
        <v>0</v>
      </c>
      <c r="M283" s="244">
        <f t="shared" si="132"/>
        <v>0</v>
      </c>
      <c r="Q283" s="516">
        <f t="shared" si="126"/>
        <v>0</v>
      </c>
      <c r="R283" s="516">
        <f t="shared" si="127"/>
        <v>0</v>
      </c>
      <c r="S283" s="394" t="str">
        <f t="shared" si="128"/>
        <v/>
      </c>
      <c r="T283" s="394" t="str">
        <f t="shared" si="129"/>
        <v/>
      </c>
    </row>
    <row r="284" spans="2:20" x14ac:dyDescent="0.2">
      <c r="B284" s="52">
        <v>11</v>
      </c>
      <c r="C284" s="622" t="str">
        <f t="shared" si="125"/>
        <v>** NOT USED **</v>
      </c>
      <c r="D284" s="623"/>
      <c r="E284" s="624"/>
      <c r="F284" s="243"/>
      <c r="G284" s="57" t="str">
        <f>IF(AND(SPANewFlag=1,'3b. Impact - proposed (pub)'!G284&lt;&gt;""),'3b. Impact - proposed (pub)'!G284,"")</f>
        <v/>
      </c>
      <c r="H284" s="243"/>
      <c r="I284" s="243"/>
      <c r="J284" s="244">
        <f t="shared" si="130"/>
        <v>0</v>
      </c>
      <c r="K284" s="62" t="str">
        <f>IF(C284&lt;&gt;MsgNotUsed,'3b. Impact - proposed (pub)'!L284,"")</f>
        <v/>
      </c>
      <c r="L284" s="244">
        <f t="shared" si="131"/>
        <v>0</v>
      </c>
      <c r="M284" s="244">
        <f t="shared" si="132"/>
        <v>0</v>
      </c>
      <c r="Q284" s="516">
        <f t="shared" si="126"/>
        <v>0</v>
      </c>
      <c r="R284" s="516">
        <f t="shared" si="127"/>
        <v>0</v>
      </c>
      <c r="S284" s="394" t="str">
        <f t="shared" si="128"/>
        <v/>
      </c>
      <c r="T284" s="394" t="str">
        <f t="shared" si="129"/>
        <v/>
      </c>
    </row>
    <row r="285" spans="2:20" x14ac:dyDescent="0.2">
      <c r="B285" s="52">
        <v>12</v>
      </c>
      <c r="C285" s="622" t="str">
        <f t="shared" si="125"/>
        <v>** NOT USED **</v>
      </c>
      <c r="D285" s="623"/>
      <c r="E285" s="624"/>
      <c r="F285" s="243"/>
      <c r="G285" s="57" t="str">
        <f>IF(AND(SPANewFlag=1,'3b. Impact - proposed (pub)'!G285&lt;&gt;""),'3b. Impact - proposed (pub)'!G285,"")</f>
        <v/>
      </c>
      <c r="H285" s="243"/>
      <c r="I285" s="243"/>
      <c r="J285" s="244">
        <f t="shared" si="130"/>
        <v>0</v>
      </c>
      <c r="K285" s="62" t="str">
        <f>IF(C285&lt;&gt;MsgNotUsed,'3b. Impact - proposed (pub)'!L285,"")</f>
        <v/>
      </c>
      <c r="L285" s="244">
        <f t="shared" si="131"/>
        <v>0</v>
      </c>
      <c r="M285" s="244">
        <f t="shared" si="132"/>
        <v>0</v>
      </c>
      <c r="Q285" s="516">
        <f t="shared" si="126"/>
        <v>0</v>
      </c>
      <c r="R285" s="516">
        <f t="shared" si="127"/>
        <v>0</v>
      </c>
      <c r="S285" s="394" t="str">
        <f t="shared" si="128"/>
        <v/>
      </c>
      <c r="T285" s="394" t="str">
        <f t="shared" si="129"/>
        <v/>
      </c>
    </row>
    <row r="286" spans="2:20" x14ac:dyDescent="0.2">
      <c r="B286" s="52">
        <v>13</v>
      </c>
      <c r="C286" s="622" t="str">
        <f t="shared" si="125"/>
        <v>** NOT USED **</v>
      </c>
      <c r="D286" s="623"/>
      <c r="E286" s="624"/>
      <c r="F286" s="243"/>
      <c r="G286" s="57" t="str">
        <f>IF(AND(SPANewFlag=1,'3b. Impact - proposed (pub)'!G286&lt;&gt;""),'3b. Impact - proposed (pub)'!G286,"")</f>
        <v/>
      </c>
      <c r="H286" s="243"/>
      <c r="I286" s="243"/>
      <c r="J286" s="244">
        <f t="shared" si="130"/>
        <v>0</v>
      </c>
      <c r="K286" s="62" t="str">
        <f>IF(C286&lt;&gt;MsgNotUsed,'3b. Impact - proposed (pub)'!L286,"")</f>
        <v/>
      </c>
      <c r="L286" s="244">
        <f t="shared" si="131"/>
        <v>0</v>
      </c>
      <c r="M286" s="244">
        <f t="shared" si="132"/>
        <v>0</v>
      </c>
      <c r="Q286" s="516">
        <f t="shared" si="126"/>
        <v>0</v>
      </c>
      <c r="R286" s="516">
        <f t="shared" si="127"/>
        <v>0</v>
      </c>
      <c r="S286" s="394" t="str">
        <f t="shared" si="128"/>
        <v/>
      </c>
      <c r="T286" s="394" t="str">
        <f t="shared" si="129"/>
        <v/>
      </c>
    </row>
    <row r="287" spans="2:20" x14ac:dyDescent="0.2">
      <c r="B287" s="52">
        <v>14</v>
      </c>
      <c r="C287" s="622" t="str">
        <f t="shared" si="125"/>
        <v>** NOT USED **</v>
      </c>
      <c r="D287" s="623"/>
      <c r="E287" s="624"/>
      <c r="F287" s="243"/>
      <c r="G287" s="57" t="str">
        <f>IF(AND(SPANewFlag=1,'3b. Impact - proposed (pub)'!G287&lt;&gt;""),'3b. Impact - proposed (pub)'!G287,"")</f>
        <v/>
      </c>
      <c r="H287" s="243"/>
      <c r="I287" s="243"/>
      <c r="J287" s="244">
        <f t="shared" si="130"/>
        <v>0</v>
      </c>
      <c r="K287" s="62" t="str">
        <f>IF(C287&lt;&gt;MsgNotUsed,'3b. Impact - proposed (pub)'!L287,"")</f>
        <v/>
      </c>
      <c r="L287" s="244">
        <f t="shared" si="131"/>
        <v>0</v>
      </c>
      <c r="M287" s="244">
        <f t="shared" si="132"/>
        <v>0</v>
      </c>
      <c r="Q287" s="516">
        <f t="shared" si="126"/>
        <v>0</v>
      </c>
      <c r="R287" s="516">
        <f t="shared" si="127"/>
        <v>0</v>
      </c>
      <c r="S287" s="394" t="str">
        <f t="shared" si="128"/>
        <v/>
      </c>
      <c r="T287" s="394" t="str">
        <f t="shared" si="129"/>
        <v/>
      </c>
    </row>
    <row r="288" spans="2:20" x14ac:dyDescent="0.2">
      <c r="B288" s="52">
        <v>15</v>
      </c>
      <c r="C288" s="622" t="str">
        <f t="shared" si="125"/>
        <v>** NOT USED **</v>
      </c>
      <c r="D288" s="623"/>
      <c r="E288" s="624"/>
      <c r="F288" s="243"/>
      <c r="G288" s="57" t="str">
        <f>IF(AND(SPANewFlag=1,'3b. Impact - proposed (pub)'!G288&lt;&gt;""),'3b. Impact - proposed (pub)'!G288,"")</f>
        <v/>
      </c>
      <c r="H288" s="243"/>
      <c r="I288" s="243"/>
      <c r="J288" s="244">
        <f t="shared" si="130"/>
        <v>0</v>
      </c>
      <c r="K288" s="62" t="str">
        <f>IF(C288&lt;&gt;MsgNotUsed,'3b. Impact - proposed (pub)'!L288,"")</f>
        <v/>
      </c>
      <c r="L288" s="244">
        <f t="shared" si="131"/>
        <v>0</v>
      </c>
      <c r="M288" s="244">
        <f t="shared" si="132"/>
        <v>0</v>
      </c>
      <c r="Q288" s="516">
        <f t="shared" si="126"/>
        <v>0</v>
      </c>
      <c r="R288" s="516">
        <f t="shared" si="127"/>
        <v>0</v>
      </c>
      <c r="S288" s="394" t="str">
        <f t="shared" si="128"/>
        <v/>
      </c>
      <c r="T288" s="394" t="str">
        <f t="shared" si="129"/>
        <v/>
      </c>
    </row>
    <row r="289" spans="2:20" x14ac:dyDescent="0.2">
      <c r="B289" s="52">
        <v>16</v>
      </c>
      <c r="C289" s="622" t="str">
        <f t="shared" si="125"/>
        <v>** NOT USED **</v>
      </c>
      <c r="D289" s="623"/>
      <c r="E289" s="624"/>
      <c r="F289" s="243"/>
      <c r="G289" s="57" t="str">
        <f>IF(AND(SPANewFlag=1,'3b. Impact - proposed (pub)'!G289&lt;&gt;""),'3b. Impact - proposed (pub)'!G289,"")</f>
        <v/>
      </c>
      <c r="H289" s="243"/>
      <c r="I289" s="243"/>
      <c r="J289" s="244">
        <f t="shared" si="130"/>
        <v>0</v>
      </c>
      <c r="K289" s="62" t="str">
        <f>IF(C289&lt;&gt;MsgNotUsed,'3b. Impact - proposed (pub)'!L289,"")</f>
        <v/>
      </c>
      <c r="L289" s="244">
        <f t="shared" si="131"/>
        <v>0</v>
      </c>
      <c r="M289" s="244">
        <f t="shared" si="132"/>
        <v>0</v>
      </c>
      <c r="Q289" s="516">
        <f t="shared" si="126"/>
        <v>0</v>
      </c>
      <c r="R289" s="516">
        <f t="shared" si="127"/>
        <v>0</v>
      </c>
      <c r="S289" s="394" t="str">
        <f t="shared" si="128"/>
        <v/>
      </c>
      <c r="T289" s="394" t="str">
        <f t="shared" si="129"/>
        <v/>
      </c>
    </row>
    <row r="290" spans="2:20" x14ac:dyDescent="0.2">
      <c r="B290" s="52">
        <v>17</v>
      </c>
      <c r="C290" s="622" t="str">
        <f t="shared" si="125"/>
        <v>** NOT USED **</v>
      </c>
      <c r="D290" s="623"/>
      <c r="E290" s="624"/>
      <c r="F290" s="243"/>
      <c r="G290" s="57" t="str">
        <f>IF(AND(SPANewFlag=1,'3b. Impact - proposed (pub)'!G290&lt;&gt;""),'3b. Impact - proposed (pub)'!G290,"")</f>
        <v/>
      </c>
      <c r="H290" s="243"/>
      <c r="I290" s="243"/>
      <c r="J290" s="244">
        <f t="shared" si="130"/>
        <v>0</v>
      </c>
      <c r="K290" s="62" t="str">
        <f>IF(C290&lt;&gt;MsgNotUsed,'3b. Impact - proposed (pub)'!L290,"")</f>
        <v/>
      </c>
      <c r="L290" s="244">
        <f t="shared" si="131"/>
        <v>0</v>
      </c>
      <c r="M290" s="244">
        <f t="shared" si="132"/>
        <v>0</v>
      </c>
      <c r="Q290" s="516">
        <f t="shared" si="126"/>
        <v>0</v>
      </c>
      <c r="R290" s="516">
        <f t="shared" si="127"/>
        <v>0</v>
      </c>
      <c r="S290" s="394" t="str">
        <f t="shared" si="128"/>
        <v/>
      </c>
      <c r="T290" s="394" t="str">
        <f t="shared" si="129"/>
        <v/>
      </c>
    </row>
    <row r="291" spans="2:20" x14ac:dyDescent="0.2">
      <c r="B291" s="52">
        <v>18</v>
      </c>
      <c r="C291" s="622" t="str">
        <f t="shared" si="125"/>
        <v>** NOT USED **</v>
      </c>
      <c r="D291" s="623"/>
      <c r="E291" s="624"/>
      <c r="F291" s="243"/>
      <c r="G291" s="57" t="str">
        <f>IF(AND(SPANewFlag=1,'3b. Impact - proposed (pub)'!G291&lt;&gt;""),'3b. Impact - proposed (pub)'!G291,"")</f>
        <v/>
      </c>
      <c r="H291" s="243"/>
      <c r="I291" s="243"/>
      <c r="J291" s="244">
        <f t="shared" si="130"/>
        <v>0</v>
      </c>
      <c r="K291" s="62" t="str">
        <f>IF(C291&lt;&gt;MsgNotUsed,'3b. Impact - proposed (pub)'!L291,"")</f>
        <v/>
      </c>
      <c r="L291" s="244">
        <f t="shared" si="131"/>
        <v>0</v>
      </c>
      <c r="M291" s="244">
        <f t="shared" si="132"/>
        <v>0</v>
      </c>
      <c r="Q291" s="516">
        <f t="shared" si="126"/>
        <v>0</v>
      </c>
      <c r="R291" s="516">
        <f t="shared" si="127"/>
        <v>0</v>
      </c>
      <c r="S291" s="394" t="str">
        <f t="shared" si="128"/>
        <v/>
      </c>
      <c r="T291" s="394" t="str">
        <f t="shared" si="129"/>
        <v/>
      </c>
    </row>
    <row r="292" spans="2:20" x14ac:dyDescent="0.2">
      <c r="B292" s="52">
        <v>19</v>
      </c>
      <c r="C292" s="622" t="str">
        <f t="shared" si="125"/>
        <v>** NOT USED **</v>
      </c>
      <c r="D292" s="623"/>
      <c r="E292" s="624"/>
      <c r="F292" s="243"/>
      <c r="G292" s="57" t="str">
        <f>IF(AND(SPANewFlag=1,'3b. Impact - proposed (pub)'!G292&lt;&gt;""),'3b. Impact - proposed (pub)'!G292,"")</f>
        <v/>
      </c>
      <c r="H292" s="243"/>
      <c r="I292" s="243"/>
      <c r="J292" s="244">
        <f t="shared" si="130"/>
        <v>0</v>
      </c>
      <c r="K292" s="62" t="str">
        <f>IF(C292&lt;&gt;MsgNotUsed,'3b. Impact - proposed (pub)'!L292,"")</f>
        <v/>
      </c>
      <c r="L292" s="244">
        <f t="shared" si="131"/>
        <v>0</v>
      </c>
      <c r="M292" s="244">
        <f t="shared" si="132"/>
        <v>0</v>
      </c>
      <c r="Q292" s="516">
        <f t="shared" si="126"/>
        <v>0</v>
      </c>
      <c r="R292" s="516">
        <f t="shared" si="127"/>
        <v>0</v>
      </c>
      <c r="S292" s="394" t="str">
        <f t="shared" si="128"/>
        <v/>
      </c>
      <c r="T292" s="394" t="str">
        <f t="shared" si="129"/>
        <v/>
      </c>
    </row>
    <row r="293" spans="2:20" x14ac:dyDescent="0.2">
      <c r="B293" s="52">
        <v>20</v>
      </c>
      <c r="C293" s="622" t="str">
        <f t="shared" si="125"/>
        <v>** NOT USED **</v>
      </c>
      <c r="D293" s="623"/>
      <c r="E293" s="624"/>
      <c r="F293" s="243"/>
      <c r="G293" s="57" t="str">
        <f>IF(AND(SPANewFlag=1,'3b. Impact - proposed (pub)'!G293&lt;&gt;""),'3b. Impact - proposed (pub)'!G293,"")</f>
        <v/>
      </c>
      <c r="H293" s="243"/>
      <c r="I293" s="243"/>
      <c r="J293" s="244">
        <f t="shared" si="130"/>
        <v>0</v>
      </c>
      <c r="K293" s="62" t="str">
        <f>IF(C293&lt;&gt;MsgNotUsed,'3b. Impact - proposed (pub)'!L293,"")</f>
        <v/>
      </c>
      <c r="L293" s="244">
        <f t="shared" si="131"/>
        <v>0</v>
      </c>
      <c r="M293" s="244">
        <f t="shared" si="132"/>
        <v>0</v>
      </c>
      <c r="Q293" s="516">
        <f t="shared" si="126"/>
        <v>0</v>
      </c>
      <c r="R293" s="516">
        <f t="shared" si="127"/>
        <v>0</v>
      </c>
      <c r="S293" s="394" t="str">
        <f t="shared" si="128"/>
        <v/>
      </c>
      <c r="T293" s="394" t="str">
        <f t="shared" si="129"/>
        <v/>
      </c>
    </row>
    <row r="294" spans="2:20" x14ac:dyDescent="0.2">
      <c r="S294" s="518">
        <f>SUM(S274:S293)</f>
        <v>0</v>
      </c>
    </row>
    <row r="295" spans="2:20" x14ac:dyDescent="0.2">
      <c r="F295" s="455"/>
    </row>
    <row r="296" spans="2:20" ht="15.75" x14ac:dyDescent="0.2">
      <c r="C296" s="111" t="s">
        <v>851</v>
      </c>
      <c r="D296" s="111"/>
      <c r="E296" s="111"/>
      <c r="F296" s="137"/>
      <c r="G296" s="112"/>
      <c r="H296" s="112"/>
      <c r="I296" s="112"/>
      <c r="J296" s="112"/>
      <c r="K296" s="112"/>
      <c r="L296" s="113"/>
      <c r="M296" s="113"/>
      <c r="N296" s="113"/>
    </row>
    <row r="297" spans="2:20" x14ac:dyDescent="0.2">
      <c r="C297" s="484"/>
      <c r="D297" s="484"/>
      <c r="E297" s="484"/>
      <c r="F297" s="484"/>
      <c r="G297" s="484"/>
      <c r="H297" s="484"/>
      <c r="I297" s="484"/>
      <c r="J297" s="484"/>
      <c r="K297" s="484"/>
      <c r="L297" s="484"/>
      <c r="M297" s="484"/>
      <c r="N297" s="484"/>
    </row>
    <row r="298" spans="2:20" x14ac:dyDescent="0.2">
      <c r="C298" s="484" t="s">
        <v>861</v>
      </c>
      <c r="D298" s="484"/>
      <c r="E298" s="484"/>
      <c r="F298" s="484"/>
      <c r="G298" s="484"/>
      <c r="H298" s="484"/>
      <c r="I298" s="484"/>
      <c r="J298" s="484"/>
      <c r="K298" s="484"/>
      <c r="L298" s="484"/>
      <c r="M298" s="484"/>
      <c r="N298" s="484"/>
    </row>
  </sheetData>
  <mergeCells count="63">
    <mergeCell ref="C293:E293"/>
    <mergeCell ref="C284:E284"/>
    <mergeCell ref="C285:E285"/>
    <mergeCell ref="C286:E286"/>
    <mergeCell ref="C287:E287"/>
    <mergeCell ref="C288:E288"/>
    <mergeCell ref="C289:E289"/>
    <mergeCell ref="C290:E290"/>
    <mergeCell ref="C291:E291"/>
    <mergeCell ref="C292:E292"/>
    <mergeCell ref="K140:M140"/>
    <mergeCell ref="K32:M32"/>
    <mergeCell ref="K44:M44"/>
    <mergeCell ref="K56:M56"/>
    <mergeCell ref="K68:M68"/>
    <mergeCell ref="K80:M80"/>
    <mergeCell ref="L88:M88"/>
    <mergeCell ref="L100:M100"/>
    <mergeCell ref="L112:M112"/>
    <mergeCell ref="L124:M124"/>
    <mergeCell ref="L136:M136"/>
    <mergeCell ref="K92:M92"/>
    <mergeCell ref="K104:M104"/>
    <mergeCell ref="K116:M116"/>
    <mergeCell ref="K128:M128"/>
    <mergeCell ref="C276:E276"/>
    <mergeCell ref="C274:E274"/>
    <mergeCell ref="C275:E275"/>
    <mergeCell ref="C273:E273"/>
    <mergeCell ref="H272:J272"/>
    <mergeCell ref="L1:N1"/>
    <mergeCell ref="K152:M152"/>
    <mergeCell ref="K164:M164"/>
    <mergeCell ref="K176:M176"/>
    <mergeCell ref="C283:E283"/>
    <mergeCell ref="C277:E277"/>
    <mergeCell ref="C278:E278"/>
    <mergeCell ref="C279:E279"/>
    <mergeCell ref="C280:E280"/>
    <mergeCell ref="C281:E281"/>
    <mergeCell ref="C282:E282"/>
    <mergeCell ref="K248:M248"/>
    <mergeCell ref="K260:M260"/>
    <mergeCell ref="K188:M188"/>
    <mergeCell ref="K200:M200"/>
    <mergeCell ref="K212:M212"/>
    <mergeCell ref="L28:M28"/>
    <mergeCell ref="L40:M40"/>
    <mergeCell ref="L52:M52"/>
    <mergeCell ref="L64:M64"/>
    <mergeCell ref="L76:M76"/>
    <mergeCell ref="L148:M148"/>
    <mergeCell ref="L160:M160"/>
    <mergeCell ref="L172:M172"/>
    <mergeCell ref="L184:M184"/>
    <mergeCell ref="L196:M196"/>
    <mergeCell ref="L208:M208"/>
    <mergeCell ref="L220:M220"/>
    <mergeCell ref="L232:M232"/>
    <mergeCell ref="L244:M244"/>
    <mergeCell ref="L256:M256"/>
    <mergeCell ref="K224:M224"/>
    <mergeCell ref="K236:M236"/>
  </mergeCells>
  <conditionalFormatting sqref="F274:I293">
    <cfRule type="expression" dxfId="135" priority="2">
      <formula>$C274=MsgNotUsed</formula>
    </cfRule>
  </conditionalFormatting>
  <conditionalFormatting sqref="H272:J272">
    <cfRule type="notContainsBlanks" dxfId="134" priority="48">
      <formula>LEN(TRIM(H272))&gt;0</formula>
    </cfRule>
  </conditionalFormatting>
  <conditionalFormatting sqref="I273">
    <cfRule type="expression" dxfId="133" priority="47">
      <formula>$S$294=0</formula>
    </cfRule>
  </conditionalFormatting>
  <conditionalFormatting sqref="I274:I293">
    <cfRule type="expression" dxfId="132" priority="1">
      <formula>$S274=0</formula>
    </cfRule>
    <cfRule type="expression" dxfId="131" priority="160">
      <formula>SplitPPMarket&lt;&gt;"Y"</formula>
    </cfRule>
  </conditionalFormatting>
  <conditionalFormatting sqref="K32:N32">
    <cfRule type="notContainsBlanks" dxfId="130" priority="90">
      <formula>LEN(TRIM(K32))&gt;0</formula>
    </cfRule>
  </conditionalFormatting>
  <conditionalFormatting sqref="K44:N44">
    <cfRule type="notContainsBlanks" dxfId="129" priority="21">
      <formula>LEN(TRIM(K44))&gt;0</formula>
    </cfRule>
  </conditionalFormatting>
  <conditionalFormatting sqref="K56:N56">
    <cfRule type="notContainsBlanks" dxfId="128" priority="20">
      <formula>LEN(TRIM(K56))&gt;0</formula>
    </cfRule>
  </conditionalFormatting>
  <conditionalFormatting sqref="K68:N68">
    <cfRule type="notContainsBlanks" dxfId="127" priority="19">
      <formula>LEN(TRIM(K68))&gt;0</formula>
    </cfRule>
  </conditionalFormatting>
  <conditionalFormatting sqref="K80:N80">
    <cfRule type="notContainsBlanks" dxfId="126" priority="18">
      <formula>LEN(TRIM(K80))&gt;0</formula>
    </cfRule>
  </conditionalFormatting>
  <conditionalFormatting sqref="K92:N92">
    <cfRule type="notContainsBlanks" dxfId="125" priority="17">
      <formula>LEN(TRIM(K92))&gt;0</formula>
    </cfRule>
  </conditionalFormatting>
  <conditionalFormatting sqref="K104:N104">
    <cfRule type="notContainsBlanks" dxfId="124" priority="16">
      <formula>LEN(TRIM(K104))&gt;0</formula>
    </cfRule>
  </conditionalFormatting>
  <conditionalFormatting sqref="K116:N116">
    <cfRule type="notContainsBlanks" dxfId="123" priority="15">
      <formula>LEN(TRIM(K116))&gt;0</formula>
    </cfRule>
  </conditionalFormatting>
  <conditionalFormatting sqref="K128:N128">
    <cfRule type="notContainsBlanks" dxfId="122" priority="14">
      <formula>LEN(TRIM(K128))&gt;0</formula>
    </cfRule>
  </conditionalFormatting>
  <conditionalFormatting sqref="K140:N140">
    <cfRule type="notContainsBlanks" dxfId="121" priority="13">
      <formula>LEN(TRIM(K140))&gt;0</formula>
    </cfRule>
  </conditionalFormatting>
  <conditionalFormatting sqref="K152:N152">
    <cfRule type="notContainsBlanks" dxfId="120" priority="12">
      <formula>LEN(TRIM(K152))&gt;0</formula>
    </cfRule>
  </conditionalFormatting>
  <conditionalFormatting sqref="K164:N164">
    <cfRule type="notContainsBlanks" dxfId="119" priority="11">
      <formula>LEN(TRIM(K164))&gt;0</formula>
    </cfRule>
  </conditionalFormatting>
  <conditionalFormatting sqref="K176:N176">
    <cfRule type="notContainsBlanks" dxfId="118" priority="10">
      <formula>LEN(TRIM(K176))&gt;0</formula>
    </cfRule>
  </conditionalFormatting>
  <conditionalFormatting sqref="K188:N188">
    <cfRule type="notContainsBlanks" dxfId="117" priority="9">
      <formula>LEN(TRIM(K188))&gt;0</formula>
    </cfRule>
  </conditionalFormatting>
  <conditionalFormatting sqref="K200:N200">
    <cfRule type="notContainsBlanks" dxfId="116" priority="8">
      <formula>LEN(TRIM(K200))&gt;0</formula>
    </cfRule>
  </conditionalFormatting>
  <conditionalFormatting sqref="K212:N212">
    <cfRule type="notContainsBlanks" dxfId="115" priority="7">
      <formula>LEN(TRIM(K212))&gt;0</formula>
    </cfRule>
  </conditionalFormatting>
  <conditionalFormatting sqref="K224:N224">
    <cfRule type="notContainsBlanks" dxfId="114" priority="6">
      <formula>LEN(TRIM(K224))&gt;0</formula>
    </cfRule>
  </conditionalFormatting>
  <conditionalFormatting sqref="K236:N236">
    <cfRule type="notContainsBlanks" dxfId="113" priority="5">
      <formula>LEN(TRIM(K236))&gt;0</formula>
    </cfRule>
  </conditionalFormatting>
  <conditionalFormatting sqref="K248:N248">
    <cfRule type="notContainsBlanks" dxfId="112" priority="4">
      <formula>LEN(TRIM(K248))&gt;0</formula>
    </cfRule>
  </conditionalFormatting>
  <conditionalFormatting sqref="K260:N260">
    <cfRule type="notContainsBlanks" dxfId="111" priority="3">
      <formula>LEN(TRIM(K260))&gt;0</formula>
    </cfRule>
  </conditionalFormatting>
  <dataValidations count="1">
    <dataValidation allowBlank="1" showErrorMessage="1" sqref="D139:I141 D36:I38 D120:I122 D127:I129 D48:I50 D31:I34 D60:I62 D15:I17 D115:I117 D67:I69 D72:I74 D79:I81 D84:I86 D91:I93 D108:I110 D96:I98 D103:I105 D264:I266 D55:I57 D43:I45 D24:I24 F58:I58 D132:I134 D144:I146 D151:I153 D156:I158 D163:I165 D168:I170 D175:I177 D180:I182 D187:I189 D192:I194 D199:I201 D204:I206 D211:I213 D216:I218 D223:I225 D228:I230 D235:I237 D240:I242 D247:I249 D252:I254 D259:I261 D20:I22 J58:N62" xr:uid="{00000000-0002-0000-0900-000000000000}"/>
  </dataValidations>
  <pageMargins left="0.11811023622047245" right="0.11811023622047245" top="0.19685039370078741" bottom="0.15748031496062992" header="0.31496062992125984" footer="0.31496062992125984"/>
  <pageSetup paperSize="9" scale="47" orientation="landscape" horizontalDpi="300" verticalDpi="300" r:id="rId1"/>
  <headerFooter>
    <oddHeader>&amp;C&amp;"Calibri"&amp;12&amp;KFF0000 OFFICIAL&amp;1#_x000D_</oddHeader>
    <oddFooter>&amp;C_x000D_&amp;1#&amp;"Calibri"&amp;12&amp;KFF0000 OFFICIAL</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4">
    <tabColor theme="7"/>
    <pageSetUpPr fitToPage="1"/>
  </sheetPr>
  <dimension ref="A1:AQ430"/>
  <sheetViews>
    <sheetView showGridLines="0" zoomScaleNormal="100" workbookViewId="0">
      <pane ySplit="3" topLeftCell="A4" activePane="bottomLeft" state="frozen"/>
      <selection activeCell="B7" sqref="B7:G7"/>
      <selection pane="bottomLeft" activeCell="A4" sqref="A4"/>
    </sheetView>
  </sheetViews>
  <sheetFormatPr defaultRowHeight="12.75" customHeight="1" outlineLevelRow="1" x14ac:dyDescent="0.2"/>
  <cols>
    <col min="1" max="1" width="3.7109375" customWidth="1"/>
    <col min="2" max="3" width="3.7109375" hidden="1" customWidth="1"/>
    <col min="4" max="4" width="50.7109375" customWidth="1"/>
    <col min="5" max="23" width="15.7109375" customWidth="1"/>
    <col min="24" max="24" width="3.7109375" customWidth="1"/>
    <col min="25" max="25" width="10.7109375" hidden="1" customWidth="1"/>
    <col min="26" max="27" width="3.7109375" hidden="1" customWidth="1"/>
    <col min="28" max="28" width="50.7109375" hidden="1" customWidth="1"/>
    <col min="29" max="43" width="10.7109375" hidden="1" customWidth="1"/>
  </cols>
  <sheetData>
    <row r="1" spans="1:43" ht="23.25" x14ac:dyDescent="0.2">
      <c r="A1" s="276">
        <f>IF((SUM(E39:J39)&lt;&gt;0),2,0)</f>
        <v>0</v>
      </c>
      <c r="B1" s="272"/>
      <c r="C1" s="273"/>
      <c r="D1" s="278" t="s">
        <v>636</v>
      </c>
      <c r="E1" s="273"/>
      <c r="F1" s="273"/>
      <c r="G1" s="273"/>
      <c r="H1" s="638" t="str">
        <f>ScriptSource &amp; IF(AND(C153&lt;&gt;0,C125&lt;&gt;0),ScriptSource &amp; " - additional market-share &amp; epidemiology based scripts",IF(C153&lt;&gt;0," - additional market-share based scripts",IF(C125&lt;&gt;0," - additional epidemiology based scripts"," - no additions")))</f>
        <v xml:space="preserve"> - no additions</v>
      </c>
      <c r="I1" s="638"/>
      <c r="J1" s="638"/>
      <c r="K1" s="638"/>
      <c r="L1" s="638"/>
      <c r="M1" s="638"/>
      <c r="N1" s="638"/>
      <c r="O1" s="273"/>
      <c r="P1" s="273"/>
      <c r="Q1" s="273"/>
      <c r="R1" s="273"/>
      <c r="S1" s="273"/>
      <c r="T1" s="273"/>
      <c r="U1" s="273"/>
      <c r="V1" s="273"/>
      <c r="W1" s="273"/>
      <c r="X1" s="273"/>
      <c r="Y1" s="273"/>
      <c r="Z1" s="273"/>
      <c r="AA1" s="273"/>
      <c r="AB1" s="273"/>
      <c r="AC1" s="273"/>
      <c r="AD1" s="273"/>
      <c r="AE1" s="273"/>
      <c r="AF1" s="273"/>
      <c r="AG1" s="273"/>
      <c r="AH1" s="273"/>
      <c r="AI1" s="273"/>
      <c r="AJ1" s="273"/>
      <c r="AK1" s="273"/>
      <c r="AL1" s="273"/>
      <c r="AM1" s="273"/>
      <c r="AN1" s="273"/>
      <c r="AO1" s="273"/>
      <c r="AP1" s="273"/>
      <c r="AQ1" s="273"/>
    </row>
    <row r="2" spans="1:43" ht="15.75" x14ac:dyDescent="0.2">
      <c r="A2" s="273"/>
      <c r="B2" s="273"/>
      <c r="C2" s="273"/>
      <c r="D2" s="275" t="str">
        <f>CONCATENATE("Name of medicine: ", MedicineBrand)</f>
        <v xml:space="preserve">Name of medicine: </v>
      </c>
      <c r="E2" s="273"/>
      <c r="F2" s="273"/>
      <c r="G2" s="273"/>
      <c r="H2" s="273"/>
      <c r="I2" s="275"/>
      <c r="J2" s="273"/>
      <c r="K2" s="273"/>
      <c r="L2" s="273"/>
      <c r="M2" s="273"/>
      <c r="N2" s="273"/>
      <c r="O2" s="273"/>
      <c r="P2" s="273"/>
      <c r="Q2" s="273"/>
      <c r="R2" s="273"/>
      <c r="S2" s="273"/>
      <c r="T2" s="273"/>
      <c r="U2" s="273"/>
      <c r="V2" s="273"/>
      <c r="W2" s="273"/>
      <c r="X2" s="273"/>
      <c r="Y2" s="273"/>
      <c r="Z2" s="273"/>
      <c r="AA2" s="273"/>
      <c r="AB2" s="273"/>
      <c r="AC2" s="273"/>
      <c r="AD2" s="273"/>
      <c r="AE2" s="273"/>
      <c r="AF2" s="273"/>
      <c r="AG2" s="273"/>
      <c r="AH2" s="273"/>
      <c r="AI2" s="273"/>
      <c r="AJ2" s="273"/>
      <c r="AK2" s="273"/>
      <c r="AL2" s="273"/>
      <c r="AM2" s="273"/>
      <c r="AN2" s="273"/>
      <c r="AO2" s="273"/>
      <c r="AP2" s="273"/>
      <c r="AQ2" s="273"/>
    </row>
    <row r="3" spans="1:43" ht="15.75" x14ac:dyDescent="0.2">
      <c r="A3" s="273"/>
      <c r="B3" s="273"/>
      <c r="C3" s="273"/>
      <c r="D3" s="275" t="str">
        <f>CONCATENATE("Indication: ", Indication)</f>
        <v xml:space="preserve">Indication: </v>
      </c>
      <c r="E3" s="273"/>
      <c r="F3" s="273"/>
      <c r="G3" s="273"/>
      <c r="H3" s="273"/>
      <c r="I3" s="273"/>
      <c r="J3" s="273"/>
      <c r="K3" s="273"/>
      <c r="L3" s="273"/>
      <c r="M3" s="273"/>
      <c r="N3" s="273"/>
      <c r="O3" s="273"/>
      <c r="P3" s="273"/>
      <c r="Q3" s="273"/>
      <c r="R3" s="273"/>
      <c r="S3" s="273"/>
      <c r="T3" s="273"/>
      <c r="U3" s="273"/>
      <c r="V3" s="273"/>
      <c r="W3" s="273"/>
      <c r="X3" s="273"/>
      <c r="Y3" s="273"/>
      <c r="Z3" s="273"/>
      <c r="AA3" s="273"/>
      <c r="AB3" s="273"/>
      <c r="AC3" s="273"/>
      <c r="AD3" s="273"/>
      <c r="AE3" s="273"/>
      <c r="AF3" s="273"/>
      <c r="AG3" s="273"/>
      <c r="AH3" s="273"/>
      <c r="AI3" s="273"/>
      <c r="AJ3" s="273"/>
      <c r="AK3" s="273"/>
      <c r="AL3" s="273"/>
      <c r="AM3" s="273"/>
      <c r="AN3" s="273"/>
      <c r="AO3" s="273"/>
      <c r="AP3" s="273"/>
      <c r="AQ3" s="273"/>
    </row>
    <row r="4" spans="1:43" x14ac:dyDescent="0.2">
      <c r="D4" s="450"/>
    </row>
    <row r="5" spans="1:43" ht="15.75" x14ac:dyDescent="0.2">
      <c r="A5" s="110"/>
      <c r="B5" s="110"/>
      <c r="C5" s="110"/>
      <c r="D5" s="111" t="s">
        <v>2</v>
      </c>
      <c r="E5" s="21"/>
      <c r="F5" s="21"/>
      <c r="G5" s="21"/>
      <c r="H5" s="21"/>
      <c r="I5" s="21"/>
      <c r="J5" s="21"/>
      <c r="K5" s="21"/>
      <c r="L5" s="21"/>
      <c r="M5" s="21"/>
      <c r="N5" s="21"/>
      <c r="O5" s="21"/>
      <c r="P5" s="21"/>
      <c r="Q5" s="21"/>
      <c r="R5" s="21"/>
      <c r="S5" s="21"/>
      <c r="T5" s="21"/>
      <c r="U5" s="21"/>
      <c r="V5" s="21"/>
      <c r="W5" s="21"/>
      <c r="X5" s="21"/>
      <c r="Y5" s="21"/>
      <c r="Z5" s="21"/>
      <c r="AA5" s="21"/>
      <c r="AB5" s="21"/>
      <c r="AC5" s="21"/>
      <c r="AD5" s="21"/>
      <c r="AE5" s="21"/>
      <c r="AF5" s="21"/>
      <c r="AG5" s="21"/>
      <c r="AH5" s="21"/>
      <c r="AI5" s="21"/>
      <c r="AJ5" s="21"/>
      <c r="AK5" s="21"/>
      <c r="AL5" s="21"/>
      <c r="AM5" s="21"/>
      <c r="AN5" s="21"/>
      <c r="AO5" s="21"/>
      <c r="AP5" s="21"/>
      <c r="AQ5" s="21"/>
    </row>
    <row r="6" spans="1:43" ht="14.25" x14ac:dyDescent="0.2">
      <c r="D6" s="449"/>
    </row>
    <row r="7" spans="1:43" x14ac:dyDescent="0.2">
      <c r="D7" t="s">
        <v>816</v>
      </c>
      <c r="E7" s="455"/>
      <c r="F7" s="455"/>
      <c r="G7" s="455"/>
      <c r="H7" s="455"/>
      <c r="I7" s="455"/>
      <c r="J7" s="455"/>
    </row>
    <row r="8" spans="1:43" x14ac:dyDescent="0.2">
      <c r="D8" t="s">
        <v>915</v>
      </c>
      <c r="E8" s="455"/>
      <c r="F8" s="455"/>
      <c r="G8" s="455"/>
      <c r="H8" s="455"/>
      <c r="I8" s="455"/>
      <c r="J8" s="455"/>
    </row>
    <row r="9" spans="1:43" x14ac:dyDescent="0.2">
      <c r="E9" s="455"/>
      <c r="F9" s="455"/>
      <c r="G9" s="455"/>
      <c r="H9" s="455"/>
      <c r="I9" s="455"/>
      <c r="J9" s="455"/>
    </row>
    <row r="10" spans="1:43" ht="15.75" x14ac:dyDescent="0.2">
      <c r="D10" s="111" t="s">
        <v>849</v>
      </c>
      <c r="E10" s="21"/>
      <c r="F10" s="21"/>
      <c r="G10" s="21"/>
      <c r="H10" s="72"/>
      <c r="I10" s="72"/>
      <c r="J10" s="72"/>
      <c r="K10" s="21"/>
      <c r="L10" s="21"/>
      <c r="M10" s="21"/>
      <c r="N10" s="21"/>
      <c r="O10" s="21"/>
      <c r="P10" s="21"/>
      <c r="Q10" s="21"/>
      <c r="R10" s="21"/>
      <c r="S10" s="21"/>
      <c r="T10" s="21"/>
      <c r="U10" s="21"/>
      <c r="V10" s="21"/>
      <c r="W10" s="21"/>
      <c r="X10" s="21"/>
      <c r="Y10" s="21"/>
      <c r="Z10" s="21"/>
      <c r="AA10" s="21"/>
      <c r="AB10" s="21"/>
      <c r="AC10" s="21"/>
      <c r="AD10" s="21"/>
      <c r="AE10" s="21"/>
      <c r="AF10" s="21"/>
      <c r="AG10" s="21"/>
      <c r="AH10" s="21"/>
      <c r="AI10" s="21"/>
      <c r="AJ10" s="21"/>
      <c r="AK10" s="21"/>
      <c r="AL10" s="21"/>
      <c r="AM10" s="21"/>
      <c r="AN10" s="21"/>
      <c r="AO10" s="21"/>
      <c r="AP10" s="21"/>
      <c r="AQ10" s="21"/>
    </row>
    <row r="11" spans="1:43" x14ac:dyDescent="0.2"/>
    <row r="12" spans="1:43" x14ac:dyDescent="0.2">
      <c r="D12" s="172" t="s">
        <v>817</v>
      </c>
      <c r="I12" s="542" t="str">
        <f>IF(SUM(B16:B35) &gt; 0,MsgError &amp; VLOOKUP("DupScripts",ErrorMessages,2,FALSE),"")</f>
        <v/>
      </c>
      <c r="J12" s="542"/>
      <c r="K12" s="542"/>
      <c r="L12" s="542"/>
      <c r="M12" s="542"/>
      <c r="N12" s="542"/>
      <c r="O12" s="542"/>
    </row>
    <row r="13" spans="1:43" x14ac:dyDescent="0.2"/>
    <row r="14" spans="1:43" x14ac:dyDescent="0.2">
      <c r="D14" s="172"/>
      <c r="E14" s="596" t="s">
        <v>214</v>
      </c>
      <c r="F14" s="607"/>
      <c r="G14" s="607"/>
      <c r="H14" s="607"/>
      <c r="I14" s="607"/>
      <c r="J14" s="608"/>
      <c r="L14" s="596" t="s">
        <v>215</v>
      </c>
      <c r="M14" s="607"/>
      <c r="N14" s="607"/>
      <c r="O14" s="607"/>
      <c r="P14" s="607"/>
      <c r="Q14" s="608"/>
      <c r="Y14" s="630" t="s">
        <v>761</v>
      </c>
    </row>
    <row r="15" spans="1:43" x14ac:dyDescent="0.2">
      <c r="D15" s="60" t="s">
        <v>799</v>
      </c>
      <c r="E15" s="74">
        <f>FirstYear</f>
        <v>2026</v>
      </c>
      <c r="F15" s="74">
        <f>E15+1</f>
        <v>2027</v>
      </c>
      <c r="G15" s="74">
        <f>F15+1</f>
        <v>2028</v>
      </c>
      <c r="H15" s="74">
        <f>G15+1</f>
        <v>2029</v>
      </c>
      <c r="I15" s="74">
        <f>H15+1</f>
        <v>2030</v>
      </c>
      <c r="J15" s="74">
        <f>I15+1</f>
        <v>2031</v>
      </c>
      <c r="L15" s="74">
        <f>FirstYear</f>
        <v>2026</v>
      </c>
      <c r="M15" s="74">
        <f>L15+1</f>
        <v>2027</v>
      </c>
      <c r="N15" s="74">
        <f>M15+1</f>
        <v>2028</v>
      </c>
      <c r="O15" s="74">
        <f>N15+1</f>
        <v>2029</v>
      </c>
      <c r="P15" s="74">
        <f>O15+1</f>
        <v>2030</v>
      </c>
      <c r="Q15" s="74">
        <f>P15+1</f>
        <v>2031</v>
      </c>
      <c r="Y15" s="631"/>
      <c r="AB15" s="55" t="s">
        <v>799</v>
      </c>
    </row>
    <row r="16" spans="1:43" x14ac:dyDescent="0.2">
      <c r="B16" s="209">
        <f t="shared" ref="B16:B35" si="0">IF(AND(D77&lt;&gt;MsgNotUsed,D48&lt;&gt;MsgNotUsed),1,0)</f>
        <v>0</v>
      </c>
      <c r="C16" s="52">
        <v>1</v>
      </c>
      <c r="D16" s="77" t="str">
        <f t="shared" ref="D16:D35" si="1">IF(D48&lt;&gt;MsgNotUsed,D48,IF(D77&lt;&gt;MsgNotUsed,D77,MsgNotUsed))</f>
        <v>** NOT USED **</v>
      </c>
      <c r="E16" s="247">
        <f t="shared" ref="E16:J25" si="2">IF($D48&lt;&gt;MsgNotUsed,E48,IF($D77&lt;&gt;MsgNotUsed,E77,0))</f>
        <v>0</v>
      </c>
      <c r="F16" s="247">
        <f t="shared" si="2"/>
        <v>0</v>
      </c>
      <c r="G16" s="247">
        <f t="shared" si="2"/>
        <v>0</v>
      </c>
      <c r="H16" s="247">
        <f t="shared" si="2"/>
        <v>0</v>
      </c>
      <c r="I16" s="247">
        <f t="shared" si="2"/>
        <v>0</v>
      </c>
      <c r="J16" s="247">
        <f t="shared" si="2"/>
        <v>0</v>
      </c>
      <c r="L16" s="247">
        <f t="shared" ref="L16:Q25" si="3">IF($D48&lt;&gt;MsgNotUsed,L48,IF($D77&lt;&gt;MsgNotUsed,L77,0))</f>
        <v>0</v>
      </c>
      <c r="M16" s="247">
        <f t="shared" si="3"/>
        <v>0</v>
      </c>
      <c r="N16" s="247">
        <f t="shared" si="3"/>
        <v>0</v>
      </c>
      <c r="O16" s="247">
        <f t="shared" si="3"/>
        <v>0</v>
      </c>
      <c r="P16" s="247">
        <f t="shared" si="3"/>
        <v>0</v>
      </c>
      <c r="Q16" s="247">
        <f t="shared" si="3"/>
        <v>0</v>
      </c>
      <c r="Y16" s="353">
        <f t="shared" ref="Y16:Y35" si="4">IF(D133&lt;&gt;"",P133,IF($I$42="",P105,INDEX(CoPayBandMS,C16)))</f>
        <v>0</v>
      </c>
      <c r="AB16" s="65" t="str">
        <f t="shared" ref="AB16:AB35" si="5">D16</f>
        <v>** NOT USED **</v>
      </c>
      <c r="AC16" s="52">
        <v>1</v>
      </c>
    </row>
    <row r="17" spans="2:29" x14ac:dyDescent="0.2">
      <c r="B17" s="209">
        <f t="shared" si="0"/>
        <v>0</v>
      </c>
      <c r="C17" s="52">
        <v>2</v>
      </c>
      <c r="D17" s="77" t="str">
        <f t="shared" si="1"/>
        <v>** NOT USED **</v>
      </c>
      <c r="E17" s="247">
        <f t="shared" si="2"/>
        <v>0</v>
      </c>
      <c r="F17" s="247">
        <f t="shared" si="2"/>
        <v>0</v>
      </c>
      <c r="G17" s="247">
        <f t="shared" si="2"/>
        <v>0</v>
      </c>
      <c r="H17" s="247">
        <f t="shared" si="2"/>
        <v>0</v>
      </c>
      <c r="I17" s="247">
        <f t="shared" si="2"/>
        <v>0</v>
      </c>
      <c r="J17" s="247">
        <f t="shared" si="2"/>
        <v>0</v>
      </c>
      <c r="L17" s="247">
        <f t="shared" si="3"/>
        <v>0</v>
      </c>
      <c r="M17" s="247">
        <f t="shared" si="3"/>
        <v>0</v>
      </c>
      <c r="N17" s="247">
        <f t="shared" si="3"/>
        <v>0</v>
      </c>
      <c r="O17" s="247">
        <f t="shared" si="3"/>
        <v>0</v>
      </c>
      <c r="P17" s="247">
        <f t="shared" si="3"/>
        <v>0</v>
      </c>
      <c r="Q17" s="247">
        <f t="shared" si="3"/>
        <v>0</v>
      </c>
      <c r="Y17" s="353">
        <f t="shared" si="4"/>
        <v>0</v>
      </c>
      <c r="AB17" s="65" t="str">
        <f t="shared" si="5"/>
        <v>** NOT USED **</v>
      </c>
      <c r="AC17" s="52">
        <v>2</v>
      </c>
    </row>
    <row r="18" spans="2:29" x14ac:dyDescent="0.2">
      <c r="B18" s="209">
        <f t="shared" si="0"/>
        <v>0</v>
      </c>
      <c r="C18" s="52">
        <v>3</v>
      </c>
      <c r="D18" s="77" t="str">
        <f t="shared" si="1"/>
        <v>** NOT USED **</v>
      </c>
      <c r="E18" s="247">
        <f t="shared" si="2"/>
        <v>0</v>
      </c>
      <c r="F18" s="247">
        <f t="shared" si="2"/>
        <v>0</v>
      </c>
      <c r="G18" s="247">
        <f t="shared" si="2"/>
        <v>0</v>
      </c>
      <c r="H18" s="247">
        <f t="shared" si="2"/>
        <v>0</v>
      </c>
      <c r="I18" s="247">
        <f t="shared" si="2"/>
        <v>0</v>
      </c>
      <c r="J18" s="247">
        <f t="shared" si="2"/>
        <v>0</v>
      </c>
      <c r="L18" s="247">
        <f t="shared" si="3"/>
        <v>0</v>
      </c>
      <c r="M18" s="247">
        <f t="shared" si="3"/>
        <v>0</v>
      </c>
      <c r="N18" s="247">
        <f t="shared" si="3"/>
        <v>0</v>
      </c>
      <c r="O18" s="247">
        <f t="shared" si="3"/>
        <v>0</v>
      </c>
      <c r="P18" s="247">
        <f t="shared" si="3"/>
        <v>0</v>
      </c>
      <c r="Q18" s="247">
        <f t="shared" si="3"/>
        <v>0</v>
      </c>
      <c r="Y18" s="353">
        <f t="shared" si="4"/>
        <v>0</v>
      </c>
      <c r="AB18" s="65" t="str">
        <f t="shared" si="5"/>
        <v>** NOT USED **</v>
      </c>
      <c r="AC18" s="52">
        <v>3</v>
      </c>
    </row>
    <row r="19" spans="2:29" x14ac:dyDescent="0.2">
      <c r="B19" s="209">
        <f t="shared" si="0"/>
        <v>0</v>
      </c>
      <c r="C19" s="52">
        <v>4</v>
      </c>
      <c r="D19" s="77" t="str">
        <f t="shared" si="1"/>
        <v>** NOT USED **</v>
      </c>
      <c r="E19" s="247">
        <f t="shared" si="2"/>
        <v>0</v>
      </c>
      <c r="F19" s="247">
        <f t="shared" si="2"/>
        <v>0</v>
      </c>
      <c r="G19" s="247">
        <f t="shared" si="2"/>
        <v>0</v>
      </c>
      <c r="H19" s="247">
        <f t="shared" si="2"/>
        <v>0</v>
      </c>
      <c r="I19" s="247">
        <f t="shared" si="2"/>
        <v>0</v>
      </c>
      <c r="J19" s="247">
        <f t="shared" si="2"/>
        <v>0</v>
      </c>
      <c r="L19" s="247">
        <f t="shared" si="3"/>
        <v>0</v>
      </c>
      <c r="M19" s="247">
        <f t="shared" si="3"/>
        <v>0</v>
      </c>
      <c r="N19" s="247">
        <f t="shared" si="3"/>
        <v>0</v>
      </c>
      <c r="O19" s="247">
        <f t="shared" si="3"/>
        <v>0</v>
      </c>
      <c r="P19" s="247">
        <f t="shared" si="3"/>
        <v>0</v>
      </c>
      <c r="Q19" s="247">
        <f t="shared" si="3"/>
        <v>0</v>
      </c>
      <c r="Y19" s="353">
        <f t="shared" si="4"/>
        <v>0</v>
      </c>
      <c r="AB19" s="65" t="str">
        <f t="shared" si="5"/>
        <v>** NOT USED **</v>
      </c>
      <c r="AC19" s="52">
        <v>4</v>
      </c>
    </row>
    <row r="20" spans="2:29" x14ac:dyDescent="0.2">
      <c r="B20" s="209">
        <f t="shared" si="0"/>
        <v>0</v>
      </c>
      <c r="C20" s="52">
        <v>5</v>
      </c>
      <c r="D20" s="77" t="str">
        <f t="shared" si="1"/>
        <v>** NOT USED **</v>
      </c>
      <c r="E20" s="247">
        <f t="shared" si="2"/>
        <v>0</v>
      </c>
      <c r="F20" s="247">
        <f t="shared" si="2"/>
        <v>0</v>
      </c>
      <c r="G20" s="247">
        <f t="shared" si="2"/>
        <v>0</v>
      </c>
      <c r="H20" s="247">
        <f t="shared" si="2"/>
        <v>0</v>
      </c>
      <c r="I20" s="247">
        <f t="shared" si="2"/>
        <v>0</v>
      </c>
      <c r="J20" s="247">
        <f t="shared" si="2"/>
        <v>0</v>
      </c>
      <c r="L20" s="247">
        <f t="shared" si="3"/>
        <v>0</v>
      </c>
      <c r="M20" s="247">
        <f t="shared" si="3"/>
        <v>0</v>
      </c>
      <c r="N20" s="247">
        <f t="shared" si="3"/>
        <v>0</v>
      </c>
      <c r="O20" s="247">
        <f t="shared" si="3"/>
        <v>0</v>
      </c>
      <c r="P20" s="247">
        <f t="shared" si="3"/>
        <v>0</v>
      </c>
      <c r="Q20" s="247">
        <f t="shared" si="3"/>
        <v>0</v>
      </c>
      <c r="Y20" s="353">
        <f t="shared" si="4"/>
        <v>0</v>
      </c>
      <c r="AB20" s="65" t="str">
        <f t="shared" si="5"/>
        <v>** NOT USED **</v>
      </c>
      <c r="AC20" s="52">
        <v>5</v>
      </c>
    </row>
    <row r="21" spans="2:29" x14ac:dyDescent="0.2">
      <c r="B21" s="209">
        <f t="shared" si="0"/>
        <v>0</v>
      </c>
      <c r="C21" s="52">
        <v>6</v>
      </c>
      <c r="D21" s="77" t="str">
        <f t="shared" si="1"/>
        <v>** NOT USED **</v>
      </c>
      <c r="E21" s="247">
        <f t="shared" si="2"/>
        <v>0</v>
      </c>
      <c r="F21" s="247">
        <f t="shared" si="2"/>
        <v>0</v>
      </c>
      <c r="G21" s="247">
        <f t="shared" si="2"/>
        <v>0</v>
      </c>
      <c r="H21" s="247">
        <f t="shared" si="2"/>
        <v>0</v>
      </c>
      <c r="I21" s="247">
        <f t="shared" si="2"/>
        <v>0</v>
      </c>
      <c r="J21" s="247">
        <f t="shared" si="2"/>
        <v>0</v>
      </c>
      <c r="L21" s="247">
        <f t="shared" si="3"/>
        <v>0</v>
      </c>
      <c r="M21" s="247">
        <f t="shared" si="3"/>
        <v>0</v>
      </c>
      <c r="N21" s="247">
        <f t="shared" si="3"/>
        <v>0</v>
      </c>
      <c r="O21" s="247">
        <f t="shared" si="3"/>
        <v>0</v>
      </c>
      <c r="P21" s="247">
        <f t="shared" si="3"/>
        <v>0</v>
      </c>
      <c r="Q21" s="247">
        <f t="shared" si="3"/>
        <v>0</v>
      </c>
      <c r="Y21" s="353">
        <f t="shared" si="4"/>
        <v>0</v>
      </c>
      <c r="AB21" s="65" t="str">
        <f t="shared" si="5"/>
        <v>** NOT USED **</v>
      </c>
      <c r="AC21" s="52">
        <v>6</v>
      </c>
    </row>
    <row r="22" spans="2:29" x14ac:dyDescent="0.2">
      <c r="B22" s="209">
        <f t="shared" si="0"/>
        <v>0</v>
      </c>
      <c r="C22" s="52">
        <v>7</v>
      </c>
      <c r="D22" s="77" t="str">
        <f t="shared" si="1"/>
        <v>** NOT USED **</v>
      </c>
      <c r="E22" s="247">
        <f t="shared" si="2"/>
        <v>0</v>
      </c>
      <c r="F22" s="247">
        <f t="shared" si="2"/>
        <v>0</v>
      </c>
      <c r="G22" s="247">
        <f t="shared" si="2"/>
        <v>0</v>
      </c>
      <c r="H22" s="247">
        <f t="shared" si="2"/>
        <v>0</v>
      </c>
      <c r="I22" s="247">
        <f t="shared" si="2"/>
        <v>0</v>
      </c>
      <c r="J22" s="247">
        <f t="shared" si="2"/>
        <v>0</v>
      </c>
      <c r="L22" s="247">
        <f t="shared" si="3"/>
        <v>0</v>
      </c>
      <c r="M22" s="247">
        <f t="shared" si="3"/>
        <v>0</v>
      </c>
      <c r="N22" s="247">
        <f t="shared" si="3"/>
        <v>0</v>
      </c>
      <c r="O22" s="247">
        <f t="shared" si="3"/>
        <v>0</v>
      </c>
      <c r="P22" s="247">
        <f t="shared" si="3"/>
        <v>0</v>
      </c>
      <c r="Q22" s="247">
        <f t="shared" si="3"/>
        <v>0</v>
      </c>
      <c r="Y22" s="353">
        <f t="shared" si="4"/>
        <v>0</v>
      </c>
      <c r="AB22" s="65" t="str">
        <f t="shared" si="5"/>
        <v>** NOT USED **</v>
      </c>
      <c r="AC22" s="52">
        <v>7</v>
      </c>
    </row>
    <row r="23" spans="2:29" x14ac:dyDescent="0.2">
      <c r="B23" s="209">
        <f t="shared" si="0"/>
        <v>0</v>
      </c>
      <c r="C23" s="52">
        <v>8</v>
      </c>
      <c r="D23" s="77" t="str">
        <f t="shared" si="1"/>
        <v>** NOT USED **</v>
      </c>
      <c r="E23" s="247">
        <f t="shared" si="2"/>
        <v>0</v>
      </c>
      <c r="F23" s="247">
        <f t="shared" si="2"/>
        <v>0</v>
      </c>
      <c r="G23" s="247">
        <f t="shared" si="2"/>
        <v>0</v>
      </c>
      <c r="H23" s="247">
        <f t="shared" si="2"/>
        <v>0</v>
      </c>
      <c r="I23" s="247">
        <f t="shared" si="2"/>
        <v>0</v>
      </c>
      <c r="J23" s="247">
        <f t="shared" si="2"/>
        <v>0</v>
      </c>
      <c r="L23" s="247">
        <f t="shared" si="3"/>
        <v>0</v>
      </c>
      <c r="M23" s="247">
        <f t="shared" si="3"/>
        <v>0</v>
      </c>
      <c r="N23" s="247">
        <f t="shared" si="3"/>
        <v>0</v>
      </c>
      <c r="O23" s="247">
        <f t="shared" si="3"/>
        <v>0</v>
      </c>
      <c r="P23" s="247">
        <f t="shared" si="3"/>
        <v>0</v>
      </c>
      <c r="Q23" s="247">
        <f t="shared" si="3"/>
        <v>0</v>
      </c>
      <c r="Y23" s="353">
        <f t="shared" si="4"/>
        <v>0</v>
      </c>
      <c r="AB23" s="65" t="str">
        <f t="shared" si="5"/>
        <v>** NOT USED **</v>
      </c>
      <c r="AC23" s="52">
        <v>8</v>
      </c>
    </row>
    <row r="24" spans="2:29" x14ac:dyDescent="0.2">
      <c r="B24" s="209">
        <f t="shared" si="0"/>
        <v>0</v>
      </c>
      <c r="C24" s="52">
        <v>9</v>
      </c>
      <c r="D24" s="77" t="str">
        <f t="shared" si="1"/>
        <v>** NOT USED **</v>
      </c>
      <c r="E24" s="247">
        <f t="shared" si="2"/>
        <v>0</v>
      </c>
      <c r="F24" s="247">
        <f t="shared" si="2"/>
        <v>0</v>
      </c>
      <c r="G24" s="247">
        <f t="shared" si="2"/>
        <v>0</v>
      </c>
      <c r="H24" s="247">
        <f t="shared" si="2"/>
        <v>0</v>
      </c>
      <c r="I24" s="247">
        <f t="shared" si="2"/>
        <v>0</v>
      </c>
      <c r="J24" s="247">
        <f t="shared" si="2"/>
        <v>0</v>
      </c>
      <c r="L24" s="247">
        <f t="shared" si="3"/>
        <v>0</v>
      </c>
      <c r="M24" s="247">
        <f t="shared" si="3"/>
        <v>0</v>
      </c>
      <c r="N24" s="247">
        <f t="shared" si="3"/>
        <v>0</v>
      </c>
      <c r="O24" s="247">
        <f t="shared" si="3"/>
        <v>0</v>
      </c>
      <c r="P24" s="247">
        <f t="shared" si="3"/>
        <v>0</v>
      </c>
      <c r="Q24" s="247">
        <f t="shared" si="3"/>
        <v>0</v>
      </c>
      <c r="Y24" s="353">
        <f t="shared" si="4"/>
        <v>0</v>
      </c>
      <c r="AB24" s="65" t="str">
        <f t="shared" si="5"/>
        <v>** NOT USED **</v>
      </c>
      <c r="AC24" s="52">
        <v>9</v>
      </c>
    </row>
    <row r="25" spans="2:29" x14ac:dyDescent="0.2">
      <c r="B25" s="209">
        <f t="shared" si="0"/>
        <v>0</v>
      </c>
      <c r="C25" s="52">
        <v>10</v>
      </c>
      <c r="D25" s="77" t="str">
        <f t="shared" si="1"/>
        <v>** NOT USED **</v>
      </c>
      <c r="E25" s="247">
        <f t="shared" si="2"/>
        <v>0</v>
      </c>
      <c r="F25" s="247">
        <f t="shared" si="2"/>
        <v>0</v>
      </c>
      <c r="G25" s="247">
        <f t="shared" si="2"/>
        <v>0</v>
      </c>
      <c r="H25" s="247">
        <f t="shared" si="2"/>
        <v>0</v>
      </c>
      <c r="I25" s="247">
        <f t="shared" si="2"/>
        <v>0</v>
      </c>
      <c r="J25" s="247">
        <f t="shared" si="2"/>
        <v>0</v>
      </c>
      <c r="L25" s="247">
        <f t="shared" si="3"/>
        <v>0</v>
      </c>
      <c r="M25" s="247">
        <f t="shared" si="3"/>
        <v>0</v>
      </c>
      <c r="N25" s="247">
        <f t="shared" si="3"/>
        <v>0</v>
      </c>
      <c r="O25" s="247">
        <f t="shared" si="3"/>
        <v>0</v>
      </c>
      <c r="P25" s="247">
        <f t="shared" si="3"/>
        <v>0</v>
      </c>
      <c r="Q25" s="247">
        <f t="shared" si="3"/>
        <v>0</v>
      </c>
      <c r="Y25" s="353">
        <f t="shared" si="4"/>
        <v>0</v>
      </c>
      <c r="AB25" s="65" t="str">
        <f t="shared" si="5"/>
        <v>** NOT USED **</v>
      </c>
      <c r="AC25" s="52">
        <v>10</v>
      </c>
    </row>
    <row r="26" spans="2:29" x14ac:dyDescent="0.2">
      <c r="B26" s="209">
        <f t="shared" si="0"/>
        <v>0</v>
      </c>
      <c r="C26" s="52">
        <v>11</v>
      </c>
      <c r="D26" s="77" t="str">
        <f t="shared" si="1"/>
        <v>** NOT USED **</v>
      </c>
      <c r="E26" s="247">
        <f t="shared" ref="E26:J35" si="6">IF($D58&lt;&gt;MsgNotUsed,E58,IF($D87&lt;&gt;MsgNotUsed,E87,0))</f>
        <v>0</v>
      </c>
      <c r="F26" s="247">
        <f t="shared" si="6"/>
        <v>0</v>
      </c>
      <c r="G26" s="247">
        <f t="shared" si="6"/>
        <v>0</v>
      </c>
      <c r="H26" s="247">
        <f t="shared" si="6"/>
        <v>0</v>
      </c>
      <c r="I26" s="247">
        <f t="shared" si="6"/>
        <v>0</v>
      </c>
      <c r="J26" s="247">
        <f t="shared" si="6"/>
        <v>0</v>
      </c>
      <c r="L26" s="247">
        <f t="shared" ref="L26:Q35" si="7">IF($D58&lt;&gt;MsgNotUsed,L58,IF($D87&lt;&gt;MsgNotUsed,L87,0))</f>
        <v>0</v>
      </c>
      <c r="M26" s="247">
        <f t="shared" si="7"/>
        <v>0</v>
      </c>
      <c r="N26" s="247">
        <f t="shared" si="7"/>
        <v>0</v>
      </c>
      <c r="O26" s="247">
        <f t="shared" si="7"/>
        <v>0</v>
      </c>
      <c r="P26" s="247">
        <f t="shared" si="7"/>
        <v>0</v>
      </c>
      <c r="Q26" s="247">
        <f t="shared" si="7"/>
        <v>0</v>
      </c>
      <c r="Y26" s="353">
        <f t="shared" si="4"/>
        <v>0</v>
      </c>
      <c r="AB26" s="65" t="str">
        <f t="shared" si="5"/>
        <v>** NOT USED **</v>
      </c>
      <c r="AC26" s="52">
        <v>11</v>
      </c>
    </row>
    <row r="27" spans="2:29" x14ac:dyDescent="0.2">
      <c r="B27" s="209">
        <f t="shared" si="0"/>
        <v>0</v>
      </c>
      <c r="C27" s="52">
        <v>12</v>
      </c>
      <c r="D27" s="77" t="str">
        <f t="shared" si="1"/>
        <v>** NOT USED **</v>
      </c>
      <c r="E27" s="247">
        <f t="shared" si="6"/>
        <v>0</v>
      </c>
      <c r="F27" s="247">
        <f t="shared" si="6"/>
        <v>0</v>
      </c>
      <c r="G27" s="247">
        <f t="shared" si="6"/>
        <v>0</v>
      </c>
      <c r="H27" s="247">
        <f t="shared" si="6"/>
        <v>0</v>
      </c>
      <c r="I27" s="247">
        <f t="shared" si="6"/>
        <v>0</v>
      </c>
      <c r="J27" s="247">
        <f t="shared" si="6"/>
        <v>0</v>
      </c>
      <c r="L27" s="247">
        <f t="shared" si="7"/>
        <v>0</v>
      </c>
      <c r="M27" s="247">
        <f t="shared" si="7"/>
        <v>0</v>
      </c>
      <c r="N27" s="247">
        <f t="shared" si="7"/>
        <v>0</v>
      </c>
      <c r="O27" s="247">
        <f t="shared" si="7"/>
        <v>0</v>
      </c>
      <c r="P27" s="247">
        <f t="shared" si="7"/>
        <v>0</v>
      </c>
      <c r="Q27" s="247">
        <f t="shared" si="7"/>
        <v>0</v>
      </c>
      <c r="Y27" s="353">
        <f t="shared" si="4"/>
        <v>0</v>
      </c>
      <c r="AB27" s="65" t="str">
        <f t="shared" si="5"/>
        <v>** NOT USED **</v>
      </c>
      <c r="AC27" s="52">
        <v>12</v>
      </c>
    </row>
    <row r="28" spans="2:29" x14ac:dyDescent="0.2">
      <c r="B28" s="209">
        <f t="shared" si="0"/>
        <v>0</v>
      </c>
      <c r="C28" s="52">
        <v>13</v>
      </c>
      <c r="D28" s="77" t="str">
        <f t="shared" si="1"/>
        <v>** NOT USED **</v>
      </c>
      <c r="E28" s="247">
        <f t="shared" si="6"/>
        <v>0</v>
      </c>
      <c r="F28" s="247">
        <f t="shared" si="6"/>
        <v>0</v>
      </c>
      <c r="G28" s="247">
        <f t="shared" si="6"/>
        <v>0</v>
      </c>
      <c r="H28" s="247">
        <f t="shared" si="6"/>
        <v>0</v>
      </c>
      <c r="I28" s="247">
        <f t="shared" si="6"/>
        <v>0</v>
      </c>
      <c r="J28" s="247">
        <f t="shared" si="6"/>
        <v>0</v>
      </c>
      <c r="L28" s="247">
        <f t="shared" si="7"/>
        <v>0</v>
      </c>
      <c r="M28" s="247">
        <f t="shared" si="7"/>
        <v>0</v>
      </c>
      <c r="N28" s="247">
        <f t="shared" si="7"/>
        <v>0</v>
      </c>
      <c r="O28" s="247">
        <f t="shared" si="7"/>
        <v>0</v>
      </c>
      <c r="P28" s="247">
        <f t="shared" si="7"/>
        <v>0</v>
      </c>
      <c r="Q28" s="247">
        <f t="shared" si="7"/>
        <v>0</v>
      </c>
      <c r="Y28" s="353">
        <f t="shared" si="4"/>
        <v>0</v>
      </c>
      <c r="AB28" s="65" t="str">
        <f t="shared" si="5"/>
        <v>** NOT USED **</v>
      </c>
      <c r="AC28" s="52">
        <v>13</v>
      </c>
    </row>
    <row r="29" spans="2:29" x14ac:dyDescent="0.2">
      <c r="B29" s="209">
        <f t="shared" si="0"/>
        <v>0</v>
      </c>
      <c r="C29" s="52">
        <v>14</v>
      </c>
      <c r="D29" s="77" t="str">
        <f t="shared" si="1"/>
        <v>** NOT USED **</v>
      </c>
      <c r="E29" s="247">
        <f t="shared" si="6"/>
        <v>0</v>
      </c>
      <c r="F29" s="247">
        <f t="shared" si="6"/>
        <v>0</v>
      </c>
      <c r="G29" s="247">
        <f t="shared" si="6"/>
        <v>0</v>
      </c>
      <c r="H29" s="247">
        <f t="shared" si="6"/>
        <v>0</v>
      </c>
      <c r="I29" s="247">
        <f t="shared" si="6"/>
        <v>0</v>
      </c>
      <c r="J29" s="247">
        <f t="shared" si="6"/>
        <v>0</v>
      </c>
      <c r="L29" s="247">
        <f t="shared" si="7"/>
        <v>0</v>
      </c>
      <c r="M29" s="247">
        <f t="shared" si="7"/>
        <v>0</v>
      </c>
      <c r="N29" s="247">
        <f t="shared" si="7"/>
        <v>0</v>
      </c>
      <c r="O29" s="247">
        <f t="shared" si="7"/>
        <v>0</v>
      </c>
      <c r="P29" s="247">
        <f t="shared" si="7"/>
        <v>0</v>
      </c>
      <c r="Q29" s="247">
        <f t="shared" si="7"/>
        <v>0</v>
      </c>
      <c r="Y29" s="353">
        <f t="shared" si="4"/>
        <v>0</v>
      </c>
      <c r="AB29" s="65" t="str">
        <f t="shared" si="5"/>
        <v>** NOT USED **</v>
      </c>
      <c r="AC29" s="52">
        <v>14</v>
      </c>
    </row>
    <row r="30" spans="2:29" x14ac:dyDescent="0.2">
      <c r="B30" s="209">
        <f t="shared" si="0"/>
        <v>0</v>
      </c>
      <c r="C30" s="52">
        <v>15</v>
      </c>
      <c r="D30" s="77" t="str">
        <f t="shared" si="1"/>
        <v>** NOT USED **</v>
      </c>
      <c r="E30" s="247">
        <f t="shared" si="6"/>
        <v>0</v>
      </c>
      <c r="F30" s="247">
        <f t="shared" si="6"/>
        <v>0</v>
      </c>
      <c r="G30" s="247">
        <f t="shared" si="6"/>
        <v>0</v>
      </c>
      <c r="H30" s="247">
        <f t="shared" si="6"/>
        <v>0</v>
      </c>
      <c r="I30" s="247">
        <f t="shared" si="6"/>
        <v>0</v>
      </c>
      <c r="J30" s="247">
        <f t="shared" si="6"/>
        <v>0</v>
      </c>
      <c r="L30" s="247">
        <f t="shared" si="7"/>
        <v>0</v>
      </c>
      <c r="M30" s="247">
        <f t="shared" si="7"/>
        <v>0</v>
      </c>
      <c r="N30" s="247">
        <f t="shared" si="7"/>
        <v>0</v>
      </c>
      <c r="O30" s="247">
        <f t="shared" si="7"/>
        <v>0</v>
      </c>
      <c r="P30" s="247">
        <f t="shared" si="7"/>
        <v>0</v>
      </c>
      <c r="Q30" s="247">
        <f t="shared" si="7"/>
        <v>0</v>
      </c>
      <c r="Y30" s="353">
        <f t="shared" si="4"/>
        <v>0</v>
      </c>
      <c r="AB30" s="65" t="str">
        <f t="shared" si="5"/>
        <v>** NOT USED **</v>
      </c>
      <c r="AC30" s="52">
        <v>15</v>
      </c>
    </row>
    <row r="31" spans="2:29" x14ac:dyDescent="0.2">
      <c r="B31" s="209">
        <f t="shared" si="0"/>
        <v>0</v>
      </c>
      <c r="C31" s="52">
        <v>16</v>
      </c>
      <c r="D31" s="77" t="str">
        <f t="shared" si="1"/>
        <v>** NOT USED **</v>
      </c>
      <c r="E31" s="247">
        <f t="shared" si="6"/>
        <v>0</v>
      </c>
      <c r="F31" s="247">
        <f t="shared" si="6"/>
        <v>0</v>
      </c>
      <c r="G31" s="247">
        <f t="shared" si="6"/>
        <v>0</v>
      </c>
      <c r="H31" s="247">
        <f t="shared" si="6"/>
        <v>0</v>
      </c>
      <c r="I31" s="247">
        <f t="shared" si="6"/>
        <v>0</v>
      </c>
      <c r="J31" s="247">
        <f t="shared" si="6"/>
        <v>0</v>
      </c>
      <c r="L31" s="247">
        <f t="shared" si="7"/>
        <v>0</v>
      </c>
      <c r="M31" s="247">
        <f t="shared" si="7"/>
        <v>0</v>
      </c>
      <c r="N31" s="247">
        <f t="shared" si="7"/>
        <v>0</v>
      </c>
      <c r="O31" s="247">
        <f t="shared" si="7"/>
        <v>0</v>
      </c>
      <c r="P31" s="247">
        <f t="shared" si="7"/>
        <v>0</v>
      </c>
      <c r="Q31" s="247">
        <f t="shared" si="7"/>
        <v>0</v>
      </c>
      <c r="Y31" s="353">
        <f t="shared" si="4"/>
        <v>0</v>
      </c>
      <c r="AB31" s="65" t="str">
        <f t="shared" si="5"/>
        <v>** NOT USED **</v>
      </c>
      <c r="AC31" s="52">
        <v>16</v>
      </c>
    </row>
    <row r="32" spans="2:29" x14ac:dyDescent="0.2">
      <c r="B32" s="209">
        <f t="shared" si="0"/>
        <v>0</v>
      </c>
      <c r="C32" s="52">
        <v>17</v>
      </c>
      <c r="D32" s="77" t="str">
        <f t="shared" si="1"/>
        <v>** NOT USED **</v>
      </c>
      <c r="E32" s="247">
        <f t="shared" si="6"/>
        <v>0</v>
      </c>
      <c r="F32" s="247">
        <f t="shared" si="6"/>
        <v>0</v>
      </c>
      <c r="G32" s="247">
        <f t="shared" si="6"/>
        <v>0</v>
      </c>
      <c r="H32" s="247">
        <f t="shared" si="6"/>
        <v>0</v>
      </c>
      <c r="I32" s="247">
        <f t="shared" si="6"/>
        <v>0</v>
      </c>
      <c r="J32" s="247">
        <f t="shared" si="6"/>
        <v>0</v>
      </c>
      <c r="L32" s="247">
        <f t="shared" si="7"/>
        <v>0</v>
      </c>
      <c r="M32" s="247">
        <f t="shared" si="7"/>
        <v>0</v>
      </c>
      <c r="N32" s="247">
        <f t="shared" si="7"/>
        <v>0</v>
      </c>
      <c r="O32" s="247">
        <f t="shared" si="7"/>
        <v>0</v>
      </c>
      <c r="P32" s="247">
        <f t="shared" si="7"/>
        <v>0</v>
      </c>
      <c r="Q32" s="247">
        <f t="shared" si="7"/>
        <v>0</v>
      </c>
      <c r="Y32" s="353">
        <f t="shared" si="4"/>
        <v>0</v>
      </c>
      <c r="AB32" s="65" t="str">
        <f t="shared" si="5"/>
        <v>** NOT USED **</v>
      </c>
      <c r="AC32" s="52">
        <v>17</v>
      </c>
    </row>
    <row r="33" spans="1:43" x14ac:dyDescent="0.2">
      <c r="B33" s="209">
        <f t="shared" si="0"/>
        <v>0</v>
      </c>
      <c r="C33" s="52">
        <v>18</v>
      </c>
      <c r="D33" s="77" t="str">
        <f t="shared" si="1"/>
        <v>** NOT USED **</v>
      </c>
      <c r="E33" s="247">
        <f t="shared" si="6"/>
        <v>0</v>
      </c>
      <c r="F33" s="247">
        <f t="shared" si="6"/>
        <v>0</v>
      </c>
      <c r="G33" s="247">
        <f t="shared" si="6"/>
        <v>0</v>
      </c>
      <c r="H33" s="247">
        <f t="shared" si="6"/>
        <v>0</v>
      </c>
      <c r="I33" s="247">
        <f t="shared" si="6"/>
        <v>0</v>
      </c>
      <c r="J33" s="247">
        <f t="shared" si="6"/>
        <v>0</v>
      </c>
      <c r="L33" s="247">
        <f t="shared" si="7"/>
        <v>0</v>
      </c>
      <c r="M33" s="247">
        <f t="shared" si="7"/>
        <v>0</v>
      </c>
      <c r="N33" s="247">
        <f t="shared" si="7"/>
        <v>0</v>
      </c>
      <c r="O33" s="247">
        <f t="shared" si="7"/>
        <v>0</v>
      </c>
      <c r="P33" s="247">
        <f t="shared" si="7"/>
        <v>0</v>
      </c>
      <c r="Q33" s="247">
        <f t="shared" si="7"/>
        <v>0</v>
      </c>
      <c r="Y33" s="353">
        <f t="shared" si="4"/>
        <v>0</v>
      </c>
      <c r="AB33" s="65" t="str">
        <f t="shared" si="5"/>
        <v>** NOT USED **</v>
      </c>
      <c r="AC33" s="52">
        <v>18</v>
      </c>
    </row>
    <row r="34" spans="1:43" x14ac:dyDescent="0.2">
      <c r="B34" s="209">
        <f t="shared" si="0"/>
        <v>0</v>
      </c>
      <c r="C34" s="52">
        <v>19</v>
      </c>
      <c r="D34" s="77" t="str">
        <f t="shared" si="1"/>
        <v>** NOT USED **</v>
      </c>
      <c r="E34" s="247">
        <f t="shared" si="6"/>
        <v>0</v>
      </c>
      <c r="F34" s="247">
        <f t="shared" si="6"/>
        <v>0</v>
      </c>
      <c r="G34" s="247">
        <f t="shared" si="6"/>
        <v>0</v>
      </c>
      <c r="H34" s="247">
        <f t="shared" si="6"/>
        <v>0</v>
      </c>
      <c r="I34" s="247">
        <f t="shared" si="6"/>
        <v>0</v>
      </c>
      <c r="J34" s="247">
        <f t="shared" si="6"/>
        <v>0</v>
      </c>
      <c r="L34" s="247">
        <f t="shared" si="7"/>
        <v>0</v>
      </c>
      <c r="M34" s="247">
        <f t="shared" si="7"/>
        <v>0</v>
      </c>
      <c r="N34" s="247">
        <f t="shared" si="7"/>
        <v>0</v>
      </c>
      <c r="O34" s="247">
        <f t="shared" si="7"/>
        <v>0</v>
      </c>
      <c r="P34" s="247">
        <f t="shared" si="7"/>
        <v>0</v>
      </c>
      <c r="Q34" s="247">
        <f t="shared" si="7"/>
        <v>0</v>
      </c>
      <c r="Y34" s="353">
        <f t="shared" si="4"/>
        <v>0</v>
      </c>
      <c r="AB34" s="65" t="str">
        <f t="shared" si="5"/>
        <v>** NOT USED **</v>
      </c>
      <c r="AC34" s="52">
        <v>19</v>
      </c>
    </row>
    <row r="35" spans="1:43" x14ac:dyDescent="0.2">
      <c r="B35" s="209">
        <f t="shared" si="0"/>
        <v>0</v>
      </c>
      <c r="C35" s="52">
        <v>20</v>
      </c>
      <c r="D35" s="77" t="str">
        <f t="shared" si="1"/>
        <v>** NOT USED **</v>
      </c>
      <c r="E35" s="247">
        <f t="shared" si="6"/>
        <v>0</v>
      </c>
      <c r="F35" s="247">
        <f t="shared" si="6"/>
        <v>0</v>
      </c>
      <c r="G35" s="247">
        <f t="shared" si="6"/>
        <v>0</v>
      </c>
      <c r="H35" s="247">
        <f t="shared" si="6"/>
        <v>0</v>
      </c>
      <c r="I35" s="247">
        <f t="shared" si="6"/>
        <v>0</v>
      </c>
      <c r="J35" s="247">
        <f t="shared" si="6"/>
        <v>0</v>
      </c>
      <c r="L35" s="247">
        <f t="shared" si="7"/>
        <v>0</v>
      </c>
      <c r="M35" s="247">
        <f t="shared" si="7"/>
        <v>0</v>
      </c>
      <c r="N35" s="247">
        <f t="shared" si="7"/>
        <v>0</v>
      </c>
      <c r="O35" s="247">
        <f t="shared" si="7"/>
        <v>0</v>
      </c>
      <c r="P35" s="247">
        <f t="shared" si="7"/>
        <v>0</v>
      </c>
      <c r="Q35" s="247">
        <f t="shared" si="7"/>
        <v>0</v>
      </c>
      <c r="Y35" s="353">
        <f t="shared" si="4"/>
        <v>0</v>
      </c>
      <c r="AB35" s="65" t="str">
        <f t="shared" si="5"/>
        <v>** NOT USED **</v>
      </c>
      <c r="AC35" s="52">
        <v>20</v>
      </c>
    </row>
    <row r="36" spans="1:43" x14ac:dyDescent="0.2">
      <c r="D36" s="56" t="s">
        <v>213</v>
      </c>
      <c r="E36" s="30">
        <f t="shared" ref="E36:J36" si="8">SUM(E16:E35)</f>
        <v>0</v>
      </c>
      <c r="F36" s="30">
        <f t="shared" si="8"/>
        <v>0</v>
      </c>
      <c r="G36" s="30">
        <f t="shared" si="8"/>
        <v>0</v>
      </c>
      <c r="H36" s="30">
        <f t="shared" si="8"/>
        <v>0</v>
      </c>
      <c r="I36" s="30">
        <f t="shared" si="8"/>
        <v>0</v>
      </c>
      <c r="J36" s="30">
        <f t="shared" si="8"/>
        <v>0</v>
      </c>
      <c r="L36" s="30">
        <f t="shared" ref="L36:Q36" si="9">SUM(L16:L35)</f>
        <v>0</v>
      </c>
      <c r="M36" s="30">
        <f t="shared" si="9"/>
        <v>0</v>
      </c>
      <c r="N36" s="30">
        <f t="shared" si="9"/>
        <v>0</v>
      </c>
      <c r="O36" s="30">
        <f t="shared" si="9"/>
        <v>0</v>
      </c>
      <c r="P36" s="30">
        <f t="shared" si="9"/>
        <v>0</v>
      </c>
      <c r="Q36" s="30">
        <f t="shared" si="9"/>
        <v>0</v>
      </c>
    </row>
    <row r="37" spans="1:43" x14ac:dyDescent="0.2"/>
    <row r="38" spans="1:43" x14ac:dyDescent="0.2">
      <c r="E38" s="74">
        <f>FirstYear</f>
        <v>2026</v>
      </c>
      <c r="F38" s="74">
        <f>E38+1</f>
        <v>2027</v>
      </c>
      <c r="G38" s="74">
        <f>F38+1</f>
        <v>2028</v>
      </c>
      <c r="H38" s="74">
        <f>G38+1</f>
        <v>2029</v>
      </c>
      <c r="I38" s="74">
        <f>H38+1</f>
        <v>2030</v>
      </c>
      <c r="J38" s="74">
        <f>I38+1</f>
        <v>2031</v>
      </c>
    </row>
    <row r="39" spans="1:43" x14ac:dyDescent="0.2">
      <c r="D39" s="3" t="s">
        <v>223</v>
      </c>
      <c r="E39" s="35">
        <f t="shared" ref="E39:J39" si="10">E36+L36</f>
        <v>0</v>
      </c>
      <c r="F39" s="35">
        <f t="shared" si="10"/>
        <v>0</v>
      </c>
      <c r="G39" s="35">
        <f t="shared" si="10"/>
        <v>0</v>
      </c>
      <c r="H39" s="35">
        <f t="shared" si="10"/>
        <v>0</v>
      </c>
      <c r="I39" s="35">
        <f t="shared" si="10"/>
        <v>0</v>
      </c>
      <c r="J39" s="35">
        <f t="shared" si="10"/>
        <v>0</v>
      </c>
    </row>
    <row r="40" spans="1:43" x14ac:dyDescent="0.2"/>
    <row r="41" spans="1:43" x14ac:dyDescent="0.2"/>
    <row r="42" spans="1:43" ht="15.75" x14ac:dyDescent="0.2">
      <c r="A42" s="22"/>
      <c r="B42" s="22"/>
      <c r="C42" s="22"/>
      <c r="D42" s="111" t="s">
        <v>858</v>
      </c>
      <c r="E42" s="131"/>
      <c r="F42" s="21"/>
      <c r="G42" s="21"/>
      <c r="H42" s="21"/>
      <c r="I42" s="605" t="str">
        <f>IF(B68=0,MsgNotUsed,"")</f>
        <v>** NOT USED **</v>
      </c>
      <c r="J42" s="605"/>
      <c r="K42" s="21"/>
      <c r="L42" s="21"/>
      <c r="M42" s="21"/>
      <c r="N42" s="21"/>
      <c r="O42" s="21"/>
      <c r="P42" s="605"/>
      <c r="Q42" s="606"/>
      <c r="R42" s="21"/>
      <c r="S42" s="21"/>
      <c r="T42" s="21"/>
      <c r="U42" s="21"/>
      <c r="V42" s="21"/>
      <c r="W42" s="21"/>
      <c r="X42" s="21"/>
      <c r="Y42" s="21"/>
      <c r="Z42" s="21"/>
      <c r="AA42" s="21"/>
      <c r="AB42" s="21"/>
      <c r="AC42" s="21"/>
      <c r="AD42" s="21"/>
      <c r="AE42" s="21"/>
      <c r="AF42" s="21"/>
      <c r="AG42" s="21"/>
      <c r="AH42" s="21"/>
      <c r="AI42" s="21"/>
      <c r="AJ42" s="21"/>
      <c r="AK42" s="21"/>
      <c r="AL42" s="21"/>
      <c r="AM42" s="21"/>
      <c r="AN42" s="21"/>
      <c r="AO42" s="21"/>
      <c r="AP42" s="21"/>
      <c r="AQ42" s="21"/>
    </row>
    <row r="43" spans="1:43" hidden="1" outlineLevel="1" x14ac:dyDescent="0.2">
      <c r="D43" s="456"/>
      <c r="E43" s="456"/>
      <c r="F43" s="456"/>
      <c r="G43" s="456"/>
      <c r="H43" s="456"/>
      <c r="I43" s="456"/>
      <c r="J43" s="456"/>
      <c r="K43" s="456"/>
      <c r="L43" s="456"/>
      <c r="M43" s="456"/>
      <c r="N43" s="456"/>
      <c r="O43" s="456"/>
      <c r="P43" s="456"/>
      <c r="Q43" s="456"/>
      <c r="R43" s="456"/>
      <c r="S43" s="456"/>
      <c r="T43" s="456"/>
      <c r="U43" s="456"/>
      <c r="V43" s="456"/>
      <c r="W43" s="456"/>
      <c r="X43" s="456"/>
      <c r="Y43" s="456"/>
      <c r="Z43" s="456"/>
      <c r="AA43" s="456"/>
      <c r="AB43" s="456"/>
      <c r="AC43" s="456"/>
      <c r="AD43" s="456"/>
      <c r="AE43" s="456"/>
      <c r="AF43" s="456"/>
      <c r="AG43" s="456"/>
      <c r="AH43" s="456"/>
      <c r="AI43" s="456"/>
      <c r="AJ43" s="456"/>
      <c r="AK43" s="456"/>
      <c r="AL43" s="456"/>
      <c r="AM43" s="456"/>
      <c r="AN43" s="456"/>
      <c r="AO43" s="456"/>
      <c r="AP43" s="456"/>
      <c r="AQ43" s="456"/>
    </row>
    <row r="44" spans="1:43" hidden="1" outlineLevel="1" x14ac:dyDescent="0.2">
      <c r="D44" s="172" t="s">
        <v>818</v>
      </c>
      <c r="E44" s="456"/>
      <c r="F44" s="456"/>
      <c r="G44" s="456"/>
      <c r="H44" s="456"/>
      <c r="I44" s="456"/>
      <c r="J44" s="456"/>
      <c r="K44" s="456"/>
      <c r="L44" s="456"/>
      <c r="M44" s="456"/>
      <c r="N44" s="456"/>
      <c r="O44" s="456"/>
      <c r="P44" s="456"/>
      <c r="Q44" s="456"/>
      <c r="R44" s="456"/>
      <c r="S44" s="456"/>
      <c r="T44" s="456"/>
      <c r="U44" s="456"/>
      <c r="V44" s="456"/>
      <c r="W44" s="456"/>
    </row>
    <row r="45" spans="1:43" hidden="1" outlineLevel="1" x14ac:dyDescent="0.2">
      <c r="D45" s="456"/>
      <c r="E45" s="456"/>
      <c r="F45" s="456"/>
      <c r="G45" s="456"/>
      <c r="H45" s="456"/>
      <c r="I45" s="456"/>
      <c r="J45" s="456"/>
      <c r="K45" s="456"/>
      <c r="L45" s="456"/>
      <c r="M45" s="456"/>
      <c r="N45" s="456"/>
      <c r="O45" s="456"/>
      <c r="P45" s="456"/>
      <c r="Q45" s="456"/>
      <c r="R45" s="456"/>
      <c r="S45" s="456"/>
      <c r="T45" s="456"/>
      <c r="U45" s="456"/>
      <c r="V45" s="456"/>
      <c r="W45" s="456"/>
      <c r="AF45" s="618" t="s">
        <v>216</v>
      </c>
      <c r="AG45" s="618"/>
      <c r="AH45" s="618"/>
      <c r="AI45" s="618"/>
      <c r="AJ45" s="618"/>
      <c r="AK45" s="618"/>
      <c r="AL45" s="618"/>
      <c r="AM45" s="618"/>
      <c r="AN45" s="618"/>
      <c r="AO45" s="618"/>
      <c r="AP45" s="618"/>
      <c r="AQ45" s="618"/>
    </row>
    <row r="46" spans="1:43" hidden="1" outlineLevel="1" x14ac:dyDescent="0.2">
      <c r="D46" s="172"/>
      <c r="E46" s="596" t="s">
        <v>214</v>
      </c>
      <c r="F46" s="607"/>
      <c r="G46" s="607"/>
      <c r="H46" s="607"/>
      <c r="I46" s="607"/>
      <c r="J46" s="608"/>
      <c r="L46" s="596" t="s">
        <v>215</v>
      </c>
      <c r="M46" s="607"/>
      <c r="N46" s="607"/>
      <c r="O46" s="607"/>
      <c r="P46" s="607"/>
      <c r="Q46" s="608"/>
      <c r="AF46" s="617" t="str">
        <f>TxPhase1PxTotal</f>
        <v/>
      </c>
      <c r="AG46" s="617"/>
      <c r="AH46" s="617"/>
      <c r="AI46" s="617"/>
      <c r="AJ46" s="617"/>
      <c r="AK46" s="617"/>
      <c r="AL46" s="617" t="str">
        <f>TxPhase2PxTotal</f>
        <v/>
      </c>
      <c r="AM46" s="617"/>
      <c r="AN46" s="617"/>
      <c r="AO46" s="617"/>
      <c r="AP46" s="617"/>
      <c r="AQ46" s="617"/>
    </row>
    <row r="47" spans="1:43" hidden="1" outlineLevel="1" x14ac:dyDescent="0.2">
      <c r="D47" s="60" t="s">
        <v>799</v>
      </c>
      <c r="E47" s="74">
        <f>FirstYear</f>
        <v>2026</v>
      </c>
      <c r="F47" s="74">
        <f>E47+1</f>
        <v>2027</v>
      </c>
      <c r="G47" s="74">
        <f>F47+1</f>
        <v>2028</v>
      </c>
      <c r="H47" s="74">
        <f>G47+1</f>
        <v>2029</v>
      </c>
      <c r="I47" s="74">
        <f>H47+1</f>
        <v>2030</v>
      </c>
      <c r="J47" s="74">
        <f>I47+1</f>
        <v>2031</v>
      </c>
      <c r="L47" s="74">
        <f>FirstYear</f>
        <v>2026</v>
      </c>
      <c r="M47" s="74">
        <f>L47+1</f>
        <v>2027</v>
      </c>
      <c r="N47" s="74">
        <f>M47+1</f>
        <v>2028</v>
      </c>
      <c r="O47" s="74">
        <f>N47+1</f>
        <v>2029</v>
      </c>
      <c r="P47" s="74">
        <f>O47+1</f>
        <v>2030</v>
      </c>
      <c r="Q47" s="74">
        <f>P47+1</f>
        <v>2031</v>
      </c>
      <c r="AE47" s="345"/>
      <c r="AF47" s="204">
        <f>FirstYear</f>
        <v>2026</v>
      </c>
      <c r="AG47" s="204">
        <f>AF47+1</f>
        <v>2027</v>
      </c>
      <c r="AH47" s="204">
        <f>AG47+1</f>
        <v>2028</v>
      </c>
      <c r="AI47" s="204">
        <f>AH47+1</f>
        <v>2029</v>
      </c>
      <c r="AJ47" s="204">
        <f>AI47+1</f>
        <v>2030</v>
      </c>
      <c r="AK47" s="204">
        <f>AJ47+1</f>
        <v>2031</v>
      </c>
      <c r="AL47" s="204">
        <f>FirstYear</f>
        <v>2026</v>
      </c>
      <c r="AM47" s="204">
        <f>AL47+1</f>
        <v>2027</v>
      </c>
      <c r="AN47" s="204">
        <f>AM47+1</f>
        <v>2028</v>
      </c>
      <c r="AO47" s="204">
        <f>AN47+1</f>
        <v>2029</v>
      </c>
      <c r="AP47" s="204">
        <f>AO47+1</f>
        <v>2030</v>
      </c>
      <c r="AQ47" s="204">
        <f>AP47+1</f>
        <v>2031</v>
      </c>
    </row>
    <row r="48" spans="1:43" hidden="1" outlineLevel="1" x14ac:dyDescent="0.2">
      <c r="B48" s="246">
        <f t="shared" ref="B48:B67" si="11">IF(D48&lt;&gt;MsgNotUsed,1,0)</f>
        <v>0</v>
      </c>
      <c r="C48" s="52">
        <v>1</v>
      </c>
      <c r="D48" s="77" t="str">
        <f t="shared" ref="D48:D67" si="12">AB105</f>
        <v>** NOT USED **</v>
      </c>
      <c r="E48" s="27">
        <f t="shared" ref="E48:E67" si="13">IF(AND($D105&lt;&gt;"",$O105&lt;&gt;""),IF($AC105="C",AL48,AF48)*$O105*$R105,0)</f>
        <v>0</v>
      </c>
      <c r="F48" s="27">
        <f t="shared" ref="F48:F67" si="14">IF(AND($D105&lt;&gt;"",$O105&lt;&gt;""),IF($AC105="C",AM48,AG48)*$O105*$R105,0)</f>
        <v>0</v>
      </c>
      <c r="G48" s="27">
        <f t="shared" ref="G48:G67" si="15">IF(AND($D105&lt;&gt;"",$O105&lt;&gt;""),IF($AC105="C",AN48,AH48)*$O105*$R105,0)</f>
        <v>0</v>
      </c>
      <c r="H48" s="27">
        <f t="shared" ref="H48:H67" si="16">IF(AND($D105&lt;&gt;"",$O105&lt;&gt;""),IF($AC105="C",AO48,AI48)*$O105*$R105,0)</f>
        <v>0</v>
      </c>
      <c r="I48" s="27">
        <f t="shared" ref="I48:I67" si="17">IF(AND($D105&lt;&gt;"",$O105&lt;&gt;""),IF($AC105="C",AP48,AJ48)*$O105*$R105,0)</f>
        <v>0</v>
      </c>
      <c r="J48" s="27">
        <f t="shared" ref="J48:J67" si="18">IF(AND($D105&lt;&gt;"",$O105&lt;&gt;""),IF($AC105="C",AQ48,AK48)*$O105*$R105,0)</f>
        <v>0</v>
      </c>
      <c r="L48" s="27">
        <f t="shared" ref="L48:L67" si="19">IF(AND($D105&lt;&gt;"",$O105&lt;&gt;""),IF($AC105="C",AL76,AF76)*$O105*$R105,0)</f>
        <v>0</v>
      </c>
      <c r="M48" s="27">
        <f t="shared" ref="M48:M67" si="20">IF(AND($D105&lt;&gt;"",$O105&lt;&gt;""),IF($AC105="C",AM76,AG76)*$O105*$R105,0)</f>
        <v>0</v>
      </c>
      <c r="N48" s="27">
        <f t="shared" ref="N48:N67" si="21">IF(AND($D105&lt;&gt;"",$O105&lt;&gt;""),IF($AC105="C",AN76,AH76)*$O105*$R105,0)</f>
        <v>0</v>
      </c>
      <c r="O48" s="27">
        <f t="shared" ref="O48:O67" si="22">IF(AND($D105&lt;&gt;"",$O105&lt;&gt;""),IF($AC105="C",AO76,AI76)*$O105*$R105,0)</f>
        <v>0</v>
      </c>
      <c r="P48" s="27">
        <f t="shared" ref="P48:P67" si="23">IF(AND($D105&lt;&gt;"",$O105&lt;&gt;""),IF($AC105="C",AP76,AJ76)*$O105*$R105,0)</f>
        <v>0</v>
      </c>
      <c r="Q48" s="27">
        <f t="shared" ref="Q48:Q67" si="24">IF(AND($D105&lt;&gt;"",$O105&lt;&gt;""),IF($AC105="C",AQ76,AK76)*$O105*$R105,0)</f>
        <v>0</v>
      </c>
      <c r="AE48" s="249">
        <v>1</v>
      </c>
      <c r="AF48" s="369">
        <f t="shared" ref="AF48:AQ48" si="25">IF(OR(ScriptSourceCode=1,ScriptSourceCode=3),AF105-AF76,0)</f>
        <v>0</v>
      </c>
      <c r="AG48" s="369">
        <f t="shared" si="25"/>
        <v>0</v>
      </c>
      <c r="AH48" s="369">
        <f t="shared" si="25"/>
        <v>0</v>
      </c>
      <c r="AI48" s="369">
        <f t="shared" si="25"/>
        <v>0</v>
      </c>
      <c r="AJ48" s="369">
        <f t="shared" si="25"/>
        <v>0</v>
      </c>
      <c r="AK48" s="369">
        <f t="shared" si="25"/>
        <v>0</v>
      </c>
      <c r="AL48" s="369">
        <f t="shared" si="25"/>
        <v>0</v>
      </c>
      <c r="AM48" s="369">
        <f t="shared" si="25"/>
        <v>0</v>
      </c>
      <c r="AN48" s="369">
        <f t="shared" si="25"/>
        <v>0</v>
      </c>
      <c r="AO48" s="369">
        <f t="shared" si="25"/>
        <v>0</v>
      </c>
      <c r="AP48" s="369">
        <f t="shared" si="25"/>
        <v>0</v>
      </c>
      <c r="AQ48" s="369">
        <f t="shared" si="25"/>
        <v>0</v>
      </c>
    </row>
    <row r="49" spans="2:43" hidden="1" outlineLevel="1" x14ac:dyDescent="0.2">
      <c r="B49" s="246">
        <f t="shared" si="11"/>
        <v>0</v>
      </c>
      <c r="C49" s="52">
        <v>2</v>
      </c>
      <c r="D49" s="77" t="str">
        <f t="shared" si="12"/>
        <v>** NOT USED **</v>
      </c>
      <c r="E49" s="27">
        <f t="shared" si="13"/>
        <v>0</v>
      </c>
      <c r="F49" s="27">
        <f t="shared" si="14"/>
        <v>0</v>
      </c>
      <c r="G49" s="27">
        <f t="shared" si="15"/>
        <v>0</v>
      </c>
      <c r="H49" s="27">
        <f t="shared" si="16"/>
        <v>0</v>
      </c>
      <c r="I49" s="27">
        <f t="shared" si="17"/>
        <v>0</v>
      </c>
      <c r="J49" s="27">
        <f t="shared" si="18"/>
        <v>0</v>
      </c>
      <c r="L49" s="27">
        <f t="shared" si="19"/>
        <v>0</v>
      </c>
      <c r="M49" s="27">
        <f t="shared" si="20"/>
        <v>0</v>
      </c>
      <c r="N49" s="27">
        <f t="shared" si="21"/>
        <v>0</v>
      </c>
      <c r="O49" s="27">
        <f t="shared" si="22"/>
        <v>0</v>
      </c>
      <c r="P49" s="27">
        <f t="shared" si="23"/>
        <v>0</v>
      </c>
      <c r="Q49" s="27">
        <f t="shared" si="24"/>
        <v>0</v>
      </c>
      <c r="AE49" s="249">
        <v>2</v>
      </c>
      <c r="AF49" s="369">
        <f t="shared" ref="AF49:AQ49" si="26">IF(OR(ScriptSourceCode=1,ScriptSourceCode=3),AF106-AF77,0)</f>
        <v>0</v>
      </c>
      <c r="AG49" s="369">
        <f t="shared" si="26"/>
        <v>0</v>
      </c>
      <c r="AH49" s="369">
        <f t="shared" si="26"/>
        <v>0</v>
      </c>
      <c r="AI49" s="369">
        <f t="shared" si="26"/>
        <v>0</v>
      </c>
      <c r="AJ49" s="369">
        <f t="shared" si="26"/>
        <v>0</v>
      </c>
      <c r="AK49" s="369">
        <f t="shared" si="26"/>
        <v>0</v>
      </c>
      <c r="AL49" s="369">
        <f t="shared" si="26"/>
        <v>0</v>
      </c>
      <c r="AM49" s="369">
        <f t="shared" si="26"/>
        <v>0</v>
      </c>
      <c r="AN49" s="369">
        <f t="shared" si="26"/>
        <v>0</v>
      </c>
      <c r="AO49" s="369">
        <f t="shared" si="26"/>
        <v>0</v>
      </c>
      <c r="AP49" s="369">
        <f t="shared" si="26"/>
        <v>0</v>
      </c>
      <c r="AQ49" s="369">
        <f t="shared" si="26"/>
        <v>0</v>
      </c>
    </row>
    <row r="50" spans="2:43" hidden="1" outlineLevel="1" x14ac:dyDescent="0.2">
      <c r="B50" s="246">
        <f t="shared" si="11"/>
        <v>0</v>
      </c>
      <c r="C50" s="52">
        <v>3</v>
      </c>
      <c r="D50" s="77" t="str">
        <f t="shared" si="12"/>
        <v>** NOT USED **</v>
      </c>
      <c r="E50" s="27">
        <f t="shared" si="13"/>
        <v>0</v>
      </c>
      <c r="F50" s="27">
        <f t="shared" si="14"/>
        <v>0</v>
      </c>
      <c r="G50" s="27">
        <f t="shared" si="15"/>
        <v>0</v>
      </c>
      <c r="H50" s="27">
        <f t="shared" si="16"/>
        <v>0</v>
      </c>
      <c r="I50" s="27">
        <f t="shared" si="17"/>
        <v>0</v>
      </c>
      <c r="J50" s="27">
        <f t="shared" si="18"/>
        <v>0</v>
      </c>
      <c r="L50" s="27">
        <f t="shared" si="19"/>
        <v>0</v>
      </c>
      <c r="M50" s="27">
        <f t="shared" si="20"/>
        <v>0</v>
      </c>
      <c r="N50" s="27">
        <f t="shared" si="21"/>
        <v>0</v>
      </c>
      <c r="O50" s="27">
        <f t="shared" si="22"/>
        <v>0</v>
      </c>
      <c r="P50" s="27">
        <f t="shared" si="23"/>
        <v>0</v>
      </c>
      <c r="Q50" s="27">
        <f t="shared" si="24"/>
        <v>0</v>
      </c>
      <c r="AE50" s="249">
        <v>3</v>
      </c>
      <c r="AF50" s="369">
        <f t="shared" ref="AF50:AQ50" si="27">IF(OR(ScriptSourceCode=1,ScriptSourceCode=3),AF107-AF78,0)</f>
        <v>0</v>
      </c>
      <c r="AG50" s="369">
        <f t="shared" si="27"/>
        <v>0</v>
      </c>
      <c r="AH50" s="369">
        <f t="shared" si="27"/>
        <v>0</v>
      </c>
      <c r="AI50" s="369">
        <f t="shared" si="27"/>
        <v>0</v>
      </c>
      <c r="AJ50" s="369">
        <f t="shared" si="27"/>
        <v>0</v>
      </c>
      <c r="AK50" s="369">
        <f t="shared" si="27"/>
        <v>0</v>
      </c>
      <c r="AL50" s="369">
        <f t="shared" si="27"/>
        <v>0</v>
      </c>
      <c r="AM50" s="369">
        <f t="shared" si="27"/>
        <v>0</v>
      </c>
      <c r="AN50" s="369">
        <f t="shared" si="27"/>
        <v>0</v>
      </c>
      <c r="AO50" s="369">
        <f t="shared" si="27"/>
        <v>0</v>
      </c>
      <c r="AP50" s="369">
        <f t="shared" si="27"/>
        <v>0</v>
      </c>
      <c r="AQ50" s="369">
        <f t="shared" si="27"/>
        <v>0</v>
      </c>
    </row>
    <row r="51" spans="2:43" hidden="1" outlineLevel="1" x14ac:dyDescent="0.2">
      <c r="B51" s="246">
        <f t="shared" si="11"/>
        <v>0</v>
      </c>
      <c r="C51" s="52">
        <v>4</v>
      </c>
      <c r="D51" s="77" t="str">
        <f t="shared" si="12"/>
        <v>** NOT USED **</v>
      </c>
      <c r="E51" s="27">
        <f t="shared" si="13"/>
        <v>0</v>
      </c>
      <c r="F51" s="27">
        <f t="shared" si="14"/>
        <v>0</v>
      </c>
      <c r="G51" s="27">
        <f t="shared" si="15"/>
        <v>0</v>
      </c>
      <c r="H51" s="27">
        <f t="shared" si="16"/>
        <v>0</v>
      </c>
      <c r="I51" s="27">
        <f t="shared" si="17"/>
        <v>0</v>
      </c>
      <c r="J51" s="27">
        <f t="shared" si="18"/>
        <v>0</v>
      </c>
      <c r="L51" s="27">
        <f t="shared" si="19"/>
        <v>0</v>
      </c>
      <c r="M51" s="27">
        <f t="shared" si="20"/>
        <v>0</v>
      </c>
      <c r="N51" s="27">
        <f t="shared" si="21"/>
        <v>0</v>
      </c>
      <c r="O51" s="27">
        <f t="shared" si="22"/>
        <v>0</v>
      </c>
      <c r="P51" s="27">
        <f t="shared" si="23"/>
        <v>0</v>
      </c>
      <c r="Q51" s="27">
        <f t="shared" si="24"/>
        <v>0</v>
      </c>
      <c r="AE51" s="249">
        <v>4</v>
      </c>
      <c r="AF51" s="369">
        <f t="shared" ref="AF51:AQ51" si="28">IF(OR(ScriptSourceCode=1,ScriptSourceCode=3),AF108-AF79,0)</f>
        <v>0</v>
      </c>
      <c r="AG51" s="369">
        <f t="shared" si="28"/>
        <v>0</v>
      </c>
      <c r="AH51" s="369">
        <f t="shared" si="28"/>
        <v>0</v>
      </c>
      <c r="AI51" s="369">
        <f t="shared" si="28"/>
        <v>0</v>
      </c>
      <c r="AJ51" s="369">
        <f t="shared" si="28"/>
        <v>0</v>
      </c>
      <c r="AK51" s="369">
        <f t="shared" si="28"/>
        <v>0</v>
      </c>
      <c r="AL51" s="369">
        <f t="shared" si="28"/>
        <v>0</v>
      </c>
      <c r="AM51" s="369">
        <f t="shared" si="28"/>
        <v>0</v>
      </c>
      <c r="AN51" s="369">
        <f t="shared" si="28"/>
        <v>0</v>
      </c>
      <c r="AO51" s="369">
        <f t="shared" si="28"/>
        <v>0</v>
      </c>
      <c r="AP51" s="369">
        <f t="shared" si="28"/>
        <v>0</v>
      </c>
      <c r="AQ51" s="369">
        <f t="shared" si="28"/>
        <v>0</v>
      </c>
    </row>
    <row r="52" spans="2:43" hidden="1" outlineLevel="1" x14ac:dyDescent="0.2">
      <c r="B52" s="246">
        <f t="shared" si="11"/>
        <v>0</v>
      </c>
      <c r="C52" s="52">
        <v>5</v>
      </c>
      <c r="D52" s="77" t="str">
        <f t="shared" si="12"/>
        <v>** NOT USED **</v>
      </c>
      <c r="E52" s="27">
        <f t="shared" si="13"/>
        <v>0</v>
      </c>
      <c r="F52" s="27">
        <f t="shared" si="14"/>
        <v>0</v>
      </c>
      <c r="G52" s="27">
        <f t="shared" si="15"/>
        <v>0</v>
      </c>
      <c r="H52" s="27">
        <f t="shared" si="16"/>
        <v>0</v>
      </c>
      <c r="I52" s="27">
        <f t="shared" si="17"/>
        <v>0</v>
      </c>
      <c r="J52" s="27">
        <f t="shared" si="18"/>
        <v>0</v>
      </c>
      <c r="L52" s="27">
        <f t="shared" si="19"/>
        <v>0</v>
      </c>
      <c r="M52" s="27">
        <f t="shared" si="20"/>
        <v>0</v>
      </c>
      <c r="N52" s="27">
        <f t="shared" si="21"/>
        <v>0</v>
      </c>
      <c r="O52" s="27">
        <f t="shared" si="22"/>
        <v>0</v>
      </c>
      <c r="P52" s="27">
        <f t="shared" si="23"/>
        <v>0</v>
      </c>
      <c r="Q52" s="27">
        <f t="shared" si="24"/>
        <v>0</v>
      </c>
      <c r="AE52" s="249">
        <v>5</v>
      </c>
      <c r="AF52" s="369">
        <f t="shared" ref="AF52:AQ52" si="29">IF(OR(ScriptSourceCode=1,ScriptSourceCode=3),AF109-AF80,0)</f>
        <v>0</v>
      </c>
      <c r="AG52" s="369">
        <f t="shared" si="29"/>
        <v>0</v>
      </c>
      <c r="AH52" s="369">
        <f t="shared" si="29"/>
        <v>0</v>
      </c>
      <c r="AI52" s="369">
        <f t="shared" si="29"/>
        <v>0</v>
      </c>
      <c r="AJ52" s="369">
        <f t="shared" si="29"/>
        <v>0</v>
      </c>
      <c r="AK52" s="369">
        <f t="shared" si="29"/>
        <v>0</v>
      </c>
      <c r="AL52" s="369">
        <f t="shared" si="29"/>
        <v>0</v>
      </c>
      <c r="AM52" s="369">
        <f t="shared" si="29"/>
        <v>0</v>
      </c>
      <c r="AN52" s="369">
        <f t="shared" si="29"/>
        <v>0</v>
      </c>
      <c r="AO52" s="369">
        <f t="shared" si="29"/>
        <v>0</v>
      </c>
      <c r="AP52" s="369">
        <f t="shared" si="29"/>
        <v>0</v>
      </c>
      <c r="AQ52" s="369">
        <f t="shared" si="29"/>
        <v>0</v>
      </c>
    </row>
    <row r="53" spans="2:43" hidden="1" outlineLevel="1" x14ac:dyDescent="0.2">
      <c r="B53" s="246">
        <f t="shared" si="11"/>
        <v>0</v>
      </c>
      <c r="C53" s="52">
        <v>6</v>
      </c>
      <c r="D53" s="77" t="str">
        <f t="shared" si="12"/>
        <v>** NOT USED **</v>
      </c>
      <c r="E53" s="27">
        <f t="shared" si="13"/>
        <v>0</v>
      </c>
      <c r="F53" s="27">
        <f t="shared" si="14"/>
        <v>0</v>
      </c>
      <c r="G53" s="27">
        <f t="shared" si="15"/>
        <v>0</v>
      </c>
      <c r="H53" s="27">
        <f t="shared" si="16"/>
        <v>0</v>
      </c>
      <c r="I53" s="27">
        <f t="shared" si="17"/>
        <v>0</v>
      </c>
      <c r="J53" s="27">
        <f t="shared" si="18"/>
        <v>0</v>
      </c>
      <c r="L53" s="27">
        <f t="shared" si="19"/>
        <v>0</v>
      </c>
      <c r="M53" s="27">
        <f t="shared" si="20"/>
        <v>0</v>
      </c>
      <c r="N53" s="27">
        <f t="shared" si="21"/>
        <v>0</v>
      </c>
      <c r="O53" s="27">
        <f t="shared" si="22"/>
        <v>0</v>
      </c>
      <c r="P53" s="27">
        <f t="shared" si="23"/>
        <v>0</v>
      </c>
      <c r="Q53" s="27">
        <f t="shared" si="24"/>
        <v>0</v>
      </c>
      <c r="AE53" s="249">
        <v>6</v>
      </c>
      <c r="AF53" s="369">
        <f t="shared" ref="AF53:AQ53" si="30">IF(OR(ScriptSourceCode=1,ScriptSourceCode=3),AF110-AF81,0)</f>
        <v>0</v>
      </c>
      <c r="AG53" s="369">
        <f t="shared" si="30"/>
        <v>0</v>
      </c>
      <c r="AH53" s="369">
        <f t="shared" si="30"/>
        <v>0</v>
      </c>
      <c r="AI53" s="369">
        <f t="shared" si="30"/>
        <v>0</v>
      </c>
      <c r="AJ53" s="369">
        <f t="shared" si="30"/>
        <v>0</v>
      </c>
      <c r="AK53" s="369">
        <f t="shared" si="30"/>
        <v>0</v>
      </c>
      <c r="AL53" s="369">
        <f t="shared" si="30"/>
        <v>0</v>
      </c>
      <c r="AM53" s="369">
        <f t="shared" si="30"/>
        <v>0</v>
      </c>
      <c r="AN53" s="369">
        <f t="shared" si="30"/>
        <v>0</v>
      </c>
      <c r="AO53" s="369">
        <f t="shared" si="30"/>
        <v>0</v>
      </c>
      <c r="AP53" s="369">
        <f t="shared" si="30"/>
        <v>0</v>
      </c>
      <c r="AQ53" s="369">
        <f t="shared" si="30"/>
        <v>0</v>
      </c>
    </row>
    <row r="54" spans="2:43" hidden="1" outlineLevel="1" x14ac:dyDescent="0.2">
      <c r="B54" s="246">
        <f t="shared" si="11"/>
        <v>0</v>
      </c>
      <c r="C54" s="52">
        <v>7</v>
      </c>
      <c r="D54" s="77" t="str">
        <f t="shared" si="12"/>
        <v>** NOT USED **</v>
      </c>
      <c r="E54" s="27">
        <f t="shared" si="13"/>
        <v>0</v>
      </c>
      <c r="F54" s="27">
        <f t="shared" si="14"/>
        <v>0</v>
      </c>
      <c r="G54" s="27">
        <f t="shared" si="15"/>
        <v>0</v>
      </c>
      <c r="H54" s="27">
        <f t="shared" si="16"/>
        <v>0</v>
      </c>
      <c r="I54" s="27">
        <f t="shared" si="17"/>
        <v>0</v>
      </c>
      <c r="J54" s="27">
        <f t="shared" si="18"/>
        <v>0</v>
      </c>
      <c r="L54" s="27">
        <f t="shared" si="19"/>
        <v>0</v>
      </c>
      <c r="M54" s="27">
        <f t="shared" si="20"/>
        <v>0</v>
      </c>
      <c r="N54" s="27">
        <f t="shared" si="21"/>
        <v>0</v>
      </c>
      <c r="O54" s="27">
        <f t="shared" si="22"/>
        <v>0</v>
      </c>
      <c r="P54" s="27">
        <f t="shared" si="23"/>
        <v>0</v>
      </c>
      <c r="Q54" s="27">
        <f t="shared" si="24"/>
        <v>0</v>
      </c>
      <c r="AE54" s="249">
        <v>7</v>
      </c>
      <c r="AF54" s="369">
        <f t="shared" ref="AF54:AQ54" si="31">IF(OR(ScriptSourceCode=1,ScriptSourceCode=3),AF111-AF82,0)</f>
        <v>0</v>
      </c>
      <c r="AG54" s="369">
        <f t="shared" si="31"/>
        <v>0</v>
      </c>
      <c r="AH54" s="369">
        <f t="shared" si="31"/>
        <v>0</v>
      </c>
      <c r="AI54" s="369">
        <f t="shared" si="31"/>
        <v>0</v>
      </c>
      <c r="AJ54" s="369">
        <f t="shared" si="31"/>
        <v>0</v>
      </c>
      <c r="AK54" s="369">
        <f t="shared" si="31"/>
        <v>0</v>
      </c>
      <c r="AL54" s="369">
        <f t="shared" si="31"/>
        <v>0</v>
      </c>
      <c r="AM54" s="369">
        <f t="shared" si="31"/>
        <v>0</v>
      </c>
      <c r="AN54" s="369">
        <f t="shared" si="31"/>
        <v>0</v>
      </c>
      <c r="AO54" s="369">
        <f t="shared" si="31"/>
        <v>0</v>
      </c>
      <c r="AP54" s="369">
        <f t="shared" si="31"/>
        <v>0</v>
      </c>
      <c r="AQ54" s="369">
        <f t="shared" si="31"/>
        <v>0</v>
      </c>
    </row>
    <row r="55" spans="2:43" hidden="1" outlineLevel="1" x14ac:dyDescent="0.2">
      <c r="B55" s="246">
        <f t="shared" si="11"/>
        <v>0</v>
      </c>
      <c r="C55" s="52">
        <v>8</v>
      </c>
      <c r="D55" s="77" t="str">
        <f t="shared" si="12"/>
        <v>** NOT USED **</v>
      </c>
      <c r="E55" s="27">
        <f t="shared" si="13"/>
        <v>0</v>
      </c>
      <c r="F55" s="27">
        <f t="shared" si="14"/>
        <v>0</v>
      </c>
      <c r="G55" s="27">
        <f t="shared" si="15"/>
        <v>0</v>
      </c>
      <c r="H55" s="27">
        <f t="shared" si="16"/>
        <v>0</v>
      </c>
      <c r="I55" s="27">
        <f t="shared" si="17"/>
        <v>0</v>
      </c>
      <c r="J55" s="27">
        <f t="shared" si="18"/>
        <v>0</v>
      </c>
      <c r="L55" s="27">
        <f t="shared" si="19"/>
        <v>0</v>
      </c>
      <c r="M55" s="27">
        <f t="shared" si="20"/>
        <v>0</v>
      </c>
      <c r="N55" s="27">
        <f t="shared" si="21"/>
        <v>0</v>
      </c>
      <c r="O55" s="27">
        <f t="shared" si="22"/>
        <v>0</v>
      </c>
      <c r="P55" s="27">
        <f t="shared" si="23"/>
        <v>0</v>
      </c>
      <c r="Q55" s="27">
        <f t="shared" si="24"/>
        <v>0</v>
      </c>
      <c r="AE55" s="249">
        <v>8</v>
      </c>
      <c r="AF55" s="369">
        <f t="shared" ref="AF55:AQ55" si="32">IF(OR(ScriptSourceCode=1,ScriptSourceCode=3),AF112-AF83,0)</f>
        <v>0</v>
      </c>
      <c r="AG55" s="369">
        <f t="shared" si="32"/>
        <v>0</v>
      </c>
      <c r="AH55" s="369">
        <f t="shared" si="32"/>
        <v>0</v>
      </c>
      <c r="AI55" s="369">
        <f t="shared" si="32"/>
        <v>0</v>
      </c>
      <c r="AJ55" s="369">
        <f t="shared" si="32"/>
        <v>0</v>
      </c>
      <c r="AK55" s="369">
        <f t="shared" si="32"/>
        <v>0</v>
      </c>
      <c r="AL55" s="369">
        <f t="shared" si="32"/>
        <v>0</v>
      </c>
      <c r="AM55" s="369">
        <f t="shared" si="32"/>
        <v>0</v>
      </c>
      <c r="AN55" s="369">
        <f t="shared" si="32"/>
        <v>0</v>
      </c>
      <c r="AO55" s="369">
        <f t="shared" si="32"/>
        <v>0</v>
      </c>
      <c r="AP55" s="369">
        <f t="shared" si="32"/>
        <v>0</v>
      </c>
      <c r="AQ55" s="369">
        <f t="shared" si="32"/>
        <v>0</v>
      </c>
    </row>
    <row r="56" spans="2:43" hidden="1" outlineLevel="1" x14ac:dyDescent="0.2">
      <c r="B56" s="246">
        <f t="shared" si="11"/>
        <v>0</v>
      </c>
      <c r="C56" s="52">
        <v>9</v>
      </c>
      <c r="D56" s="77" t="str">
        <f t="shared" si="12"/>
        <v>** NOT USED **</v>
      </c>
      <c r="E56" s="27">
        <f t="shared" si="13"/>
        <v>0</v>
      </c>
      <c r="F56" s="27">
        <f t="shared" si="14"/>
        <v>0</v>
      </c>
      <c r="G56" s="27">
        <f t="shared" si="15"/>
        <v>0</v>
      </c>
      <c r="H56" s="27">
        <f t="shared" si="16"/>
        <v>0</v>
      </c>
      <c r="I56" s="27">
        <f t="shared" si="17"/>
        <v>0</v>
      </c>
      <c r="J56" s="27">
        <f t="shared" si="18"/>
        <v>0</v>
      </c>
      <c r="L56" s="27">
        <f t="shared" si="19"/>
        <v>0</v>
      </c>
      <c r="M56" s="27">
        <f t="shared" si="20"/>
        <v>0</v>
      </c>
      <c r="N56" s="27">
        <f t="shared" si="21"/>
        <v>0</v>
      </c>
      <c r="O56" s="27">
        <f t="shared" si="22"/>
        <v>0</v>
      </c>
      <c r="P56" s="27">
        <f t="shared" si="23"/>
        <v>0</v>
      </c>
      <c r="Q56" s="27">
        <f t="shared" si="24"/>
        <v>0</v>
      </c>
      <c r="AE56" s="249">
        <v>9</v>
      </c>
      <c r="AF56" s="369">
        <f t="shared" ref="AF56:AQ56" si="33">IF(OR(ScriptSourceCode=1,ScriptSourceCode=3),AF113-AF84,0)</f>
        <v>0</v>
      </c>
      <c r="AG56" s="369">
        <f t="shared" si="33"/>
        <v>0</v>
      </c>
      <c r="AH56" s="369">
        <f t="shared" si="33"/>
        <v>0</v>
      </c>
      <c r="AI56" s="369">
        <f t="shared" si="33"/>
        <v>0</v>
      </c>
      <c r="AJ56" s="369">
        <f t="shared" si="33"/>
        <v>0</v>
      </c>
      <c r="AK56" s="369">
        <f t="shared" si="33"/>
        <v>0</v>
      </c>
      <c r="AL56" s="369">
        <f t="shared" si="33"/>
        <v>0</v>
      </c>
      <c r="AM56" s="369">
        <f t="shared" si="33"/>
        <v>0</v>
      </c>
      <c r="AN56" s="369">
        <f t="shared" si="33"/>
        <v>0</v>
      </c>
      <c r="AO56" s="369">
        <f t="shared" si="33"/>
        <v>0</v>
      </c>
      <c r="AP56" s="369">
        <f t="shared" si="33"/>
        <v>0</v>
      </c>
      <c r="AQ56" s="369">
        <f t="shared" si="33"/>
        <v>0</v>
      </c>
    </row>
    <row r="57" spans="2:43" hidden="1" outlineLevel="1" x14ac:dyDescent="0.2">
      <c r="B57" s="246">
        <f t="shared" si="11"/>
        <v>0</v>
      </c>
      <c r="C57" s="52">
        <v>10</v>
      </c>
      <c r="D57" s="77" t="str">
        <f t="shared" si="12"/>
        <v>** NOT USED **</v>
      </c>
      <c r="E57" s="27">
        <f t="shared" si="13"/>
        <v>0</v>
      </c>
      <c r="F57" s="27">
        <f t="shared" si="14"/>
        <v>0</v>
      </c>
      <c r="G57" s="27">
        <f t="shared" si="15"/>
        <v>0</v>
      </c>
      <c r="H57" s="27">
        <f t="shared" si="16"/>
        <v>0</v>
      </c>
      <c r="I57" s="27">
        <f t="shared" si="17"/>
        <v>0</v>
      </c>
      <c r="J57" s="27">
        <f t="shared" si="18"/>
        <v>0</v>
      </c>
      <c r="L57" s="27">
        <f t="shared" si="19"/>
        <v>0</v>
      </c>
      <c r="M57" s="27">
        <f t="shared" si="20"/>
        <v>0</v>
      </c>
      <c r="N57" s="27">
        <f t="shared" si="21"/>
        <v>0</v>
      </c>
      <c r="O57" s="27">
        <f t="shared" si="22"/>
        <v>0</v>
      </c>
      <c r="P57" s="27">
        <f t="shared" si="23"/>
        <v>0</v>
      </c>
      <c r="Q57" s="27">
        <f t="shared" si="24"/>
        <v>0</v>
      </c>
      <c r="AE57" s="249">
        <v>10</v>
      </c>
      <c r="AF57" s="369">
        <f t="shared" ref="AF57:AQ57" si="34">IF(OR(ScriptSourceCode=1,ScriptSourceCode=3),AF114-AF85,0)</f>
        <v>0</v>
      </c>
      <c r="AG57" s="369">
        <f t="shared" si="34"/>
        <v>0</v>
      </c>
      <c r="AH57" s="369">
        <f t="shared" si="34"/>
        <v>0</v>
      </c>
      <c r="AI57" s="369">
        <f t="shared" si="34"/>
        <v>0</v>
      </c>
      <c r="AJ57" s="369">
        <f t="shared" si="34"/>
        <v>0</v>
      </c>
      <c r="AK57" s="369">
        <f t="shared" si="34"/>
        <v>0</v>
      </c>
      <c r="AL57" s="369">
        <f t="shared" si="34"/>
        <v>0</v>
      </c>
      <c r="AM57" s="369">
        <f t="shared" si="34"/>
        <v>0</v>
      </c>
      <c r="AN57" s="369">
        <f t="shared" si="34"/>
        <v>0</v>
      </c>
      <c r="AO57" s="369">
        <f t="shared" si="34"/>
        <v>0</v>
      </c>
      <c r="AP57" s="369">
        <f t="shared" si="34"/>
        <v>0</v>
      </c>
      <c r="AQ57" s="369">
        <f t="shared" si="34"/>
        <v>0</v>
      </c>
    </row>
    <row r="58" spans="2:43" hidden="1" outlineLevel="1" x14ac:dyDescent="0.2">
      <c r="B58" s="246">
        <f t="shared" si="11"/>
        <v>0</v>
      </c>
      <c r="C58" s="52">
        <v>11</v>
      </c>
      <c r="D58" s="77" t="str">
        <f t="shared" si="12"/>
        <v>** NOT USED **</v>
      </c>
      <c r="E58" s="27">
        <f t="shared" si="13"/>
        <v>0</v>
      </c>
      <c r="F58" s="27">
        <f t="shared" si="14"/>
        <v>0</v>
      </c>
      <c r="G58" s="27">
        <f t="shared" si="15"/>
        <v>0</v>
      </c>
      <c r="H58" s="27">
        <f t="shared" si="16"/>
        <v>0</v>
      </c>
      <c r="I58" s="27">
        <f t="shared" si="17"/>
        <v>0</v>
      </c>
      <c r="J58" s="27">
        <f t="shared" si="18"/>
        <v>0</v>
      </c>
      <c r="L58" s="27">
        <f t="shared" si="19"/>
        <v>0</v>
      </c>
      <c r="M58" s="27">
        <f t="shared" si="20"/>
        <v>0</v>
      </c>
      <c r="N58" s="27">
        <f t="shared" si="21"/>
        <v>0</v>
      </c>
      <c r="O58" s="27">
        <f t="shared" si="22"/>
        <v>0</v>
      </c>
      <c r="P58" s="27">
        <f t="shared" si="23"/>
        <v>0</v>
      </c>
      <c r="Q58" s="27">
        <f t="shared" si="24"/>
        <v>0</v>
      </c>
      <c r="AE58" s="249">
        <v>11</v>
      </c>
      <c r="AF58" s="369">
        <f t="shared" ref="AF58:AQ58" si="35">IF(OR(ScriptSourceCode=1,ScriptSourceCode=3),AF115-AF86,0)</f>
        <v>0</v>
      </c>
      <c r="AG58" s="369">
        <f t="shared" si="35"/>
        <v>0</v>
      </c>
      <c r="AH58" s="369">
        <f t="shared" si="35"/>
        <v>0</v>
      </c>
      <c r="AI58" s="369">
        <f t="shared" si="35"/>
        <v>0</v>
      </c>
      <c r="AJ58" s="369">
        <f t="shared" si="35"/>
        <v>0</v>
      </c>
      <c r="AK58" s="369">
        <f t="shared" si="35"/>
        <v>0</v>
      </c>
      <c r="AL58" s="369">
        <f t="shared" si="35"/>
        <v>0</v>
      </c>
      <c r="AM58" s="369">
        <f t="shared" si="35"/>
        <v>0</v>
      </c>
      <c r="AN58" s="369">
        <f t="shared" si="35"/>
        <v>0</v>
      </c>
      <c r="AO58" s="369">
        <f t="shared" si="35"/>
        <v>0</v>
      </c>
      <c r="AP58" s="369">
        <f t="shared" si="35"/>
        <v>0</v>
      </c>
      <c r="AQ58" s="369">
        <f t="shared" si="35"/>
        <v>0</v>
      </c>
    </row>
    <row r="59" spans="2:43" hidden="1" outlineLevel="1" x14ac:dyDescent="0.2">
      <c r="B59" s="246">
        <f t="shared" si="11"/>
        <v>0</v>
      </c>
      <c r="C59" s="52">
        <v>12</v>
      </c>
      <c r="D59" s="77" t="str">
        <f t="shared" si="12"/>
        <v>** NOT USED **</v>
      </c>
      <c r="E59" s="27">
        <f t="shared" si="13"/>
        <v>0</v>
      </c>
      <c r="F59" s="27">
        <f t="shared" si="14"/>
        <v>0</v>
      </c>
      <c r="G59" s="27">
        <f t="shared" si="15"/>
        <v>0</v>
      </c>
      <c r="H59" s="27">
        <f t="shared" si="16"/>
        <v>0</v>
      </c>
      <c r="I59" s="27">
        <f t="shared" si="17"/>
        <v>0</v>
      </c>
      <c r="J59" s="27">
        <f t="shared" si="18"/>
        <v>0</v>
      </c>
      <c r="L59" s="27">
        <f t="shared" si="19"/>
        <v>0</v>
      </c>
      <c r="M59" s="27">
        <f t="shared" si="20"/>
        <v>0</v>
      </c>
      <c r="N59" s="27">
        <f t="shared" si="21"/>
        <v>0</v>
      </c>
      <c r="O59" s="27">
        <f t="shared" si="22"/>
        <v>0</v>
      </c>
      <c r="P59" s="27">
        <f t="shared" si="23"/>
        <v>0</v>
      </c>
      <c r="Q59" s="27">
        <f t="shared" si="24"/>
        <v>0</v>
      </c>
      <c r="AE59" s="249">
        <v>12</v>
      </c>
      <c r="AF59" s="369">
        <f t="shared" ref="AF59:AQ59" si="36">IF(OR(ScriptSourceCode=1,ScriptSourceCode=3),AF116-AF87,0)</f>
        <v>0</v>
      </c>
      <c r="AG59" s="369">
        <f t="shared" si="36"/>
        <v>0</v>
      </c>
      <c r="AH59" s="369">
        <f t="shared" si="36"/>
        <v>0</v>
      </c>
      <c r="AI59" s="369">
        <f t="shared" si="36"/>
        <v>0</v>
      </c>
      <c r="AJ59" s="369">
        <f t="shared" si="36"/>
        <v>0</v>
      </c>
      <c r="AK59" s="369">
        <f t="shared" si="36"/>
        <v>0</v>
      </c>
      <c r="AL59" s="369">
        <f t="shared" si="36"/>
        <v>0</v>
      </c>
      <c r="AM59" s="369">
        <f t="shared" si="36"/>
        <v>0</v>
      </c>
      <c r="AN59" s="369">
        <f t="shared" si="36"/>
        <v>0</v>
      </c>
      <c r="AO59" s="369">
        <f t="shared" si="36"/>
        <v>0</v>
      </c>
      <c r="AP59" s="369">
        <f t="shared" si="36"/>
        <v>0</v>
      </c>
      <c r="AQ59" s="369">
        <f t="shared" si="36"/>
        <v>0</v>
      </c>
    </row>
    <row r="60" spans="2:43" hidden="1" outlineLevel="1" x14ac:dyDescent="0.2">
      <c r="B60" s="246">
        <f t="shared" si="11"/>
        <v>0</v>
      </c>
      <c r="C60" s="52">
        <v>13</v>
      </c>
      <c r="D60" s="77" t="str">
        <f t="shared" si="12"/>
        <v>** NOT USED **</v>
      </c>
      <c r="E60" s="27">
        <f t="shared" si="13"/>
        <v>0</v>
      </c>
      <c r="F60" s="27">
        <f t="shared" si="14"/>
        <v>0</v>
      </c>
      <c r="G60" s="27">
        <f t="shared" si="15"/>
        <v>0</v>
      </c>
      <c r="H60" s="27">
        <f t="shared" si="16"/>
        <v>0</v>
      </c>
      <c r="I60" s="27">
        <f t="shared" si="17"/>
        <v>0</v>
      </c>
      <c r="J60" s="27">
        <f t="shared" si="18"/>
        <v>0</v>
      </c>
      <c r="L60" s="27">
        <f t="shared" si="19"/>
        <v>0</v>
      </c>
      <c r="M60" s="27">
        <f t="shared" si="20"/>
        <v>0</v>
      </c>
      <c r="N60" s="27">
        <f t="shared" si="21"/>
        <v>0</v>
      </c>
      <c r="O60" s="27">
        <f t="shared" si="22"/>
        <v>0</v>
      </c>
      <c r="P60" s="27">
        <f t="shared" si="23"/>
        <v>0</v>
      </c>
      <c r="Q60" s="27">
        <f t="shared" si="24"/>
        <v>0</v>
      </c>
      <c r="AE60" s="249">
        <v>13</v>
      </c>
      <c r="AF60" s="369">
        <f t="shared" ref="AF60:AQ60" si="37">IF(OR(ScriptSourceCode=1,ScriptSourceCode=3),AF117-AF88,0)</f>
        <v>0</v>
      </c>
      <c r="AG60" s="369">
        <f t="shared" si="37"/>
        <v>0</v>
      </c>
      <c r="AH60" s="369">
        <f t="shared" si="37"/>
        <v>0</v>
      </c>
      <c r="AI60" s="369">
        <f t="shared" si="37"/>
        <v>0</v>
      </c>
      <c r="AJ60" s="369">
        <f t="shared" si="37"/>
        <v>0</v>
      </c>
      <c r="AK60" s="369">
        <f t="shared" si="37"/>
        <v>0</v>
      </c>
      <c r="AL60" s="369">
        <f t="shared" si="37"/>
        <v>0</v>
      </c>
      <c r="AM60" s="369">
        <f t="shared" si="37"/>
        <v>0</v>
      </c>
      <c r="AN60" s="369">
        <f t="shared" si="37"/>
        <v>0</v>
      </c>
      <c r="AO60" s="369">
        <f t="shared" si="37"/>
        <v>0</v>
      </c>
      <c r="AP60" s="369">
        <f t="shared" si="37"/>
        <v>0</v>
      </c>
      <c r="AQ60" s="369">
        <f t="shared" si="37"/>
        <v>0</v>
      </c>
    </row>
    <row r="61" spans="2:43" hidden="1" outlineLevel="1" x14ac:dyDescent="0.2">
      <c r="B61" s="246">
        <f t="shared" si="11"/>
        <v>0</v>
      </c>
      <c r="C61" s="52">
        <v>14</v>
      </c>
      <c r="D61" s="77" t="str">
        <f t="shared" si="12"/>
        <v>** NOT USED **</v>
      </c>
      <c r="E61" s="27">
        <f t="shared" si="13"/>
        <v>0</v>
      </c>
      <c r="F61" s="27">
        <f t="shared" si="14"/>
        <v>0</v>
      </c>
      <c r="G61" s="27">
        <f t="shared" si="15"/>
        <v>0</v>
      </c>
      <c r="H61" s="27">
        <f t="shared" si="16"/>
        <v>0</v>
      </c>
      <c r="I61" s="27">
        <f t="shared" si="17"/>
        <v>0</v>
      </c>
      <c r="J61" s="27">
        <f t="shared" si="18"/>
        <v>0</v>
      </c>
      <c r="L61" s="27">
        <f t="shared" si="19"/>
        <v>0</v>
      </c>
      <c r="M61" s="27">
        <f t="shared" si="20"/>
        <v>0</v>
      </c>
      <c r="N61" s="27">
        <f t="shared" si="21"/>
        <v>0</v>
      </c>
      <c r="O61" s="27">
        <f t="shared" si="22"/>
        <v>0</v>
      </c>
      <c r="P61" s="27">
        <f t="shared" si="23"/>
        <v>0</v>
      </c>
      <c r="Q61" s="27">
        <f t="shared" si="24"/>
        <v>0</v>
      </c>
      <c r="AE61" s="249">
        <v>14</v>
      </c>
      <c r="AF61" s="369">
        <f t="shared" ref="AF61:AQ61" si="38">IF(OR(ScriptSourceCode=1,ScriptSourceCode=3),AF118-AF89,0)</f>
        <v>0</v>
      </c>
      <c r="AG61" s="369">
        <f t="shared" si="38"/>
        <v>0</v>
      </c>
      <c r="AH61" s="369">
        <f t="shared" si="38"/>
        <v>0</v>
      </c>
      <c r="AI61" s="369">
        <f t="shared" si="38"/>
        <v>0</v>
      </c>
      <c r="AJ61" s="369">
        <f t="shared" si="38"/>
        <v>0</v>
      </c>
      <c r="AK61" s="369">
        <f t="shared" si="38"/>
        <v>0</v>
      </c>
      <c r="AL61" s="369">
        <f t="shared" si="38"/>
        <v>0</v>
      </c>
      <c r="AM61" s="369">
        <f t="shared" si="38"/>
        <v>0</v>
      </c>
      <c r="AN61" s="369">
        <f t="shared" si="38"/>
        <v>0</v>
      </c>
      <c r="AO61" s="369">
        <f t="shared" si="38"/>
        <v>0</v>
      </c>
      <c r="AP61" s="369">
        <f t="shared" si="38"/>
        <v>0</v>
      </c>
      <c r="AQ61" s="369">
        <f t="shared" si="38"/>
        <v>0</v>
      </c>
    </row>
    <row r="62" spans="2:43" hidden="1" outlineLevel="1" x14ac:dyDescent="0.2">
      <c r="B62" s="246">
        <f t="shared" si="11"/>
        <v>0</v>
      </c>
      <c r="C62" s="52">
        <v>15</v>
      </c>
      <c r="D62" s="77" t="str">
        <f t="shared" si="12"/>
        <v>** NOT USED **</v>
      </c>
      <c r="E62" s="27">
        <f t="shared" si="13"/>
        <v>0</v>
      </c>
      <c r="F62" s="27">
        <f t="shared" si="14"/>
        <v>0</v>
      </c>
      <c r="G62" s="27">
        <f t="shared" si="15"/>
        <v>0</v>
      </c>
      <c r="H62" s="27">
        <f t="shared" si="16"/>
        <v>0</v>
      </c>
      <c r="I62" s="27">
        <f t="shared" si="17"/>
        <v>0</v>
      </c>
      <c r="J62" s="27">
        <f t="shared" si="18"/>
        <v>0</v>
      </c>
      <c r="L62" s="27">
        <f t="shared" si="19"/>
        <v>0</v>
      </c>
      <c r="M62" s="27">
        <f t="shared" si="20"/>
        <v>0</v>
      </c>
      <c r="N62" s="27">
        <f t="shared" si="21"/>
        <v>0</v>
      </c>
      <c r="O62" s="27">
        <f t="shared" si="22"/>
        <v>0</v>
      </c>
      <c r="P62" s="27">
        <f t="shared" si="23"/>
        <v>0</v>
      </c>
      <c r="Q62" s="27">
        <f t="shared" si="24"/>
        <v>0</v>
      </c>
      <c r="AE62" s="249">
        <v>15</v>
      </c>
      <c r="AF62" s="369">
        <f t="shared" ref="AF62:AQ62" si="39">IF(OR(ScriptSourceCode=1,ScriptSourceCode=3),AF119-AF90,0)</f>
        <v>0</v>
      </c>
      <c r="AG62" s="369">
        <f t="shared" si="39"/>
        <v>0</v>
      </c>
      <c r="AH62" s="369">
        <f t="shared" si="39"/>
        <v>0</v>
      </c>
      <c r="AI62" s="369">
        <f t="shared" si="39"/>
        <v>0</v>
      </c>
      <c r="AJ62" s="369">
        <f t="shared" si="39"/>
        <v>0</v>
      </c>
      <c r="AK62" s="369">
        <f t="shared" si="39"/>
        <v>0</v>
      </c>
      <c r="AL62" s="369">
        <f t="shared" si="39"/>
        <v>0</v>
      </c>
      <c r="AM62" s="369">
        <f t="shared" si="39"/>
        <v>0</v>
      </c>
      <c r="AN62" s="369">
        <f t="shared" si="39"/>
        <v>0</v>
      </c>
      <c r="AO62" s="369">
        <f t="shared" si="39"/>
        <v>0</v>
      </c>
      <c r="AP62" s="369">
        <f t="shared" si="39"/>
        <v>0</v>
      </c>
      <c r="AQ62" s="369">
        <f t="shared" si="39"/>
        <v>0</v>
      </c>
    </row>
    <row r="63" spans="2:43" hidden="1" outlineLevel="1" x14ac:dyDescent="0.2">
      <c r="B63" s="246">
        <f t="shared" si="11"/>
        <v>0</v>
      </c>
      <c r="C63" s="52">
        <v>16</v>
      </c>
      <c r="D63" s="77" t="str">
        <f t="shared" si="12"/>
        <v>** NOT USED **</v>
      </c>
      <c r="E63" s="27">
        <f t="shared" si="13"/>
        <v>0</v>
      </c>
      <c r="F63" s="27">
        <f t="shared" si="14"/>
        <v>0</v>
      </c>
      <c r="G63" s="27">
        <f t="shared" si="15"/>
        <v>0</v>
      </c>
      <c r="H63" s="27">
        <f t="shared" si="16"/>
        <v>0</v>
      </c>
      <c r="I63" s="27">
        <f t="shared" si="17"/>
        <v>0</v>
      </c>
      <c r="J63" s="27">
        <f t="shared" si="18"/>
        <v>0</v>
      </c>
      <c r="L63" s="27">
        <f t="shared" si="19"/>
        <v>0</v>
      </c>
      <c r="M63" s="27">
        <f t="shared" si="20"/>
        <v>0</v>
      </c>
      <c r="N63" s="27">
        <f t="shared" si="21"/>
        <v>0</v>
      </c>
      <c r="O63" s="27">
        <f t="shared" si="22"/>
        <v>0</v>
      </c>
      <c r="P63" s="27">
        <f t="shared" si="23"/>
        <v>0</v>
      </c>
      <c r="Q63" s="27">
        <f t="shared" si="24"/>
        <v>0</v>
      </c>
      <c r="AE63" s="249">
        <v>16</v>
      </c>
      <c r="AF63" s="369">
        <f t="shared" ref="AF63:AQ63" si="40">IF(OR(ScriptSourceCode=1,ScriptSourceCode=3),AF120-AF91,0)</f>
        <v>0</v>
      </c>
      <c r="AG63" s="369">
        <f t="shared" si="40"/>
        <v>0</v>
      </c>
      <c r="AH63" s="369">
        <f t="shared" si="40"/>
        <v>0</v>
      </c>
      <c r="AI63" s="369">
        <f t="shared" si="40"/>
        <v>0</v>
      </c>
      <c r="AJ63" s="369">
        <f t="shared" si="40"/>
        <v>0</v>
      </c>
      <c r="AK63" s="369">
        <f t="shared" si="40"/>
        <v>0</v>
      </c>
      <c r="AL63" s="369">
        <f t="shared" si="40"/>
        <v>0</v>
      </c>
      <c r="AM63" s="369">
        <f t="shared" si="40"/>
        <v>0</v>
      </c>
      <c r="AN63" s="369">
        <f t="shared" si="40"/>
        <v>0</v>
      </c>
      <c r="AO63" s="369">
        <f t="shared" si="40"/>
        <v>0</v>
      </c>
      <c r="AP63" s="369">
        <f t="shared" si="40"/>
        <v>0</v>
      </c>
      <c r="AQ63" s="369">
        <f t="shared" si="40"/>
        <v>0</v>
      </c>
    </row>
    <row r="64" spans="2:43" hidden="1" outlineLevel="1" x14ac:dyDescent="0.2">
      <c r="B64" s="246">
        <f t="shared" si="11"/>
        <v>0</v>
      </c>
      <c r="C64" s="52">
        <v>17</v>
      </c>
      <c r="D64" s="77" t="str">
        <f t="shared" si="12"/>
        <v>** NOT USED **</v>
      </c>
      <c r="E64" s="27">
        <f t="shared" si="13"/>
        <v>0</v>
      </c>
      <c r="F64" s="27">
        <f t="shared" si="14"/>
        <v>0</v>
      </c>
      <c r="G64" s="27">
        <f t="shared" si="15"/>
        <v>0</v>
      </c>
      <c r="H64" s="27">
        <f t="shared" si="16"/>
        <v>0</v>
      </c>
      <c r="I64" s="27">
        <f t="shared" si="17"/>
        <v>0</v>
      </c>
      <c r="J64" s="27">
        <f t="shared" si="18"/>
        <v>0</v>
      </c>
      <c r="L64" s="27">
        <f t="shared" si="19"/>
        <v>0</v>
      </c>
      <c r="M64" s="27">
        <f t="shared" si="20"/>
        <v>0</v>
      </c>
      <c r="N64" s="27">
        <f t="shared" si="21"/>
        <v>0</v>
      </c>
      <c r="O64" s="27">
        <f t="shared" si="22"/>
        <v>0</v>
      </c>
      <c r="P64" s="27">
        <f t="shared" si="23"/>
        <v>0</v>
      </c>
      <c r="Q64" s="27">
        <f t="shared" si="24"/>
        <v>0</v>
      </c>
      <c r="AE64" s="249">
        <v>17</v>
      </c>
      <c r="AF64" s="369">
        <f t="shared" ref="AF64:AQ64" si="41">IF(OR(ScriptSourceCode=1,ScriptSourceCode=3),AF121-AF92,0)</f>
        <v>0</v>
      </c>
      <c r="AG64" s="369">
        <f t="shared" si="41"/>
        <v>0</v>
      </c>
      <c r="AH64" s="369">
        <f t="shared" si="41"/>
        <v>0</v>
      </c>
      <c r="AI64" s="369">
        <f t="shared" si="41"/>
        <v>0</v>
      </c>
      <c r="AJ64" s="369">
        <f t="shared" si="41"/>
        <v>0</v>
      </c>
      <c r="AK64" s="369">
        <f t="shared" si="41"/>
        <v>0</v>
      </c>
      <c r="AL64" s="369">
        <f t="shared" si="41"/>
        <v>0</v>
      </c>
      <c r="AM64" s="369">
        <f t="shared" si="41"/>
        <v>0</v>
      </c>
      <c r="AN64" s="369">
        <f t="shared" si="41"/>
        <v>0</v>
      </c>
      <c r="AO64" s="369">
        <f t="shared" si="41"/>
        <v>0</v>
      </c>
      <c r="AP64" s="369">
        <f t="shared" si="41"/>
        <v>0</v>
      </c>
      <c r="AQ64" s="369">
        <f t="shared" si="41"/>
        <v>0</v>
      </c>
    </row>
    <row r="65" spans="1:43" hidden="1" outlineLevel="1" x14ac:dyDescent="0.2">
      <c r="B65" s="246">
        <f t="shared" si="11"/>
        <v>0</v>
      </c>
      <c r="C65" s="52">
        <v>18</v>
      </c>
      <c r="D65" s="77" t="str">
        <f t="shared" si="12"/>
        <v>** NOT USED **</v>
      </c>
      <c r="E65" s="27">
        <f t="shared" si="13"/>
        <v>0</v>
      </c>
      <c r="F65" s="27">
        <f t="shared" si="14"/>
        <v>0</v>
      </c>
      <c r="G65" s="27">
        <f t="shared" si="15"/>
        <v>0</v>
      </c>
      <c r="H65" s="27">
        <f t="shared" si="16"/>
        <v>0</v>
      </c>
      <c r="I65" s="27">
        <f t="shared" si="17"/>
        <v>0</v>
      </c>
      <c r="J65" s="27">
        <f t="shared" si="18"/>
        <v>0</v>
      </c>
      <c r="L65" s="27">
        <f t="shared" si="19"/>
        <v>0</v>
      </c>
      <c r="M65" s="27">
        <f t="shared" si="20"/>
        <v>0</v>
      </c>
      <c r="N65" s="27">
        <f t="shared" si="21"/>
        <v>0</v>
      </c>
      <c r="O65" s="27">
        <f t="shared" si="22"/>
        <v>0</v>
      </c>
      <c r="P65" s="27">
        <f t="shared" si="23"/>
        <v>0</v>
      </c>
      <c r="Q65" s="27">
        <f t="shared" si="24"/>
        <v>0</v>
      </c>
      <c r="AE65" s="249">
        <v>18</v>
      </c>
      <c r="AF65" s="369">
        <f t="shared" ref="AF65:AQ65" si="42">IF(OR(ScriptSourceCode=1,ScriptSourceCode=3),AF122-AF93,0)</f>
        <v>0</v>
      </c>
      <c r="AG65" s="369">
        <f t="shared" si="42"/>
        <v>0</v>
      </c>
      <c r="AH65" s="369">
        <f t="shared" si="42"/>
        <v>0</v>
      </c>
      <c r="AI65" s="369">
        <f t="shared" si="42"/>
        <v>0</v>
      </c>
      <c r="AJ65" s="369">
        <f t="shared" si="42"/>
        <v>0</v>
      </c>
      <c r="AK65" s="369">
        <f t="shared" si="42"/>
        <v>0</v>
      </c>
      <c r="AL65" s="369">
        <f t="shared" si="42"/>
        <v>0</v>
      </c>
      <c r="AM65" s="369">
        <f t="shared" si="42"/>
        <v>0</v>
      </c>
      <c r="AN65" s="369">
        <f t="shared" si="42"/>
        <v>0</v>
      </c>
      <c r="AO65" s="369">
        <f t="shared" si="42"/>
        <v>0</v>
      </c>
      <c r="AP65" s="369">
        <f t="shared" si="42"/>
        <v>0</v>
      </c>
      <c r="AQ65" s="369">
        <f t="shared" si="42"/>
        <v>0</v>
      </c>
    </row>
    <row r="66" spans="1:43" hidden="1" outlineLevel="1" x14ac:dyDescent="0.2">
      <c r="B66" s="246">
        <f t="shared" si="11"/>
        <v>0</v>
      </c>
      <c r="C66" s="52">
        <v>19</v>
      </c>
      <c r="D66" s="77" t="str">
        <f t="shared" si="12"/>
        <v>** NOT USED **</v>
      </c>
      <c r="E66" s="27">
        <f t="shared" si="13"/>
        <v>0</v>
      </c>
      <c r="F66" s="27">
        <f t="shared" si="14"/>
        <v>0</v>
      </c>
      <c r="G66" s="27">
        <f t="shared" si="15"/>
        <v>0</v>
      </c>
      <c r="H66" s="27">
        <f t="shared" si="16"/>
        <v>0</v>
      </c>
      <c r="I66" s="27">
        <f t="shared" si="17"/>
        <v>0</v>
      </c>
      <c r="J66" s="27">
        <f t="shared" si="18"/>
        <v>0</v>
      </c>
      <c r="L66" s="27">
        <f t="shared" si="19"/>
        <v>0</v>
      </c>
      <c r="M66" s="27">
        <f t="shared" si="20"/>
        <v>0</v>
      </c>
      <c r="N66" s="27">
        <f t="shared" si="21"/>
        <v>0</v>
      </c>
      <c r="O66" s="27">
        <f t="shared" si="22"/>
        <v>0</v>
      </c>
      <c r="P66" s="27">
        <f t="shared" si="23"/>
        <v>0</v>
      </c>
      <c r="Q66" s="27">
        <f t="shared" si="24"/>
        <v>0</v>
      </c>
      <c r="AE66" s="249">
        <v>19</v>
      </c>
      <c r="AF66" s="369">
        <f t="shared" ref="AF66:AQ66" si="43">IF(OR(ScriptSourceCode=1,ScriptSourceCode=3),AF123-AF94,0)</f>
        <v>0</v>
      </c>
      <c r="AG66" s="369">
        <f t="shared" si="43"/>
        <v>0</v>
      </c>
      <c r="AH66" s="369">
        <f t="shared" si="43"/>
        <v>0</v>
      </c>
      <c r="AI66" s="369">
        <f t="shared" si="43"/>
        <v>0</v>
      </c>
      <c r="AJ66" s="369">
        <f t="shared" si="43"/>
        <v>0</v>
      </c>
      <c r="AK66" s="369">
        <f t="shared" si="43"/>
        <v>0</v>
      </c>
      <c r="AL66" s="369">
        <f t="shared" si="43"/>
        <v>0</v>
      </c>
      <c r="AM66" s="369">
        <f t="shared" si="43"/>
        <v>0</v>
      </c>
      <c r="AN66" s="369">
        <f t="shared" si="43"/>
        <v>0</v>
      </c>
      <c r="AO66" s="369">
        <f t="shared" si="43"/>
        <v>0</v>
      </c>
      <c r="AP66" s="369">
        <f t="shared" si="43"/>
        <v>0</v>
      </c>
      <c r="AQ66" s="369">
        <f t="shared" si="43"/>
        <v>0</v>
      </c>
    </row>
    <row r="67" spans="1:43" hidden="1" outlineLevel="1" x14ac:dyDescent="0.2">
      <c r="B67" s="246">
        <f t="shared" si="11"/>
        <v>0</v>
      </c>
      <c r="C67" s="52">
        <v>20</v>
      </c>
      <c r="D67" s="77" t="str">
        <f t="shared" si="12"/>
        <v>** NOT USED **</v>
      </c>
      <c r="E67" s="27">
        <f t="shared" si="13"/>
        <v>0</v>
      </c>
      <c r="F67" s="27">
        <f t="shared" si="14"/>
        <v>0</v>
      </c>
      <c r="G67" s="27">
        <f t="shared" si="15"/>
        <v>0</v>
      </c>
      <c r="H67" s="27">
        <f t="shared" si="16"/>
        <v>0</v>
      </c>
      <c r="I67" s="27">
        <f t="shared" si="17"/>
        <v>0</v>
      </c>
      <c r="J67" s="27">
        <f t="shared" si="18"/>
        <v>0</v>
      </c>
      <c r="L67" s="27">
        <f t="shared" si="19"/>
        <v>0</v>
      </c>
      <c r="M67" s="27">
        <f t="shared" si="20"/>
        <v>0</v>
      </c>
      <c r="N67" s="27">
        <f t="shared" si="21"/>
        <v>0</v>
      </c>
      <c r="O67" s="27">
        <f t="shared" si="22"/>
        <v>0</v>
      </c>
      <c r="P67" s="27">
        <f t="shared" si="23"/>
        <v>0</v>
      </c>
      <c r="Q67" s="27">
        <f t="shared" si="24"/>
        <v>0</v>
      </c>
      <c r="AE67" s="249">
        <v>20</v>
      </c>
      <c r="AF67" s="369">
        <f t="shared" ref="AF67:AQ67" si="44">IF(OR(ScriptSourceCode=1,ScriptSourceCode=3),AF124-AF95,0)</f>
        <v>0</v>
      </c>
      <c r="AG67" s="369">
        <f t="shared" si="44"/>
        <v>0</v>
      </c>
      <c r="AH67" s="369">
        <f t="shared" si="44"/>
        <v>0</v>
      </c>
      <c r="AI67" s="369">
        <f t="shared" si="44"/>
        <v>0</v>
      </c>
      <c r="AJ67" s="369">
        <f t="shared" si="44"/>
        <v>0</v>
      </c>
      <c r="AK67" s="369">
        <f t="shared" si="44"/>
        <v>0</v>
      </c>
      <c r="AL67" s="369">
        <f t="shared" si="44"/>
        <v>0</v>
      </c>
      <c r="AM67" s="369">
        <f t="shared" si="44"/>
        <v>0</v>
      </c>
      <c r="AN67" s="369">
        <f t="shared" si="44"/>
        <v>0</v>
      </c>
      <c r="AO67" s="369">
        <f t="shared" si="44"/>
        <v>0</v>
      </c>
      <c r="AP67" s="369">
        <f t="shared" si="44"/>
        <v>0</v>
      </c>
      <c r="AQ67" s="369">
        <f t="shared" si="44"/>
        <v>0</v>
      </c>
    </row>
    <row r="68" spans="1:43" hidden="1" outlineLevel="1" x14ac:dyDescent="0.2">
      <c r="B68" s="246">
        <f>SUM(B48:B67)</f>
        <v>0</v>
      </c>
      <c r="D68" s="56" t="s">
        <v>213</v>
      </c>
      <c r="E68" s="30">
        <f t="shared" ref="E68:J68" si="45">SUM(E48:E67)</f>
        <v>0</v>
      </c>
      <c r="F68" s="30">
        <f t="shared" si="45"/>
        <v>0</v>
      </c>
      <c r="G68" s="30">
        <f t="shared" si="45"/>
        <v>0</v>
      </c>
      <c r="H68" s="30">
        <f t="shared" si="45"/>
        <v>0</v>
      </c>
      <c r="I68" s="30">
        <f t="shared" si="45"/>
        <v>0</v>
      </c>
      <c r="J68" s="30">
        <f t="shared" si="45"/>
        <v>0</v>
      </c>
      <c r="L68" s="30">
        <f t="shared" ref="L68:Q68" si="46">SUM(L48:L67)</f>
        <v>0</v>
      </c>
      <c r="M68" s="30">
        <f t="shared" si="46"/>
        <v>0</v>
      </c>
      <c r="N68" s="30">
        <f t="shared" si="46"/>
        <v>0</v>
      </c>
      <c r="O68" s="30">
        <f t="shared" si="46"/>
        <v>0</v>
      </c>
      <c r="P68" s="30">
        <f t="shared" si="46"/>
        <v>0</v>
      </c>
      <c r="Q68" s="30">
        <f t="shared" si="46"/>
        <v>0</v>
      </c>
    </row>
    <row r="69" spans="1:43" hidden="1" outlineLevel="1" x14ac:dyDescent="0.2">
      <c r="D69" s="260"/>
      <c r="E69" s="485"/>
      <c r="F69" s="485"/>
      <c r="G69" s="485"/>
      <c r="H69" s="485"/>
      <c r="I69" s="485"/>
      <c r="J69" s="485"/>
    </row>
    <row r="70" spans="1:43" collapsed="1" x14ac:dyDescent="0.2"/>
    <row r="71" spans="1:43" ht="15.75" x14ac:dyDescent="0.2">
      <c r="A71" s="22"/>
      <c r="B71" s="22"/>
      <c r="C71" s="22"/>
      <c r="D71" s="111" t="s">
        <v>906</v>
      </c>
      <c r="E71" s="131"/>
      <c r="F71" s="21"/>
      <c r="G71" s="21"/>
      <c r="H71" s="21"/>
      <c r="I71" s="605" t="str">
        <f>IF(B97=0,MsgNotUsed,"")</f>
        <v>** NOT USED **</v>
      </c>
      <c r="J71" s="605"/>
      <c r="K71" s="21"/>
      <c r="L71" s="21"/>
      <c r="M71" s="21"/>
      <c r="N71" s="21"/>
      <c r="O71" s="21"/>
      <c r="P71" s="605"/>
      <c r="Q71" s="606"/>
      <c r="R71" s="21"/>
      <c r="S71" s="21"/>
      <c r="T71" s="21"/>
      <c r="U71" s="21"/>
      <c r="V71" s="21"/>
      <c r="W71" s="21"/>
      <c r="X71" s="21"/>
      <c r="Y71" s="21"/>
      <c r="Z71" s="21"/>
      <c r="AA71" s="21"/>
      <c r="AB71" s="21"/>
      <c r="AC71" s="21"/>
      <c r="AD71" s="21"/>
      <c r="AE71" s="21"/>
      <c r="AF71" s="21"/>
      <c r="AG71" s="21"/>
      <c r="AH71" s="21"/>
      <c r="AI71" s="21"/>
      <c r="AJ71" s="21"/>
      <c r="AK71" s="21"/>
      <c r="AL71" s="21"/>
      <c r="AM71" s="21"/>
      <c r="AN71" s="21"/>
      <c r="AO71" s="21"/>
      <c r="AP71" s="21"/>
      <c r="AQ71" s="21"/>
    </row>
    <row r="72" spans="1:43" hidden="1" outlineLevel="1" x14ac:dyDescent="0.2">
      <c r="D72" s="456"/>
      <c r="E72" s="456"/>
      <c r="F72" s="456"/>
      <c r="G72" s="456"/>
      <c r="H72" s="456"/>
      <c r="I72" s="456"/>
      <c r="J72" s="456"/>
      <c r="K72" s="456"/>
      <c r="L72" s="456"/>
      <c r="M72" s="456"/>
      <c r="N72" s="456"/>
      <c r="O72" s="456"/>
      <c r="P72" s="456"/>
      <c r="Q72" s="456"/>
      <c r="R72" s="456"/>
      <c r="S72" s="456"/>
      <c r="T72" s="456"/>
      <c r="U72" s="456"/>
      <c r="V72" s="456"/>
      <c r="W72" s="456"/>
      <c r="X72" s="456"/>
      <c r="Y72" s="456"/>
      <c r="Z72" s="456"/>
      <c r="AA72" s="456"/>
      <c r="AB72" s="456"/>
      <c r="AC72" s="456"/>
      <c r="AD72" s="456"/>
      <c r="AE72" s="456"/>
      <c r="AF72" s="456"/>
      <c r="AG72" s="456"/>
      <c r="AH72" s="456"/>
      <c r="AI72" s="456"/>
      <c r="AJ72" s="456"/>
      <c r="AK72" s="456"/>
      <c r="AL72" s="456"/>
      <c r="AM72" s="456"/>
      <c r="AN72" s="456"/>
      <c r="AO72" s="456"/>
      <c r="AP72" s="456"/>
      <c r="AQ72" s="456"/>
    </row>
    <row r="73" spans="1:43" hidden="1" outlineLevel="1" x14ac:dyDescent="0.2">
      <c r="D73" s="172" t="s">
        <v>916</v>
      </c>
      <c r="E73" s="456"/>
      <c r="F73" s="456"/>
      <c r="G73" s="456"/>
      <c r="H73" s="456"/>
      <c r="I73" s="456"/>
      <c r="J73" s="456"/>
      <c r="K73" s="456"/>
      <c r="L73" s="456"/>
      <c r="M73" s="456"/>
      <c r="N73" s="456"/>
      <c r="O73" s="456"/>
      <c r="P73" s="456"/>
      <c r="Q73" s="456"/>
      <c r="R73" s="456"/>
      <c r="S73" s="456"/>
      <c r="T73" s="456"/>
      <c r="U73" s="456"/>
      <c r="V73" s="456"/>
      <c r="W73" s="456"/>
      <c r="AF73" s="618" t="s">
        <v>217</v>
      </c>
      <c r="AG73" s="618"/>
      <c r="AH73" s="618"/>
      <c r="AI73" s="618"/>
      <c r="AJ73" s="618"/>
      <c r="AK73" s="618"/>
      <c r="AL73" s="618"/>
      <c r="AM73" s="618"/>
      <c r="AN73" s="618"/>
      <c r="AO73" s="618"/>
      <c r="AP73" s="618"/>
      <c r="AQ73" s="618"/>
    </row>
    <row r="74" spans="1:43" hidden="1" outlineLevel="1" x14ac:dyDescent="0.2">
      <c r="D74" s="456"/>
      <c r="E74" s="456"/>
      <c r="F74" s="456"/>
      <c r="G74" s="456"/>
      <c r="H74" s="456"/>
      <c r="I74" s="456"/>
      <c r="J74" s="456"/>
      <c r="K74" s="456"/>
      <c r="L74" s="456"/>
      <c r="M74" s="456"/>
      <c r="N74" s="456"/>
      <c r="O74" s="456"/>
      <c r="P74" s="456"/>
      <c r="Q74" s="456"/>
      <c r="R74" s="456"/>
      <c r="S74" s="456"/>
      <c r="T74" s="456"/>
      <c r="U74" s="456"/>
      <c r="V74" s="456"/>
      <c r="W74" s="456"/>
      <c r="AF74" s="617" t="str">
        <f>AF46</f>
        <v/>
      </c>
      <c r="AG74" s="617"/>
      <c r="AH74" s="617"/>
      <c r="AI74" s="617"/>
      <c r="AJ74" s="617"/>
      <c r="AK74" s="617"/>
      <c r="AL74" s="617" t="str">
        <f>AL46</f>
        <v/>
      </c>
      <c r="AM74" s="617"/>
      <c r="AN74" s="617"/>
      <c r="AO74" s="617"/>
      <c r="AP74" s="617"/>
      <c r="AQ74" s="617"/>
    </row>
    <row r="75" spans="1:43" hidden="1" outlineLevel="1" x14ac:dyDescent="0.2">
      <c r="D75" s="172"/>
      <c r="E75" s="596" t="s">
        <v>214</v>
      </c>
      <c r="F75" s="607"/>
      <c r="G75" s="607"/>
      <c r="H75" s="607"/>
      <c r="I75" s="607"/>
      <c r="J75" s="608"/>
      <c r="L75" s="596" t="s">
        <v>215</v>
      </c>
      <c r="M75" s="607"/>
      <c r="N75" s="607"/>
      <c r="O75" s="607"/>
      <c r="P75" s="607"/>
      <c r="Q75" s="608"/>
      <c r="AF75" s="204">
        <f>FirstYear</f>
        <v>2026</v>
      </c>
      <c r="AG75" s="204">
        <f>AF75+1</f>
        <v>2027</v>
      </c>
      <c r="AH75" s="204">
        <f>AG75+1</f>
        <v>2028</v>
      </c>
      <c r="AI75" s="204">
        <f>AH75+1</f>
        <v>2029</v>
      </c>
      <c r="AJ75" s="204">
        <f>AI75+1</f>
        <v>2030</v>
      </c>
      <c r="AK75" s="204">
        <f>AJ75+1</f>
        <v>2031</v>
      </c>
      <c r="AL75" s="204">
        <f>FirstYear</f>
        <v>2026</v>
      </c>
      <c r="AM75" s="204">
        <f>AL75+1</f>
        <v>2027</v>
      </c>
      <c r="AN75" s="204">
        <f>AM75+1</f>
        <v>2028</v>
      </c>
      <c r="AO75" s="204">
        <f>AN75+1</f>
        <v>2029</v>
      </c>
      <c r="AP75" s="204">
        <f>AO75+1</f>
        <v>2030</v>
      </c>
      <c r="AQ75" s="204">
        <f>AP75+1</f>
        <v>2031</v>
      </c>
    </row>
    <row r="76" spans="1:43" hidden="1" outlineLevel="1" x14ac:dyDescent="0.2">
      <c r="D76" s="60" t="s">
        <v>799</v>
      </c>
      <c r="E76" s="74">
        <f>FirstYear</f>
        <v>2026</v>
      </c>
      <c r="F76" s="74">
        <f>E76+1</f>
        <v>2027</v>
      </c>
      <c r="G76" s="74">
        <f>F76+1</f>
        <v>2028</v>
      </c>
      <c r="H76" s="74">
        <f>G76+1</f>
        <v>2029</v>
      </c>
      <c r="I76" s="74">
        <f>H76+1</f>
        <v>2030</v>
      </c>
      <c r="J76" s="74">
        <f>I76+1</f>
        <v>2031</v>
      </c>
      <c r="L76" s="74">
        <f>FirstYear</f>
        <v>2026</v>
      </c>
      <c r="M76" s="74">
        <f>L76+1</f>
        <v>2027</v>
      </c>
      <c r="N76" s="74">
        <f>M76+1</f>
        <v>2028</v>
      </c>
      <c r="O76" s="74">
        <f>N76+1</f>
        <v>2029</v>
      </c>
      <c r="P76" s="74">
        <f>O76+1</f>
        <v>2030</v>
      </c>
      <c r="Q76" s="74">
        <f>P76+1</f>
        <v>2031</v>
      </c>
      <c r="AE76" s="249">
        <v>1</v>
      </c>
      <c r="AF76" s="369">
        <f t="shared" ref="AF76:AK85" si="47">IF(OR(ScriptSourceCode=1,ScriptSourceCode=3),IF($AE105&lt;&gt;0,ROUND(AF105*INDEX(PxTxPhase1Adj,$AE105,9),0),0),0)</f>
        <v>0</v>
      </c>
      <c r="AG76" s="369">
        <f t="shared" si="47"/>
        <v>0</v>
      </c>
      <c r="AH76" s="369">
        <f t="shared" si="47"/>
        <v>0</v>
      </c>
      <c r="AI76" s="369">
        <f t="shared" si="47"/>
        <v>0</v>
      </c>
      <c r="AJ76" s="369">
        <f t="shared" si="47"/>
        <v>0</v>
      </c>
      <c r="AK76" s="369">
        <f t="shared" si="47"/>
        <v>0</v>
      </c>
      <c r="AL76" s="369">
        <f t="shared" ref="AL76:AQ85" si="48">IF(OR(ScriptSourceCode=1,ScriptSourceCode=3),IF($AE105&lt;&gt;0,ROUND(AL105*INDEX(PxTxPhase2Adj,$AE105,9),0),0),0)</f>
        <v>0</v>
      </c>
      <c r="AM76" s="369">
        <f t="shared" si="48"/>
        <v>0</v>
      </c>
      <c r="AN76" s="369">
        <f t="shared" si="48"/>
        <v>0</v>
      </c>
      <c r="AO76" s="369">
        <f t="shared" si="48"/>
        <v>0</v>
      </c>
      <c r="AP76" s="369">
        <f t="shared" si="48"/>
        <v>0</v>
      </c>
      <c r="AQ76" s="369">
        <f t="shared" si="48"/>
        <v>0</v>
      </c>
    </row>
    <row r="77" spans="1:43" hidden="1" outlineLevel="1" x14ac:dyDescent="0.2">
      <c r="B77" s="246">
        <f t="shared" ref="B77:B96" si="49">IF(D77&lt;&gt;MsgNotUsed,1,0)</f>
        <v>0</v>
      </c>
      <c r="C77" s="52">
        <v>1</v>
      </c>
      <c r="D77" s="77" t="str">
        <f t="shared" ref="D77:D96" si="50">IF(D133&lt;&gt;"",AB133,IF(ScriptSourceCode&lt;&gt;1,INDEX(PBSScriptsOld,C77,1),MsgNotUsed))</f>
        <v>** NOT USED **</v>
      </c>
      <c r="E77" s="27">
        <f>IF($D133&lt;&gt;"",F192,IF(MarketImpact=0,'2e. Scripts - market'!D16,0))</f>
        <v>0</v>
      </c>
      <c r="F77" s="27">
        <f>IF($D133&lt;&gt;"",G192,IF(MarketImpact=0,'2e. Scripts - market'!E16,0))</f>
        <v>0</v>
      </c>
      <c r="G77" s="27">
        <f>IF($D133&lt;&gt;"",H192,IF(MarketImpact=0,'2e. Scripts - market'!F16,0))</f>
        <v>0</v>
      </c>
      <c r="H77" s="27">
        <f>IF($D133&lt;&gt;"",I192,IF(MarketImpact=0,'2e. Scripts - market'!G16,0))</f>
        <v>0</v>
      </c>
      <c r="I77" s="27">
        <f>IF($D133&lt;&gt;"",J192,IF(MarketImpact=0,'2e. Scripts - market'!H16,0))</f>
        <v>0</v>
      </c>
      <c r="J77" s="27">
        <f>IF($D133&lt;&gt;"",K192,IF(MarketImpact=0,'2e. Scripts - market'!I16,0))</f>
        <v>0</v>
      </c>
      <c r="L77" s="27">
        <f>IF($D133&lt;&gt;"",F193,IF(MarketImpact=0,'2e. Scripts - market'!K16,0))</f>
        <v>0</v>
      </c>
      <c r="M77" s="27">
        <f>IF($D133&lt;&gt;"",G193,IF(MarketImpact=0,'2e. Scripts - market'!L16,0))</f>
        <v>0</v>
      </c>
      <c r="N77" s="27">
        <f>IF($D133&lt;&gt;"",H193,IF(MarketImpact=0,'2e. Scripts - market'!M16,0))</f>
        <v>0</v>
      </c>
      <c r="O77" s="27">
        <f>IF($D133&lt;&gt;"",I193,IF(MarketImpact=0,'2e. Scripts - market'!N16,0))</f>
        <v>0</v>
      </c>
      <c r="P77" s="27">
        <f>IF($D133&lt;&gt;"",J193,IF(MarketImpact=0,'2e. Scripts - market'!O16,0))</f>
        <v>0</v>
      </c>
      <c r="Q77" s="27">
        <f>IF($D133&lt;&gt;"",K193,IF(MarketImpact=0,'2e. Scripts - market'!P16,0))</f>
        <v>0</v>
      </c>
      <c r="AE77" s="249">
        <v>2</v>
      </c>
      <c r="AF77" s="369">
        <f t="shared" si="47"/>
        <v>0</v>
      </c>
      <c r="AG77" s="369">
        <f t="shared" si="47"/>
        <v>0</v>
      </c>
      <c r="AH77" s="369">
        <f t="shared" si="47"/>
        <v>0</v>
      </c>
      <c r="AI77" s="369">
        <f t="shared" si="47"/>
        <v>0</v>
      </c>
      <c r="AJ77" s="369">
        <f t="shared" si="47"/>
        <v>0</v>
      </c>
      <c r="AK77" s="369">
        <f t="shared" si="47"/>
        <v>0</v>
      </c>
      <c r="AL77" s="369">
        <f t="shared" si="48"/>
        <v>0</v>
      </c>
      <c r="AM77" s="369">
        <f t="shared" si="48"/>
        <v>0</v>
      </c>
      <c r="AN77" s="369">
        <f t="shared" si="48"/>
        <v>0</v>
      </c>
      <c r="AO77" s="369">
        <f t="shared" si="48"/>
        <v>0</v>
      </c>
      <c r="AP77" s="369">
        <f t="shared" si="48"/>
        <v>0</v>
      </c>
      <c r="AQ77" s="369">
        <f t="shared" si="48"/>
        <v>0</v>
      </c>
    </row>
    <row r="78" spans="1:43" hidden="1" outlineLevel="1" x14ac:dyDescent="0.2">
      <c r="B78" s="246">
        <f t="shared" si="49"/>
        <v>0</v>
      </c>
      <c r="C78" s="52">
        <v>2</v>
      </c>
      <c r="D78" s="77" t="str">
        <f t="shared" si="50"/>
        <v>** NOT USED **</v>
      </c>
      <c r="E78" s="27">
        <f>IF($D134&lt;&gt;"",F204,IF(MarketImpact=0,'2e. Scripts - market'!D17,0))</f>
        <v>0</v>
      </c>
      <c r="F78" s="27">
        <f>IF($D134&lt;&gt;"",G204,IF(MarketImpact=0,'2e. Scripts - market'!E17,0))</f>
        <v>0</v>
      </c>
      <c r="G78" s="27">
        <f>IF($D134&lt;&gt;"",H204,IF(MarketImpact=0,'2e. Scripts - market'!F17,0))</f>
        <v>0</v>
      </c>
      <c r="H78" s="27">
        <f>IF($D134&lt;&gt;"",I204,IF(MarketImpact=0,'2e. Scripts - market'!G17,0))</f>
        <v>0</v>
      </c>
      <c r="I78" s="27">
        <f>IF($D134&lt;&gt;"",J204,IF(MarketImpact=0,'2e. Scripts - market'!H17,0))</f>
        <v>0</v>
      </c>
      <c r="J78" s="27">
        <f>IF($D134&lt;&gt;"",K204,IF(MarketImpact=0,'2e. Scripts - market'!I17,0))</f>
        <v>0</v>
      </c>
      <c r="L78" s="27">
        <f>IF($D134&lt;&gt;"",F205,IF(MarketImpact=0,'2e. Scripts - market'!K17,0))</f>
        <v>0</v>
      </c>
      <c r="M78" s="27">
        <f>IF($D134&lt;&gt;"",G205,IF(MarketImpact=0,'2e. Scripts - market'!L17,0))</f>
        <v>0</v>
      </c>
      <c r="N78" s="27">
        <f>IF($D134&lt;&gt;"",H205,IF(MarketImpact=0,'2e. Scripts - market'!M17,0))</f>
        <v>0</v>
      </c>
      <c r="O78" s="27">
        <f>IF($D134&lt;&gt;"",I205,IF(MarketImpact=0,'2e. Scripts - market'!N17,0))</f>
        <v>0</v>
      </c>
      <c r="P78" s="27">
        <f>IF($D134&lt;&gt;"",J205,IF(MarketImpact=0,'2e. Scripts - market'!O17,0))</f>
        <v>0</v>
      </c>
      <c r="Q78" s="27">
        <f>IF($D134&lt;&gt;"",K205,IF(MarketImpact=0,'2e. Scripts - market'!P17,0))</f>
        <v>0</v>
      </c>
      <c r="AE78" s="249">
        <v>3</v>
      </c>
      <c r="AF78" s="369">
        <f t="shared" si="47"/>
        <v>0</v>
      </c>
      <c r="AG78" s="369">
        <f t="shared" si="47"/>
        <v>0</v>
      </c>
      <c r="AH78" s="369">
        <f t="shared" si="47"/>
        <v>0</v>
      </c>
      <c r="AI78" s="369">
        <f t="shared" si="47"/>
        <v>0</v>
      </c>
      <c r="AJ78" s="369">
        <f t="shared" si="47"/>
        <v>0</v>
      </c>
      <c r="AK78" s="369">
        <f t="shared" si="47"/>
        <v>0</v>
      </c>
      <c r="AL78" s="369">
        <f t="shared" si="48"/>
        <v>0</v>
      </c>
      <c r="AM78" s="369">
        <f t="shared" si="48"/>
        <v>0</v>
      </c>
      <c r="AN78" s="369">
        <f t="shared" si="48"/>
        <v>0</v>
      </c>
      <c r="AO78" s="369">
        <f t="shared" si="48"/>
        <v>0</v>
      </c>
      <c r="AP78" s="369">
        <f t="shared" si="48"/>
        <v>0</v>
      </c>
      <c r="AQ78" s="369">
        <f t="shared" si="48"/>
        <v>0</v>
      </c>
    </row>
    <row r="79" spans="1:43" hidden="1" outlineLevel="1" x14ac:dyDescent="0.2">
      <c r="B79" s="246">
        <f t="shared" si="49"/>
        <v>0</v>
      </c>
      <c r="C79" s="52">
        <v>3</v>
      </c>
      <c r="D79" s="77" t="str">
        <f t="shared" si="50"/>
        <v>** NOT USED **</v>
      </c>
      <c r="E79" s="27">
        <f>IF($D135&lt;&gt;"",F216,IF(MarketImpact=0,'2e. Scripts - market'!D18,0))</f>
        <v>0</v>
      </c>
      <c r="F79" s="27">
        <f>IF($D135&lt;&gt;"",G216,IF(MarketImpact=0,'2e. Scripts - market'!E18,0))</f>
        <v>0</v>
      </c>
      <c r="G79" s="27">
        <f>IF($D135&lt;&gt;"",H216,IF(MarketImpact=0,'2e. Scripts - market'!F18,0))</f>
        <v>0</v>
      </c>
      <c r="H79" s="27">
        <f>IF($D135&lt;&gt;"",I216,IF(MarketImpact=0,'2e. Scripts - market'!G18,0))</f>
        <v>0</v>
      </c>
      <c r="I79" s="27">
        <f>IF($D135&lt;&gt;"",J216,IF(MarketImpact=0,'2e. Scripts - market'!H18,0))</f>
        <v>0</v>
      </c>
      <c r="J79" s="27">
        <f>IF($D135&lt;&gt;"",K216,IF(MarketImpact=0,'2e. Scripts - market'!I18,0))</f>
        <v>0</v>
      </c>
      <c r="L79" s="27">
        <f>IF($D135&lt;&gt;"",F217,IF(MarketImpact=0,'2e. Scripts - market'!K18,0))</f>
        <v>0</v>
      </c>
      <c r="M79" s="27">
        <f>IF($D135&lt;&gt;"",G217,IF(MarketImpact=0,'2e. Scripts - market'!L18,0))</f>
        <v>0</v>
      </c>
      <c r="N79" s="27">
        <f>IF($D135&lt;&gt;"",H217,IF(MarketImpact=0,'2e. Scripts - market'!M18,0))</f>
        <v>0</v>
      </c>
      <c r="O79" s="27">
        <f>IF($D135&lt;&gt;"",I217,IF(MarketImpact=0,'2e. Scripts - market'!N18,0))</f>
        <v>0</v>
      </c>
      <c r="P79" s="27">
        <f>IF($D135&lt;&gt;"",J217,IF(MarketImpact=0,'2e. Scripts - market'!O18,0))</f>
        <v>0</v>
      </c>
      <c r="Q79" s="27">
        <f>IF($D135&lt;&gt;"",K217,IF(MarketImpact=0,'2e. Scripts - market'!P18,0))</f>
        <v>0</v>
      </c>
      <c r="AE79" s="249">
        <v>4</v>
      </c>
      <c r="AF79" s="369">
        <f t="shared" si="47"/>
        <v>0</v>
      </c>
      <c r="AG79" s="369">
        <f t="shared" si="47"/>
        <v>0</v>
      </c>
      <c r="AH79" s="369">
        <f t="shared" si="47"/>
        <v>0</v>
      </c>
      <c r="AI79" s="369">
        <f t="shared" si="47"/>
        <v>0</v>
      </c>
      <c r="AJ79" s="369">
        <f t="shared" si="47"/>
        <v>0</v>
      </c>
      <c r="AK79" s="369">
        <f t="shared" si="47"/>
        <v>0</v>
      </c>
      <c r="AL79" s="369">
        <f t="shared" si="48"/>
        <v>0</v>
      </c>
      <c r="AM79" s="369">
        <f t="shared" si="48"/>
        <v>0</v>
      </c>
      <c r="AN79" s="369">
        <f t="shared" si="48"/>
        <v>0</v>
      </c>
      <c r="AO79" s="369">
        <f t="shared" si="48"/>
        <v>0</v>
      </c>
      <c r="AP79" s="369">
        <f t="shared" si="48"/>
        <v>0</v>
      </c>
      <c r="AQ79" s="369">
        <f t="shared" si="48"/>
        <v>0</v>
      </c>
    </row>
    <row r="80" spans="1:43" hidden="1" outlineLevel="1" x14ac:dyDescent="0.2">
      <c r="B80" s="246">
        <f t="shared" si="49"/>
        <v>0</v>
      </c>
      <c r="C80" s="52">
        <v>4</v>
      </c>
      <c r="D80" s="77" t="str">
        <f t="shared" si="50"/>
        <v>** NOT USED **</v>
      </c>
      <c r="E80" s="27">
        <f>IF($D136&lt;&gt;"",F228,IF(MarketImpact=0,'2e. Scripts - market'!D19,0))</f>
        <v>0</v>
      </c>
      <c r="F80" s="27">
        <f>IF($D136&lt;&gt;"",G228,IF(MarketImpact=0,'2e. Scripts - market'!E19,0))</f>
        <v>0</v>
      </c>
      <c r="G80" s="27">
        <f>IF($D136&lt;&gt;"",H228,IF(MarketImpact=0,'2e. Scripts - market'!F19,0))</f>
        <v>0</v>
      </c>
      <c r="H80" s="27">
        <f>IF($D136&lt;&gt;"",I228,IF(MarketImpact=0,'2e. Scripts - market'!G19,0))</f>
        <v>0</v>
      </c>
      <c r="I80" s="27">
        <f>IF($D136&lt;&gt;"",J228,IF(MarketImpact=0,'2e. Scripts - market'!H19,0))</f>
        <v>0</v>
      </c>
      <c r="J80" s="27">
        <f>IF($D136&lt;&gt;"",K228,IF(MarketImpact=0,'2e. Scripts - market'!I19,0))</f>
        <v>0</v>
      </c>
      <c r="L80" s="27">
        <f>IF($D136&lt;&gt;"",F229,IF(MarketImpact=0,'2e. Scripts - market'!K19,0))</f>
        <v>0</v>
      </c>
      <c r="M80" s="27">
        <f>IF($D136&lt;&gt;"",G229,IF(MarketImpact=0,'2e. Scripts - market'!L19,0))</f>
        <v>0</v>
      </c>
      <c r="N80" s="27">
        <f>IF($D136&lt;&gt;"",H229,IF(MarketImpact=0,'2e. Scripts - market'!M19,0))</f>
        <v>0</v>
      </c>
      <c r="O80" s="27">
        <f>IF($D136&lt;&gt;"",I229,IF(MarketImpact=0,'2e. Scripts - market'!N19,0))</f>
        <v>0</v>
      </c>
      <c r="P80" s="27">
        <f>IF($D136&lt;&gt;"",J229,IF(MarketImpact=0,'2e. Scripts - market'!O19,0))</f>
        <v>0</v>
      </c>
      <c r="Q80" s="27">
        <f>IF($D136&lt;&gt;"",K229,IF(MarketImpact=0,'2e. Scripts - market'!P19,0))</f>
        <v>0</v>
      </c>
      <c r="AE80" s="249">
        <v>5</v>
      </c>
      <c r="AF80" s="369">
        <f t="shared" si="47"/>
        <v>0</v>
      </c>
      <c r="AG80" s="369">
        <f t="shared" si="47"/>
        <v>0</v>
      </c>
      <c r="AH80" s="369">
        <f t="shared" si="47"/>
        <v>0</v>
      </c>
      <c r="AI80" s="369">
        <f t="shared" si="47"/>
        <v>0</v>
      </c>
      <c r="AJ80" s="369">
        <f t="shared" si="47"/>
        <v>0</v>
      </c>
      <c r="AK80" s="369">
        <f t="shared" si="47"/>
        <v>0</v>
      </c>
      <c r="AL80" s="369">
        <f t="shared" si="48"/>
        <v>0</v>
      </c>
      <c r="AM80" s="369">
        <f t="shared" si="48"/>
        <v>0</v>
      </c>
      <c r="AN80" s="369">
        <f t="shared" si="48"/>
        <v>0</v>
      </c>
      <c r="AO80" s="369">
        <f t="shared" si="48"/>
        <v>0</v>
      </c>
      <c r="AP80" s="369">
        <f t="shared" si="48"/>
        <v>0</v>
      </c>
      <c r="AQ80" s="369">
        <f t="shared" si="48"/>
        <v>0</v>
      </c>
    </row>
    <row r="81" spans="2:43" hidden="1" outlineLevel="1" x14ac:dyDescent="0.2">
      <c r="B81" s="246">
        <f t="shared" si="49"/>
        <v>0</v>
      </c>
      <c r="C81" s="52">
        <v>5</v>
      </c>
      <c r="D81" s="77" t="str">
        <f t="shared" si="50"/>
        <v>** NOT USED **</v>
      </c>
      <c r="E81" s="27">
        <f>IF($D137&lt;&gt;"",F240,IF(MarketImpact=0,'2e. Scripts - market'!D20,0))</f>
        <v>0</v>
      </c>
      <c r="F81" s="27">
        <f>IF($D137&lt;&gt;"",G240,IF(MarketImpact=0,'2e. Scripts - market'!E20,0))</f>
        <v>0</v>
      </c>
      <c r="G81" s="27">
        <f>IF($D137&lt;&gt;"",H240,IF(MarketImpact=0,'2e. Scripts - market'!F20,0))</f>
        <v>0</v>
      </c>
      <c r="H81" s="27">
        <f>IF($D137&lt;&gt;"",I240,IF(MarketImpact=0,'2e. Scripts - market'!G20,0))</f>
        <v>0</v>
      </c>
      <c r="I81" s="27">
        <f>IF($D137&lt;&gt;"",J240,IF(MarketImpact=0,'2e. Scripts - market'!H20,0))</f>
        <v>0</v>
      </c>
      <c r="J81" s="27">
        <f>IF($D137&lt;&gt;"",K240,IF(MarketImpact=0,'2e. Scripts - market'!I20,0))</f>
        <v>0</v>
      </c>
      <c r="L81" s="27">
        <f>IF($D137&lt;&gt;"",F241,IF(MarketImpact=0,'2e. Scripts - market'!K20,0))</f>
        <v>0</v>
      </c>
      <c r="M81" s="27">
        <f>IF($D137&lt;&gt;"",G241,IF(MarketImpact=0,'2e. Scripts - market'!L20,0))</f>
        <v>0</v>
      </c>
      <c r="N81" s="27">
        <f>IF($D137&lt;&gt;"",H241,IF(MarketImpact=0,'2e. Scripts - market'!M20,0))</f>
        <v>0</v>
      </c>
      <c r="O81" s="27">
        <f>IF($D137&lt;&gt;"",I241,IF(MarketImpact=0,'2e. Scripts - market'!N20,0))</f>
        <v>0</v>
      </c>
      <c r="P81" s="27">
        <f>IF($D137&lt;&gt;"",J241,IF(MarketImpact=0,'2e. Scripts - market'!O20,0))</f>
        <v>0</v>
      </c>
      <c r="Q81" s="27">
        <f>IF($D137&lt;&gt;"",K241,IF(MarketImpact=0,'2e. Scripts - market'!P20,0))</f>
        <v>0</v>
      </c>
      <c r="AE81" s="249">
        <v>6</v>
      </c>
      <c r="AF81" s="369">
        <f t="shared" si="47"/>
        <v>0</v>
      </c>
      <c r="AG81" s="369">
        <f t="shared" si="47"/>
        <v>0</v>
      </c>
      <c r="AH81" s="369">
        <f t="shared" si="47"/>
        <v>0</v>
      </c>
      <c r="AI81" s="369">
        <f t="shared" si="47"/>
        <v>0</v>
      </c>
      <c r="AJ81" s="369">
        <f t="shared" si="47"/>
        <v>0</v>
      </c>
      <c r="AK81" s="369">
        <f t="shared" si="47"/>
        <v>0</v>
      </c>
      <c r="AL81" s="369">
        <f t="shared" si="48"/>
        <v>0</v>
      </c>
      <c r="AM81" s="369">
        <f t="shared" si="48"/>
        <v>0</v>
      </c>
      <c r="AN81" s="369">
        <f t="shared" si="48"/>
        <v>0</v>
      </c>
      <c r="AO81" s="369">
        <f t="shared" si="48"/>
        <v>0</v>
      </c>
      <c r="AP81" s="369">
        <f t="shared" si="48"/>
        <v>0</v>
      </c>
      <c r="AQ81" s="369">
        <f t="shared" si="48"/>
        <v>0</v>
      </c>
    </row>
    <row r="82" spans="2:43" hidden="1" outlineLevel="1" x14ac:dyDescent="0.2">
      <c r="B82" s="246">
        <f t="shared" si="49"/>
        <v>0</v>
      </c>
      <c r="C82" s="52">
        <v>6</v>
      </c>
      <c r="D82" s="77" t="str">
        <f t="shared" si="50"/>
        <v>** NOT USED **</v>
      </c>
      <c r="E82" s="27">
        <f>IF($D138&lt;&gt;"",F252,IF(MarketImpact=0,'2e. Scripts - market'!D21,0))</f>
        <v>0</v>
      </c>
      <c r="F82" s="27">
        <f>IF($D138&lt;&gt;"",G252,IF(MarketImpact=0,'2e. Scripts - market'!E21,0))</f>
        <v>0</v>
      </c>
      <c r="G82" s="27">
        <f>IF($D138&lt;&gt;"",H252,IF(MarketImpact=0,'2e. Scripts - market'!F21,0))</f>
        <v>0</v>
      </c>
      <c r="H82" s="27">
        <f>IF($D138&lt;&gt;"",I252,IF(MarketImpact=0,'2e. Scripts - market'!G21,0))</f>
        <v>0</v>
      </c>
      <c r="I82" s="27">
        <f>IF($D138&lt;&gt;"",J252,IF(MarketImpact=0,'2e. Scripts - market'!H21,0))</f>
        <v>0</v>
      </c>
      <c r="J82" s="27">
        <f>IF($D138&lt;&gt;"",K252,IF(MarketImpact=0,'2e. Scripts - market'!I21,0))</f>
        <v>0</v>
      </c>
      <c r="L82" s="27">
        <f>IF($D138&lt;&gt;"",F253,IF(MarketImpact=0,'2e. Scripts - market'!K21,0))</f>
        <v>0</v>
      </c>
      <c r="M82" s="27">
        <f>IF($D138&lt;&gt;"",G253,IF(MarketImpact=0,'2e. Scripts - market'!L21,0))</f>
        <v>0</v>
      </c>
      <c r="N82" s="27">
        <f>IF($D138&lt;&gt;"",H253,IF(MarketImpact=0,'2e. Scripts - market'!M21,0))</f>
        <v>0</v>
      </c>
      <c r="O82" s="27">
        <f>IF($D138&lt;&gt;"",I253,IF(MarketImpact=0,'2e. Scripts - market'!N21,0))</f>
        <v>0</v>
      </c>
      <c r="P82" s="27">
        <f>IF($D138&lt;&gt;"",J253,IF(MarketImpact=0,'2e. Scripts - market'!O21,0))</f>
        <v>0</v>
      </c>
      <c r="Q82" s="27">
        <f>IF($D138&lt;&gt;"",K253,IF(MarketImpact=0,'2e. Scripts - market'!P21,0))</f>
        <v>0</v>
      </c>
      <c r="AE82" s="249">
        <v>7</v>
      </c>
      <c r="AF82" s="369">
        <f t="shared" si="47"/>
        <v>0</v>
      </c>
      <c r="AG82" s="369">
        <f t="shared" si="47"/>
        <v>0</v>
      </c>
      <c r="AH82" s="369">
        <f t="shared" si="47"/>
        <v>0</v>
      </c>
      <c r="AI82" s="369">
        <f t="shared" si="47"/>
        <v>0</v>
      </c>
      <c r="AJ82" s="369">
        <f t="shared" si="47"/>
        <v>0</v>
      </c>
      <c r="AK82" s="369">
        <f t="shared" si="47"/>
        <v>0</v>
      </c>
      <c r="AL82" s="369">
        <f t="shared" si="48"/>
        <v>0</v>
      </c>
      <c r="AM82" s="369">
        <f t="shared" si="48"/>
        <v>0</v>
      </c>
      <c r="AN82" s="369">
        <f t="shared" si="48"/>
        <v>0</v>
      </c>
      <c r="AO82" s="369">
        <f t="shared" si="48"/>
        <v>0</v>
      </c>
      <c r="AP82" s="369">
        <f t="shared" si="48"/>
        <v>0</v>
      </c>
      <c r="AQ82" s="369">
        <f t="shared" si="48"/>
        <v>0</v>
      </c>
    </row>
    <row r="83" spans="2:43" hidden="1" outlineLevel="1" x14ac:dyDescent="0.2">
      <c r="B83" s="246">
        <f t="shared" si="49"/>
        <v>0</v>
      </c>
      <c r="C83" s="52">
        <v>7</v>
      </c>
      <c r="D83" s="77" t="str">
        <f t="shared" si="50"/>
        <v>** NOT USED **</v>
      </c>
      <c r="E83" s="27">
        <f>IF($D139&lt;&gt;"",F264,IF(MarketImpact=0,'2e. Scripts - market'!D22,0))</f>
        <v>0</v>
      </c>
      <c r="F83" s="27">
        <f>IF($D139&lt;&gt;"",G264,IF(MarketImpact=0,'2e. Scripts - market'!E22,0))</f>
        <v>0</v>
      </c>
      <c r="G83" s="27">
        <f>IF($D139&lt;&gt;"",H264,IF(MarketImpact=0,'2e. Scripts - market'!F22,0))</f>
        <v>0</v>
      </c>
      <c r="H83" s="27">
        <f>IF($D139&lt;&gt;"",I264,IF(MarketImpact=0,'2e. Scripts - market'!G22,0))</f>
        <v>0</v>
      </c>
      <c r="I83" s="27">
        <f>IF($D139&lt;&gt;"",J264,IF(MarketImpact=0,'2e. Scripts - market'!H22,0))</f>
        <v>0</v>
      </c>
      <c r="J83" s="27">
        <f>IF($D139&lt;&gt;"",K264,IF(MarketImpact=0,'2e. Scripts - market'!I22,0))</f>
        <v>0</v>
      </c>
      <c r="L83" s="27">
        <f>IF($D139&lt;&gt;"",F265,IF(MarketImpact=0,'2e. Scripts - market'!K22,0))</f>
        <v>0</v>
      </c>
      <c r="M83" s="27">
        <f>IF($D139&lt;&gt;"",G265,IF(MarketImpact=0,'2e. Scripts - market'!L22,0))</f>
        <v>0</v>
      </c>
      <c r="N83" s="27">
        <f>IF($D139&lt;&gt;"",H265,IF(MarketImpact=0,'2e. Scripts - market'!M22,0))</f>
        <v>0</v>
      </c>
      <c r="O83" s="27">
        <f>IF($D139&lt;&gt;"",I265,IF(MarketImpact=0,'2e. Scripts - market'!N22,0))</f>
        <v>0</v>
      </c>
      <c r="P83" s="27">
        <f>IF($D139&lt;&gt;"",J265,IF(MarketImpact=0,'2e. Scripts - market'!O22,0))</f>
        <v>0</v>
      </c>
      <c r="Q83" s="27">
        <f>IF($D139&lt;&gt;"",K265,IF(MarketImpact=0,'2e. Scripts - market'!P22,0))</f>
        <v>0</v>
      </c>
      <c r="AE83" s="249">
        <v>8</v>
      </c>
      <c r="AF83" s="369">
        <f t="shared" si="47"/>
        <v>0</v>
      </c>
      <c r="AG83" s="369">
        <f t="shared" si="47"/>
        <v>0</v>
      </c>
      <c r="AH83" s="369">
        <f t="shared" si="47"/>
        <v>0</v>
      </c>
      <c r="AI83" s="369">
        <f t="shared" si="47"/>
        <v>0</v>
      </c>
      <c r="AJ83" s="369">
        <f t="shared" si="47"/>
        <v>0</v>
      </c>
      <c r="AK83" s="369">
        <f t="shared" si="47"/>
        <v>0</v>
      </c>
      <c r="AL83" s="369">
        <f t="shared" si="48"/>
        <v>0</v>
      </c>
      <c r="AM83" s="369">
        <f t="shared" si="48"/>
        <v>0</v>
      </c>
      <c r="AN83" s="369">
        <f t="shared" si="48"/>
        <v>0</v>
      </c>
      <c r="AO83" s="369">
        <f t="shared" si="48"/>
        <v>0</v>
      </c>
      <c r="AP83" s="369">
        <f t="shared" si="48"/>
        <v>0</v>
      </c>
      <c r="AQ83" s="369">
        <f t="shared" si="48"/>
        <v>0</v>
      </c>
    </row>
    <row r="84" spans="2:43" hidden="1" outlineLevel="1" x14ac:dyDescent="0.2">
      <c r="B84" s="246">
        <f t="shared" si="49"/>
        <v>0</v>
      </c>
      <c r="C84" s="52">
        <v>8</v>
      </c>
      <c r="D84" s="77" t="str">
        <f t="shared" si="50"/>
        <v>** NOT USED **</v>
      </c>
      <c r="E84" s="27">
        <f>IF($D140&lt;&gt;"",F276,IF(MarketImpact=0,'2e. Scripts - market'!D23,0))</f>
        <v>0</v>
      </c>
      <c r="F84" s="27">
        <f>IF($D140&lt;&gt;"",G276,IF(MarketImpact=0,'2e. Scripts - market'!E23,0))</f>
        <v>0</v>
      </c>
      <c r="G84" s="27">
        <f>IF($D140&lt;&gt;"",H276,IF(MarketImpact=0,'2e. Scripts - market'!F23,0))</f>
        <v>0</v>
      </c>
      <c r="H84" s="27">
        <f>IF($D140&lt;&gt;"",I276,IF(MarketImpact=0,'2e. Scripts - market'!G23,0))</f>
        <v>0</v>
      </c>
      <c r="I84" s="27">
        <f>IF($D140&lt;&gt;"",J276,IF(MarketImpact=0,'2e. Scripts - market'!H23,0))</f>
        <v>0</v>
      </c>
      <c r="J84" s="27">
        <f>IF($D140&lt;&gt;"",K276,IF(MarketImpact=0,'2e. Scripts - market'!I23,0))</f>
        <v>0</v>
      </c>
      <c r="L84" s="27">
        <f>IF($D140&lt;&gt;"",F277,IF(MarketImpact=0,'2e. Scripts - market'!K23,0))</f>
        <v>0</v>
      </c>
      <c r="M84" s="27">
        <f>IF($D140&lt;&gt;"",G277,IF(MarketImpact=0,'2e. Scripts - market'!L23,0))</f>
        <v>0</v>
      </c>
      <c r="N84" s="27">
        <f>IF($D140&lt;&gt;"",H277,IF(MarketImpact=0,'2e. Scripts - market'!M23,0))</f>
        <v>0</v>
      </c>
      <c r="O84" s="27">
        <f>IF($D140&lt;&gt;"",I277,IF(MarketImpact=0,'2e. Scripts - market'!N23,0))</f>
        <v>0</v>
      </c>
      <c r="P84" s="27">
        <f>IF($D140&lt;&gt;"",J277,IF(MarketImpact=0,'2e. Scripts - market'!O23,0))</f>
        <v>0</v>
      </c>
      <c r="Q84" s="27">
        <f>IF($D140&lt;&gt;"",K277,IF(MarketImpact=0,'2e. Scripts - market'!P23,0))</f>
        <v>0</v>
      </c>
      <c r="AE84" s="249">
        <v>9</v>
      </c>
      <c r="AF84" s="369">
        <f t="shared" si="47"/>
        <v>0</v>
      </c>
      <c r="AG84" s="369">
        <f t="shared" si="47"/>
        <v>0</v>
      </c>
      <c r="AH84" s="369">
        <f t="shared" si="47"/>
        <v>0</v>
      </c>
      <c r="AI84" s="369">
        <f t="shared" si="47"/>
        <v>0</v>
      </c>
      <c r="AJ84" s="369">
        <f t="shared" si="47"/>
        <v>0</v>
      </c>
      <c r="AK84" s="369">
        <f t="shared" si="47"/>
        <v>0</v>
      </c>
      <c r="AL84" s="369">
        <f t="shared" si="48"/>
        <v>0</v>
      </c>
      <c r="AM84" s="369">
        <f t="shared" si="48"/>
        <v>0</v>
      </c>
      <c r="AN84" s="369">
        <f t="shared" si="48"/>
        <v>0</v>
      </c>
      <c r="AO84" s="369">
        <f t="shared" si="48"/>
        <v>0</v>
      </c>
      <c r="AP84" s="369">
        <f t="shared" si="48"/>
        <v>0</v>
      </c>
      <c r="AQ84" s="369">
        <f t="shared" si="48"/>
        <v>0</v>
      </c>
    </row>
    <row r="85" spans="2:43" hidden="1" outlineLevel="1" x14ac:dyDescent="0.2">
      <c r="B85" s="246">
        <f t="shared" si="49"/>
        <v>0</v>
      </c>
      <c r="C85" s="52">
        <v>9</v>
      </c>
      <c r="D85" s="77" t="str">
        <f t="shared" si="50"/>
        <v>** NOT USED **</v>
      </c>
      <c r="E85" s="27">
        <f>IF($D141&lt;&gt;"",F288,IF(MarketImpact=0,'2e. Scripts - market'!D24,0))</f>
        <v>0</v>
      </c>
      <c r="F85" s="27">
        <f>IF($D141&lt;&gt;"",G288,IF(MarketImpact=0,'2e. Scripts - market'!E24,0))</f>
        <v>0</v>
      </c>
      <c r="G85" s="27">
        <f>IF($D141&lt;&gt;"",H288,IF(MarketImpact=0,'2e. Scripts - market'!F24,0))</f>
        <v>0</v>
      </c>
      <c r="H85" s="27">
        <f>IF($D141&lt;&gt;"",I288,IF(MarketImpact=0,'2e. Scripts - market'!G24,0))</f>
        <v>0</v>
      </c>
      <c r="I85" s="27">
        <f>IF($D141&lt;&gt;"",J288,IF(MarketImpact=0,'2e. Scripts - market'!H24,0))</f>
        <v>0</v>
      </c>
      <c r="J85" s="27">
        <f>IF($D141&lt;&gt;"",K288,IF(MarketImpact=0,'2e. Scripts - market'!I24,0))</f>
        <v>0</v>
      </c>
      <c r="L85" s="27">
        <f>IF($D141&lt;&gt;"",F289,IF(MarketImpact=0,'2e. Scripts - market'!K24,0))</f>
        <v>0</v>
      </c>
      <c r="M85" s="27">
        <f>IF($D141&lt;&gt;"",G289,IF(MarketImpact=0,'2e. Scripts - market'!L24,0))</f>
        <v>0</v>
      </c>
      <c r="N85" s="27">
        <f>IF($D141&lt;&gt;"",H289,IF(MarketImpact=0,'2e. Scripts - market'!M24,0))</f>
        <v>0</v>
      </c>
      <c r="O85" s="27">
        <f>IF($D141&lt;&gt;"",I289,IF(MarketImpact=0,'2e. Scripts - market'!N24,0))</f>
        <v>0</v>
      </c>
      <c r="P85" s="27">
        <f>IF($D141&lt;&gt;"",J289,IF(MarketImpact=0,'2e. Scripts - market'!O24,0))</f>
        <v>0</v>
      </c>
      <c r="Q85" s="27">
        <f>IF($D141&lt;&gt;"",K289,IF(MarketImpact=0,'2e. Scripts - market'!P24,0))</f>
        <v>0</v>
      </c>
      <c r="AE85" s="249">
        <v>10</v>
      </c>
      <c r="AF85" s="369">
        <f t="shared" si="47"/>
        <v>0</v>
      </c>
      <c r="AG85" s="369">
        <f t="shared" si="47"/>
        <v>0</v>
      </c>
      <c r="AH85" s="369">
        <f t="shared" si="47"/>
        <v>0</v>
      </c>
      <c r="AI85" s="369">
        <f t="shared" si="47"/>
        <v>0</v>
      </c>
      <c r="AJ85" s="369">
        <f t="shared" si="47"/>
        <v>0</v>
      </c>
      <c r="AK85" s="369">
        <f t="shared" si="47"/>
        <v>0</v>
      </c>
      <c r="AL85" s="369">
        <f t="shared" si="48"/>
        <v>0</v>
      </c>
      <c r="AM85" s="369">
        <f t="shared" si="48"/>
        <v>0</v>
      </c>
      <c r="AN85" s="369">
        <f t="shared" si="48"/>
        <v>0</v>
      </c>
      <c r="AO85" s="369">
        <f t="shared" si="48"/>
        <v>0</v>
      </c>
      <c r="AP85" s="369">
        <f t="shared" si="48"/>
        <v>0</v>
      </c>
      <c r="AQ85" s="369">
        <f t="shared" si="48"/>
        <v>0</v>
      </c>
    </row>
    <row r="86" spans="2:43" hidden="1" outlineLevel="1" x14ac:dyDescent="0.2">
      <c r="B86" s="246">
        <f t="shared" si="49"/>
        <v>0</v>
      </c>
      <c r="C86" s="52">
        <v>10</v>
      </c>
      <c r="D86" s="77" t="str">
        <f t="shared" si="50"/>
        <v>** NOT USED **</v>
      </c>
      <c r="E86" s="27">
        <f>IF($D142&lt;&gt;"",F300,IF(MarketImpact=0,'2e. Scripts - market'!D25,0))</f>
        <v>0</v>
      </c>
      <c r="F86" s="27">
        <f>IF($D142&lt;&gt;"",G300,IF(MarketImpact=0,'2e. Scripts - market'!E25,0))</f>
        <v>0</v>
      </c>
      <c r="G86" s="27">
        <f>IF($D142&lt;&gt;"",H300,IF(MarketImpact=0,'2e. Scripts - market'!F25,0))</f>
        <v>0</v>
      </c>
      <c r="H86" s="27">
        <f>IF($D142&lt;&gt;"",I300,IF(MarketImpact=0,'2e. Scripts - market'!G25,0))</f>
        <v>0</v>
      </c>
      <c r="I86" s="27">
        <f>IF($D142&lt;&gt;"",J300,IF(MarketImpact=0,'2e. Scripts - market'!H25,0))</f>
        <v>0</v>
      </c>
      <c r="J86" s="27">
        <f>IF($D142&lt;&gt;"",K300,IF(MarketImpact=0,'2e. Scripts - market'!I25,0))</f>
        <v>0</v>
      </c>
      <c r="L86" s="27">
        <f>IF($D142&lt;&gt;"",F301,IF(MarketImpact=0,'2e. Scripts - market'!K25,0))</f>
        <v>0</v>
      </c>
      <c r="M86" s="27">
        <f>IF($D142&lt;&gt;"",G301,IF(MarketImpact=0,'2e. Scripts - market'!L25,0))</f>
        <v>0</v>
      </c>
      <c r="N86" s="27">
        <f>IF($D142&lt;&gt;"",H301,IF(MarketImpact=0,'2e. Scripts - market'!M25,0))</f>
        <v>0</v>
      </c>
      <c r="O86" s="27">
        <f>IF($D142&lt;&gt;"",I301,IF(MarketImpact=0,'2e. Scripts - market'!N25,0))</f>
        <v>0</v>
      </c>
      <c r="P86" s="27">
        <f>IF($D142&lt;&gt;"",J301,IF(MarketImpact=0,'2e. Scripts - market'!O25,0))</f>
        <v>0</v>
      </c>
      <c r="Q86" s="27">
        <f>IF($D142&lt;&gt;"",K301,IF(MarketImpact=0,'2e. Scripts - market'!P25,0))</f>
        <v>0</v>
      </c>
      <c r="AE86" s="249">
        <v>11</v>
      </c>
      <c r="AF86" s="369">
        <f t="shared" ref="AF86:AK95" si="51">IF(OR(ScriptSourceCode=1,ScriptSourceCode=3),IF($AE115&lt;&gt;0,ROUND(AF115*INDEX(PxTxPhase1Adj,$AE115,9),0),0),0)</f>
        <v>0</v>
      </c>
      <c r="AG86" s="369">
        <f t="shared" si="51"/>
        <v>0</v>
      </c>
      <c r="AH86" s="369">
        <f t="shared" si="51"/>
        <v>0</v>
      </c>
      <c r="AI86" s="369">
        <f t="shared" si="51"/>
        <v>0</v>
      </c>
      <c r="AJ86" s="369">
        <f t="shared" si="51"/>
        <v>0</v>
      </c>
      <c r="AK86" s="369">
        <f t="shared" si="51"/>
        <v>0</v>
      </c>
      <c r="AL86" s="369">
        <f t="shared" ref="AL86:AQ95" si="52">IF(OR(ScriptSourceCode=1,ScriptSourceCode=3),IF($AE115&lt;&gt;0,ROUND(AL115*INDEX(PxTxPhase2Adj,$AE115,9),0),0),0)</f>
        <v>0</v>
      </c>
      <c r="AM86" s="369">
        <f t="shared" si="52"/>
        <v>0</v>
      </c>
      <c r="AN86" s="369">
        <f t="shared" si="52"/>
        <v>0</v>
      </c>
      <c r="AO86" s="369">
        <f t="shared" si="52"/>
        <v>0</v>
      </c>
      <c r="AP86" s="369">
        <f t="shared" si="52"/>
        <v>0</v>
      </c>
      <c r="AQ86" s="369">
        <f t="shared" si="52"/>
        <v>0</v>
      </c>
    </row>
    <row r="87" spans="2:43" hidden="1" outlineLevel="1" x14ac:dyDescent="0.2">
      <c r="B87" s="246">
        <f t="shared" si="49"/>
        <v>0</v>
      </c>
      <c r="C87" s="52">
        <v>11</v>
      </c>
      <c r="D87" s="77" t="str">
        <f t="shared" si="50"/>
        <v>** NOT USED **</v>
      </c>
      <c r="E87" s="27">
        <f>IF($D143&lt;&gt;"",F312,IF(MarketImpact=0,'2e. Scripts - market'!D26,0))</f>
        <v>0</v>
      </c>
      <c r="F87" s="27">
        <f>IF($D143&lt;&gt;"",G312,IF(MarketImpact=0,'2e. Scripts - market'!E26,0))</f>
        <v>0</v>
      </c>
      <c r="G87" s="27">
        <f>IF($D143&lt;&gt;"",H312,IF(MarketImpact=0,'2e. Scripts - market'!F26,0))</f>
        <v>0</v>
      </c>
      <c r="H87" s="27">
        <f>IF($D143&lt;&gt;"",I312,IF(MarketImpact=0,'2e. Scripts - market'!G26,0))</f>
        <v>0</v>
      </c>
      <c r="I87" s="27">
        <f>IF($D143&lt;&gt;"",J312,IF(MarketImpact=0,'2e. Scripts - market'!H26,0))</f>
        <v>0</v>
      </c>
      <c r="J87" s="27">
        <f>IF($D143&lt;&gt;"",K312,IF(MarketImpact=0,'2e. Scripts - market'!I26,0))</f>
        <v>0</v>
      </c>
      <c r="L87" s="27">
        <f>IF($D143&lt;&gt;"",F313,IF(MarketImpact=0,'2e. Scripts - market'!K26,0))</f>
        <v>0</v>
      </c>
      <c r="M87" s="27">
        <f>IF($D143&lt;&gt;"",G313,IF(MarketImpact=0,'2e. Scripts - market'!L26,0))</f>
        <v>0</v>
      </c>
      <c r="N87" s="27">
        <f>IF($D143&lt;&gt;"",H313,IF(MarketImpact=0,'2e. Scripts - market'!M26,0))</f>
        <v>0</v>
      </c>
      <c r="O87" s="27">
        <f>IF($D143&lt;&gt;"",I313,IF(MarketImpact=0,'2e. Scripts - market'!N26,0))</f>
        <v>0</v>
      </c>
      <c r="P87" s="27">
        <f>IF($D143&lt;&gt;"",J313,IF(MarketImpact=0,'2e. Scripts - market'!O26,0))</f>
        <v>0</v>
      </c>
      <c r="Q87" s="27">
        <f>IF($D143&lt;&gt;"",K313,IF(MarketImpact=0,'2e. Scripts - market'!P26,0))</f>
        <v>0</v>
      </c>
      <c r="AE87" s="249">
        <v>12</v>
      </c>
      <c r="AF87" s="369">
        <f t="shared" si="51"/>
        <v>0</v>
      </c>
      <c r="AG87" s="369">
        <f t="shared" si="51"/>
        <v>0</v>
      </c>
      <c r="AH87" s="369">
        <f t="shared" si="51"/>
        <v>0</v>
      </c>
      <c r="AI87" s="369">
        <f t="shared" si="51"/>
        <v>0</v>
      </c>
      <c r="AJ87" s="369">
        <f t="shared" si="51"/>
        <v>0</v>
      </c>
      <c r="AK87" s="369">
        <f t="shared" si="51"/>
        <v>0</v>
      </c>
      <c r="AL87" s="369">
        <f t="shared" si="52"/>
        <v>0</v>
      </c>
      <c r="AM87" s="369">
        <f t="shared" si="52"/>
        <v>0</v>
      </c>
      <c r="AN87" s="369">
        <f t="shared" si="52"/>
        <v>0</v>
      </c>
      <c r="AO87" s="369">
        <f t="shared" si="52"/>
        <v>0</v>
      </c>
      <c r="AP87" s="369">
        <f t="shared" si="52"/>
        <v>0</v>
      </c>
      <c r="AQ87" s="369">
        <f t="shared" si="52"/>
        <v>0</v>
      </c>
    </row>
    <row r="88" spans="2:43" hidden="1" outlineLevel="1" x14ac:dyDescent="0.2">
      <c r="B88" s="246">
        <f t="shared" si="49"/>
        <v>0</v>
      </c>
      <c r="C88" s="52">
        <v>12</v>
      </c>
      <c r="D88" s="77" t="str">
        <f t="shared" si="50"/>
        <v>** NOT USED **</v>
      </c>
      <c r="E88" s="27">
        <f>IF($D144&lt;&gt;"",F324,IF(MarketImpact=0,'2e. Scripts - market'!D27,0))</f>
        <v>0</v>
      </c>
      <c r="F88" s="27">
        <f>IF($D144&lt;&gt;"",G324,IF(MarketImpact=0,'2e. Scripts - market'!E27,0))</f>
        <v>0</v>
      </c>
      <c r="G88" s="27">
        <f>IF($D144&lt;&gt;"",H324,IF(MarketImpact=0,'2e. Scripts - market'!F27,0))</f>
        <v>0</v>
      </c>
      <c r="H88" s="27">
        <f>IF($D144&lt;&gt;"",I324,IF(MarketImpact=0,'2e. Scripts - market'!G27,0))</f>
        <v>0</v>
      </c>
      <c r="I88" s="27">
        <f>IF($D144&lt;&gt;"",J324,IF(MarketImpact=0,'2e. Scripts - market'!H27,0))</f>
        <v>0</v>
      </c>
      <c r="J88" s="27">
        <f>IF($D144&lt;&gt;"",K324,IF(MarketImpact=0,'2e. Scripts - market'!I27,0))</f>
        <v>0</v>
      </c>
      <c r="L88" s="27">
        <f>IF($D144&lt;&gt;"",F325,IF(MarketImpact=0,'2e. Scripts - market'!K27,0))</f>
        <v>0</v>
      </c>
      <c r="M88" s="27">
        <f>IF($D144&lt;&gt;"",G325,IF(MarketImpact=0,'2e. Scripts - market'!L27,0))</f>
        <v>0</v>
      </c>
      <c r="N88" s="27">
        <f>IF($D144&lt;&gt;"",H325,IF(MarketImpact=0,'2e. Scripts - market'!M27,0))</f>
        <v>0</v>
      </c>
      <c r="O88" s="27">
        <f>IF($D144&lt;&gt;"",I325,IF(MarketImpact=0,'2e. Scripts - market'!N27,0))</f>
        <v>0</v>
      </c>
      <c r="P88" s="27">
        <f>IF($D144&lt;&gt;"",J325,IF(MarketImpact=0,'2e. Scripts - market'!O27,0))</f>
        <v>0</v>
      </c>
      <c r="Q88" s="27">
        <f>IF($D144&lt;&gt;"",K325,IF(MarketImpact=0,'2e. Scripts - market'!P27,0))</f>
        <v>0</v>
      </c>
      <c r="AE88" s="249">
        <v>13</v>
      </c>
      <c r="AF88" s="369">
        <f t="shared" si="51"/>
        <v>0</v>
      </c>
      <c r="AG88" s="369">
        <f t="shared" si="51"/>
        <v>0</v>
      </c>
      <c r="AH88" s="369">
        <f t="shared" si="51"/>
        <v>0</v>
      </c>
      <c r="AI88" s="369">
        <f t="shared" si="51"/>
        <v>0</v>
      </c>
      <c r="AJ88" s="369">
        <f t="shared" si="51"/>
        <v>0</v>
      </c>
      <c r="AK88" s="369">
        <f t="shared" si="51"/>
        <v>0</v>
      </c>
      <c r="AL88" s="369">
        <f t="shared" si="52"/>
        <v>0</v>
      </c>
      <c r="AM88" s="369">
        <f t="shared" si="52"/>
        <v>0</v>
      </c>
      <c r="AN88" s="369">
        <f t="shared" si="52"/>
        <v>0</v>
      </c>
      <c r="AO88" s="369">
        <f t="shared" si="52"/>
        <v>0</v>
      </c>
      <c r="AP88" s="369">
        <f t="shared" si="52"/>
        <v>0</v>
      </c>
      <c r="AQ88" s="369">
        <f t="shared" si="52"/>
        <v>0</v>
      </c>
    </row>
    <row r="89" spans="2:43" hidden="1" outlineLevel="1" x14ac:dyDescent="0.2">
      <c r="B89" s="246">
        <f t="shared" si="49"/>
        <v>0</v>
      </c>
      <c r="C89" s="52">
        <v>13</v>
      </c>
      <c r="D89" s="77" t="str">
        <f t="shared" si="50"/>
        <v>** NOT USED **</v>
      </c>
      <c r="E89" s="27">
        <f>IF($D145&lt;&gt;"",F336,IF(MarketImpact=0,'2e. Scripts - market'!D28,0))</f>
        <v>0</v>
      </c>
      <c r="F89" s="27">
        <f>IF($D145&lt;&gt;"",G336,IF(MarketImpact=0,'2e. Scripts - market'!E28,0))</f>
        <v>0</v>
      </c>
      <c r="G89" s="27">
        <f>IF($D145&lt;&gt;"",H336,IF(MarketImpact=0,'2e. Scripts - market'!F28,0))</f>
        <v>0</v>
      </c>
      <c r="H89" s="27">
        <f>IF($D145&lt;&gt;"",I336,IF(MarketImpact=0,'2e. Scripts - market'!G28,0))</f>
        <v>0</v>
      </c>
      <c r="I89" s="27">
        <f>IF($D145&lt;&gt;"",J336,IF(MarketImpact=0,'2e. Scripts - market'!H28,0))</f>
        <v>0</v>
      </c>
      <c r="J89" s="27">
        <f>IF($D145&lt;&gt;"",K336,IF(MarketImpact=0,'2e. Scripts - market'!I28,0))</f>
        <v>0</v>
      </c>
      <c r="L89" s="27">
        <f>IF($D145&lt;&gt;"",F337,IF(MarketImpact=0,'2e. Scripts - market'!K28,0))</f>
        <v>0</v>
      </c>
      <c r="M89" s="27">
        <f>IF($D145&lt;&gt;"",G337,IF(MarketImpact=0,'2e. Scripts - market'!L28,0))</f>
        <v>0</v>
      </c>
      <c r="N89" s="27">
        <f>IF($D145&lt;&gt;"",H337,IF(MarketImpact=0,'2e. Scripts - market'!M28,0))</f>
        <v>0</v>
      </c>
      <c r="O89" s="27">
        <f>IF($D145&lt;&gt;"",I337,IF(MarketImpact=0,'2e. Scripts - market'!N28,0))</f>
        <v>0</v>
      </c>
      <c r="P89" s="27">
        <f>IF($D145&lt;&gt;"",J337,IF(MarketImpact=0,'2e. Scripts - market'!O28,0))</f>
        <v>0</v>
      </c>
      <c r="Q89" s="27">
        <f>IF($D145&lt;&gt;"",K337,IF(MarketImpact=0,'2e. Scripts - market'!P28,0))</f>
        <v>0</v>
      </c>
      <c r="AE89" s="249">
        <v>14</v>
      </c>
      <c r="AF89" s="369">
        <f t="shared" si="51"/>
        <v>0</v>
      </c>
      <c r="AG89" s="369">
        <f t="shared" si="51"/>
        <v>0</v>
      </c>
      <c r="AH89" s="369">
        <f t="shared" si="51"/>
        <v>0</v>
      </c>
      <c r="AI89" s="369">
        <f t="shared" si="51"/>
        <v>0</v>
      </c>
      <c r="AJ89" s="369">
        <f t="shared" si="51"/>
        <v>0</v>
      </c>
      <c r="AK89" s="369">
        <f t="shared" si="51"/>
        <v>0</v>
      </c>
      <c r="AL89" s="369">
        <f t="shared" si="52"/>
        <v>0</v>
      </c>
      <c r="AM89" s="369">
        <f t="shared" si="52"/>
        <v>0</v>
      </c>
      <c r="AN89" s="369">
        <f t="shared" si="52"/>
        <v>0</v>
      </c>
      <c r="AO89" s="369">
        <f t="shared" si="52"/>
        <v>0</v>
      </c>
      <c r="AP89" s="369">
        <f t="shared" si="52"/>
        <v>0</v>
      </c>
      <c r="AQ89" s="369">
        <f t="shared" si="52"/>
        <v>0</v>
      </c>
    </row>
    <row r="90" spans="2:43" hidden="1" outlineLevel="1" x14ac:dyDescent="0.2">
      <c r="B90" s="246">
        <f t="shared" si="49"/>
        <v>0</v>
      </c>
      <c r="C90" s="52">
        <v>14</v>
      </c>
      <c r="D90" s="77" t="str">
        <f t="shared" si="50"/>
        <v>** NOT USED **</v>
      </c>
      <c r="E90" s="27">
        <f>IF($D146&lt;&gt;"",F348,IF(MarketImpact=0,'2e. Scripts - market'!D29,0))</f>
        <v>0</v>
      </c>
      <c r="F90" s="27">
        <f>IF($D146&lt;&gt;"",G348,IF(MarketImpact=0,'2e. Scripts - market'!E29,0))</f>
        <v>0</v>
      </c>
      <c r="G90" s="27">
        <f>IF($D146&lt;&gt;"",H348,IF(MarketImpact=0,'2e. Scripts - market'!F29,0))</f>
        <v>0</v>
      </c>
      <c r="H90" s="27">
        <f>IF($D146&lt;&gt;"",I348,IF(MarketImpact=0,'2e. Scripts - market'!G29,0))</f>
        <v>0</v>
      </c>
      <c r="I90" s="27">
        <f>IF($D146&lt;&gt;"",J348,IF(MarketImpact=0,'2e. Scripts - market'!H29,0))</f>
        <v>0</v>
      </c>
      <c r="J90" s="27">
        <f>IF($D146&lt;&gt;"",K348,IF(MarketImpact=0,'2e. Scripts - market'!I29,0))</f>
        <v>0</v>
      </c>
      <c r="L90" s="27">
        <f>IF($D146&lt;&gt;"",F349,IF(MarketImpact=0,'2e. Scripts - market'!K29,0))</f>
        <v>0</v>
      </c>
      <c r="M90" s="27">
        <f>IF($D146&lt;&gt;"",G349,IF(MarketImpact=0,'2e. Scripts - market'!L29,0))</f>
        <v>0</v>
      </c>
      <c r="N90" s="27">
        <f>IF($D146&lt;&gt;"",H349,IF(MarketImpact=0,'2e. Scripts - market'!M29,0))</f>
        <v>0</v>
      </c>
      <c r="O90" s="27">
        <f>IF($D146&lt;&gt;"",I349,IF(MarketImpact=0,'2e. Scripts - market'!N29,0))</f>
        <v>0</v>
      </c>
      <c r="P90" s="27">
        <f>IF($D146&lt;&gt;"",J349,IF(MarketImpact=0,'2e. Scripts - market'!O29,0))</f>
        <v>0</v>
      </c>
      <c r="Q90" s="27">
        <f>IF($D146&lt;&gt;"",K349,IF(MarketImpact=0,'2e. Scripts - market'!P29,0))</f>
        <v>0</v>
      </c>
      <c r="AE90" s="249">
        <v>15</v>
      </c>
      <c r="AF90" s="369">
        <f t="shared" si="51"/>
        <v>0</v>
      </c>
      <c r="AG90" s="369">
        <f t="shared" si="51"/>
        <v>0</v>
      </c>
      <c r="AH90" s="369">
        <f t="shared" si="51"/>
        <v>0</v>
      </c>
      <c r="AI90" s="369">
        <f t="shared" si="51"/>
        <v>0</v>
      </c>
      <c r="AJ90" s="369">
        <f t="shared" si="51"/>
        <v>0</v>
      </c>
      <c r="AK90" s="369">
        <f t="shared" si="51"/>
        <v>0</v>
      </c>
      <c r="AL90" s="369">
        <f t="shared" si="52"/>
        <v>0</v>
      </c>
      <c r="AM90" s="369">
        <f t="shared" si="52"/>
        <v>0</v>
      </c>
      <c r="AN90" s="369">
        <f t="shared" si="52"/>
        <v>0</v>
      </c>
      <c r="AO90" s="369">
        <f t="shared" si="52"/>
        <v>0</v>
      </c>
      <c r="AP90" s="369">
        <f t="shared" si="52"/>
        <v>0</v>
      </c>
      <c r="AQ90" s="369">
        <f t="shared" si="52"/>
        <v>0</v>
      </c>
    </row>
    <row r="91" spans="2:43" hidden="1" outlineLevel="1" x14ac:dyDescent="0.2">
      <c r="B91" s="246">
        <f t="shared" si="49"/>
        <v>0</v>
      </c>
      <c r="C91" s="52">
        <v>15</v>
      </c>
      <c r="D91" s="77" t="str">
        <f t="shared" si="50"/>
        <v>** NOT USED **</v>
      </c>
      <c r="E91" s="27">
        <f>IF($D147&lt;&gt;"",F360,IF(MarketImpact=0,'2e. Scripts - market'!D30,0))</f>
        <v>0</v>
      </c>
      <c r="F91" s="27">
        <f>IF($D147&lt;&gt;"",G360,IF(MarketImpact=0,'2e. Scripts - market'!E30,0))</f>
        <v>0</v>
      </c>
      <c r="G91" s="27">
        <f>IF($D147&lt;&gt;"",H360,IF(MarketImpact=0,'2e. Scripts - market'!F30,0))</f>
        <v>0</v>
      </c>
      <c r="H91" s="27">
        <f>IF($D147&lt;&gt;"",I360,IF(MarketImpact=0,'2e. Scripts - market'!G30,0))</f>
        <v>0</v>
      </c>
      <c r="I91" s="27">
        <f>IF($D147&lt;&gt;"",J360,IF(MarketImpact=0,'2e. Scripts - market'!H30,0))</f>
        <v>0</v>
      </c>
      <c r="J91" s="27">
        <f>IF($D147&lt;&gt;"",K360,IF(MarketImpact=0,'2e. Scripts - market'!I30,0))</f>
        <v>0</v>
      </c>
      <c r="L91" s="27">
        <f>IF($D147&lt;&gt;"",F361,IF(MarketImpact=0,'2e. Scripts - market'!K30,0))</f>
        <v>0</v>
      </c>
      <c r="M91" s="27">
        <f>IF($D147&lt;&gt;"",G361,IF(MarketImpact=0,'2e. Scripts - market'!L30,0))</f>
        <v>0</v>
      </c>
      <c r="N91" s="27">
        <f>IF($D147&lt;&gt;"",H361,IF(MarketImpact=0,'2e. Scripts - market'!M30,0))</f>
        <v>0</v>
      </c>
      <c r="O91" s="27">
        <f>IF($D147&lt;&gt;"",I361,IF(MarketImpact=0,'2e. Scripts - market'!N30,0))</f>
        <v>0</v>
      </c>
      <c r="P91" s="27">
        <f>IF($D147&lt;&gt;"",J361,IF(MarketImpact=0,'2e. Scripts - market'!O30,0))</f>
        <v>0</v>
      </c>
      <c r="Q91" s="27">
        <f>IF($D147&lt;&gt;"",K361,IF(MarketImpact=0,'2e. Scripts - market'!P30,0))</f>
        <v>0</v>
      </c>
      <c r="AE91" s="249">
        <v>16</v>
      </c>
      <c r="AF91" s="369">
        <f t="shared" si="51"/>
        <v>0</v>
      </c>
      <c r="AG91" s="369">
        <f t="shared" si="51"/>
        <v>0</v>
      </c>
      <c r="AH91" s="369">
        <f t="shared" si="51"/>
        <v>0</v>
      </c>
      <c r="AI91" s="369">
        <f t="shared" si="51"/>
        <v>0</v>
      </c>
      <c r="AJ91" s="369">
        <f t="shared" si="51"/>
        <v>0</v>
      </c>
      <c r="AK91" s="369">
        <f t="shared" si="51"/>
        <v>0</v>
      </c>
      <c r="AL91" s="369">
        <f t="shared" si="52"/>
        <v>0</v>
      </c>
      <c r="AM91" s="369">
        <f t="shared" si="52"/>
        <v>0</v>
      </c>
      <c r="AN91" s="369">
        <f t="shared" si="52"/>
        <v>0</v>
      </c>
      <c r="AO91" s="369">
        <f t="shared" si="52"/>
        <v>0</v>
      </c>
      <c r="AP91" s="369">
        <f t="shared" si="52"/>
        <v>0</v>
      </c>
      <c r="AQ91" s="369">
        <f t="shared" si="52"/>
        <v>0</v>
      </c>
    </row>
    <row r="92" spans="2:43" hidden="1" outlineLevel="1" x14ac:dyDescent="0.2">
      <c r="B92" s="246">
        <f t="shared" si="49"/>
        <v>0</v>
      </c>
      <c r="C92" s="52">
        <v>16</v>
      </c>
      <c r="D92" s="77" t="str">
        <f t="shared" si="50"/>
        <v>** NOT USED **</v>
      </c>
      <c r="E92" s="27">
        <f>IF($D148&lt;&gt;"",F372,IF(MarketImpact=0,'2e. Scripts - market'!D31,0))</f>
        <v>0</v>
      </c>
      <c r="F92" s="27">
        <f>IF($D148&lt;&gt;"",G372,IF(MarketImpact=0,'2e. Scripts - market'!E31,0))</f>
        <v>0</v>
      </c>
      <c r="G92" s="27">
        <f>IF($D148&lt;&gt;"",H372,IF(MarketImpact=0,'2e. Scripts - market'!F31,0))</f>
        <v>0</v>
      </c>
      <c r="H92" s="27">
        <f>IF($D148&lt;&gt;"",I372,IF(MarketImpact=0,'2e. Scripts - market'!G31,0))</f>
        <v>0</v>
      </c>
      <c r="I92" s="27">
        <f>IF($D148&lt;&gt;"",J372,IF(MarketImpact=0,'2e. Scripts - market'!H31,0))</f>
        <v>0</v>
      </c>
      <c r="J92" s="27">
        <f>IF($D148&lt;&gt;"",K372,IF(MarketImpact=0,'2e. Scripts - market'!I31,0))</f>
        <v>0</v>
      </c>
      <c r="L92" s="27">
        <f>IF($D148&lt;&gt;"",F373,IF(MarketImpact=0,'2e. Scripts - market'!K31,0))</f>
        <v>0</v>
      </c>
      <c r="M92" s="27">
        <f>IF($D148&lt;&gt;"",G373,IF(MarketImpact=0,'2e. Scripts - market'!L31,0))</f>
        <v>0</v>
      </c>
      <c r="N92" s="27">
        <f>IF($D148&lt;&gt;"",H373,IF(MarketImpact=0,'2e. Scripts - market'!M31,0))</f>
        <v>0</v>
      </c>
      <c r="O92" s="27">
        <f>IF($D148&lt;&gt;"",I373,IF(MarketImpact=0,'2e. Scripts - market'!N31,0))</f>
        <v>0</v>
      </c>
      <c r="P92" s="27">
        <f>IF($D148&lt;&gt;"",J373,IF(MarketImpact=0,'2e. Scripts - market'!O31,0))</f>
        <v>0</v>
      </c>
      <c r="Q92" s="27">
        <f>IF($D148&lt;&gt;"",K373,IF(MarketImpact=0,'2e. Scripts - market'!P31,0))</f>
        <v>0</v>
      </c>
      <c r="AE92" s="249">
        <v>17</v>
      </c>
      <c r="AF92" s="369">
        <f t="shared" si="51"/>
        <v>0</v>
      </c>
      <c r="AG92" s="369">
        <f t="shared" si="51"/>
        <v>0</v>
      </c>
      <c r="AH92" s="369">
        <f t="shared" si="51"/>
        <v>0</v>
      </c>
      <c r="AI92" s="369">
        <f t="shared" si="51"/>
        <v>0</v>
      </c>
      <c r="AJ92" s="369">
        <f t="shared" si="51"/>
        <v>0</v>
      </c>
      <c r="AK92" s="369">
        <f t="shared" si="51"/>
        <v>0</v>
      </c>
      <c r="AL92" s="369">
        <f t="shared" si="52"/>
        <v>0</v>
      </c>
      <c r="AM92" s="369">
        <f t="shared" si="52"/>
        <v>0</v>
      </c>
      <c r="AN92" s="369">
        <f t="shared" si="52"/>
        <v>0</v>
      </c>
      <c r="AO92" s="369">
        <f t="shared" si="52"/>
        <v>0</v>
      </c>
      <c r="AP92" s="369">
        <f t="shared" si="52"/>
        <v>0</v>
      </c>
      <c r="AQ92" s="369">
        <f t="shared" si="52"/>
        <v>0</v>
      </c>
    </row>
    <row r="93" spans="2:43" hidden="1" outlineLevel="1" x14ac:dyDescent="0.2">
      <c r="B93" s="246">
        <f t="shared" si="49"/>
        <v>0</v>
      </c>
      <c r="C93" s="52">
        <v>17</v>
      </c>
      <c r="D93" s="77" t="str">
        <f t="shared" si="50"/>
        <v>** NOT USED **</v>
      </c>
      <c r="E93" s="27">
        <f>IF($D149&lt;&gt;"",F384,IF(MarketImpact=0,'2e. Scripts - market'!D32,0))</f>
        <v>0</v>
      </c>
      <c r="F93" s="27">
        <f>IF($D149&lt;&gt;"",G384,IF(MarketImpact=0,'2e. Scripts - market'!E32,0))</f>
        <v>0</v>
      </c>
      <c r="G93" s="27">
        <f>IF($D149&lt;&gt;"",H384,IF(MarketImpact=0,'2e. Scripts - market'!F32,0))</f>
        <v>0</v>
      </c>
      <c r="H93" s="27">
        <f>IF($D149&lt;&gt;"",I384,IF(MarketImpact=0,'2e. Scripts - market'!G32,0))</f>
        <v>0</v>
      </c>
      <c r="I93" s="27">
        <f>IF($D149&lt;&gt;"",J384,IF(MarketImpact=0,'2e. Scripts - market'!H32,0))</f>
        <v>0</v>
      </c>
      <c r="J93" s="27">
        <f>IF($D149&lt;&gt;"",K384,IF(MarketImpact=0,'2e. Scripts - market'!I32,0))</f>
        <v>0</v>
      </c>
      <c r="L93" s="27">
        <f>IF($D149&lt;&gt;"",F385,IF(MarketImpact=0,'2e. Scripts - market'!K32,0))</f>
        <v>0</v>
      </c>
      <c r="M93" s="27">
        <f>IF($D149&lt;&gt;"",G385,IF(MarketImpact=0,'2e. Scripts - market'!L32,0))</f>
        <v>0</v>
      </c>
      <c r="N93" s="27">
        <f>IF($D149&lt;&gt;"",H385,IF(MarketImpact=0,'2e. Scripts - market'!M32,0))</f>
        <v>0</v>
      </c>
      <c r="O93" s="27">
        <f>IF($D149&lt;&gt;"",I385,IF(MarketImpact=0,'2e. Scripts - market'!N32,0))</f>
        <v>0</v>
      </c>
      <c r="P93" s="27">
        <f>IF($D149&lt;&gt;"",J385,IF(MarketImpact=0,'2e. Scripts - market'!O32,0))</f>
        <v>0</v>
      </c>
      <c r="Q93" s="27">
        <f>IF($D149&lt;&gt;"",K385,IF(MarketImpact=0,'2e. Scripts - market'!P32,0))</f>
        <v>0</v>
      </c>
      <c r="AE93" s="249">
        <v>18</v>
      </c>
      <c r="AF93" s="369">
        <f t="shared" si="51"/>
        <v>0</v>
      </c>
      <c r="AG93" s="369">
        <f t="shared" si="51"/>
        <v>0</v>
      </c>
      <c r="AH93" s="369">
        <f t="shared" si="51"/>
        <v>0</v>
      </c>
      <c r="AI93" s="369">
        <f t="shared" si="51"/>
        <v>0</v>
      </c>
      <c r="AJ93" s="369">
        <f t="shared" si="51"/>
        <v>0</v>
      </c>
      <c r="AK93" s="369">
        <f t="shared" si="51"/>
        <v>0</v>
      </c>
      <c r="AL93" s="369">
        <f t="shared" si="52"/>
        <v>0</v>
      </c>
      <c r="AM93" s="369">
        <f t="shared" si="52"/>
        <v>0</v>
      </c>
      <c r="AN93" s="369">
        <f t="shared" si="52"/>
        <v>0</v>
      </c>
      <c r="AO93" s="369">
        <f t="shared" si="52"/>
        <v>0</v>
      </c>
      <c r="AP93" s="369">
        <f t="shared" si="52"/>
        <v>0</v>
      </c>
      <c r="AQ93" s="369">
        <f t="shared" si="52"/>
        <v>0</v>
      </c>
    </row>
    <row r="94" spans="2:43" hidden="1" outlineLevel="1" x14ac:dyDescent="0.2">
      <c r="B94" s="246">
        <f t="shared" si="49"/>
        <v>0</v>
      </c>
      <c r="C94" s="52">
        <v>18</v>
      </c>
      <c r="D94" s="77" t="str">
        <f t="shared" si="50"/>
        <v>** NOT USED **</v>
      </c>
      <c r="E94" s="27">
        <f>IF($D150&lt;&gt;"",F396,IF(MarketImpact=0,'2e. Scripts - market'!D33,0))</f>
        <v>0</v>
      </c>
      <c r="F94" s="27">
        <f>IF($D150&lt;&gt;"",G396,IF(MarketImpact=0,'2e. Scripts - market'!E33,0))</f>
        <v>0</v>
      </c>
      <c r="G94" s="27">
        <f>IF($D150&lt;&gt;"",H396,IF(MarketImpact=0,'2e. Scripts - market'!F33,0))</f>
        <v>0</v>
      </c>
      <c r="H94" s="27">
        <f>IF($D150&lt;&gt;"",I396,IF(MarketImpact=0,'2e. Scripts - market'!G33,0))</f>
        <v>0</v>
      </c>
      <c r="I94" s="27">
        <f>IF($D150&lt;&gt;"",J396,IF(MarketImpact=0,'2e. Scripts - market'!H33,0))</f>
        <v>0</v>
      </c>
      <c r="J94" s="27">
        <f>IF($D150&lt;&gt;"",K396,IF(MarketImpact=0,'2e. Scripts - market'!I33,0))</f>
        <v>0</v>
      </c>
      <c r="L94" s="27">
        <f>IF($D150&lt;&gt;"",F397,IF(MarketImpact=0,'2e. Scripts - market'!K33,0))</f>
        <v>0</v>
      </c>
      <c r="M94" s="27">
        <f>IF($D150&lt;&gt;"",G397,IF(MarketImpact=0,'2e. Scripts - market'!L33,0))</f>
        <v>0</v>
      </c>
      <c r="N94" s="27">
        <f>IF($D150&lt;&gt;"",H397,IF(MarketImpact=0,'2e. Scripts - market'!M33,0))</f>
        <v>0</v>
      </c>
      <c r="O94" s="27">
        <f>IF($D150&lt;&gt;"",I397,IF(MarketImpact=0,'2e. Scripts - market'!N33,0))</f>
        <v>0</v>
      </c>
      <c r="P94" s="27">
        <f>IF($D150&lt;&gt;"",J397,IF(MarketImpact=0,'2e. Scripts - market'!O33,0))</f>
        <v>0</v>
      </c>
      <c r="Q94" s="27">
        <f>IF($D150&lt;&gt;"",K397,IF(MarketImpact=0,'2e. Scripts - market'!P33,0))</f>
        <v>0</v>
      </c>
      <c r="AE94" s="249">
        <v>19</v>
      </c>
      <c r="AF94" s="369">
        <f t="shared" si="51"/>
        <v>0</v>
      </c>
      <c r="AG94" s="369">
        <f t="shared" si="51"/>
        <v>0</v>
      </c>
      <c r="AH94" s="369">
        <f t="shared" si="51"/>
        <v>0</v>
      </c>
      <c r="AI94" s="369">
        <f t="shared" si="51"/>
        <v>0</v>
      </c>
      <c r="AJ94" s="369">
        <f t="shared" si="51"/>
        <v>0</v>
      </c>
      <c r="AK94" s="369">
        <f t="shared" si="51"/>
        <v>0</v>
      </c>
      <c r="AL94" s="369">
        <f t="shared" si="52"/>
        <v>0</v>
      </c>
      <c r="AM94" s="369">
        <f t="shared" si="52"/>
        <v>0</v>
      </c>
      <c r="AN94" s="369">
        <f t="shared" si="52"/>
        <v>0</v>
      </c>
      <c r="AO94" s="369">
        <f t="shared" si="52"/>
        <v>0</v>
      </c>
      <c r="AP94" s="369">
        <f t="shared" si="52"/>
        <v>0</v>
      </c>
      <c r="AQ94" s="369">
        <f t="shared" si="52"/>
        <v>0</v>
      </c>
    </row>
    <row r="95" spans="2:43" hidden="1" outlineLevel="1" x14ac:dyDescent="0.2">
      <c r="B95" s="246">
        <f t="shared" si="49"/>
        <v>0</v>
      </c>
      <c r="C95" s="52">
        <v>19</v>
      </c>
      <c r="D95" s="77" t="str">
        <f t="shared" si="50"/>
        <v>** NOT USED **</v>
      </c>
      <c r="E95" s="27">
        <f>IF($D151&lt;&gt;"",F408,IF(MarketImpact=0,'2e. Scripts - market'!D34,0))</f>
        <v>0</v>
      </c>
      <c r="F95" s="27">
        <f>IF($D151&lt;&gt;"",G408,IF(MarketImpact=0,'2e. Scripts - market'!E34,0))</f>
        <v>0</v>
      </c>
      <c r="G95" s="27">
        <f>IF($D151&lt;&gt;"",H408,IF(MarketImpact=0,'2e. Scripts - market'!F34,0))</f>
        <v>0</v>
      </c>
      <c r="H95" s="27">
        <f>IF($D151&lt;&gt;"",I408,IF(MarketImpact=0,'2e. Scripts - market'!G34,0))</f>
        <v>0</v>
      </c>
      <c r="I95" s="27">
        <f>IF($D151&lt;&gt;"",J408,IF(MarketImpact=0,'2e. Scripts - market'!H34,0))</f>
        <v>0</v>
      </c>
      <c r="J95" s="27">
        <f>IF($D151&lt;&gt;"",K408,IF(MarketImpact=0,'2e. Scripts - market'!I34,0))</f>
        <v>0</v>
      </c>
      <c r="L95" s="27">
        <f>IF($D151&lt;&gt;"",F409,IF(MarketImpact=0,'2e. Scripts - market'!K34,0))</f>
        <v>0</v>
      </c>
      <c r="M95" s="27">
        <f>IF($D151&lt;&gt;"",G409,IF(MarketImpact=0,'2e. Scripts - market'!L34,0))</f>
        <v>0</v>
      </c>
      <c r="N95" s="27">
        <f>IF($D151&lt;&gt;"",H409,IF(MarketImpact=0,'2e. Scripts - market'!M34,0))</f>
        <v>0</v>
      </c>
      <c r="O95" s="27">
        <f>IF($D151&lt;&gt;"",I409,IF(MarketImpact=0,'2e. Scripts - market'!N34,0))</f>
        <v>0</v>
      </c>
      <c r="P95" s="27">
        <f>IF($D151&lt;&gt;"",J409,IF(MarketImpact=0,'2e. Scripts - market'!O34,0))</f>
        <v>0</v>
      </c>
      <c r="Q95" s="27">
        <f>IF($D151&lt;&gt;"",K409,IF(MarketImpact=0,'2e. Scripts - market'!P34,0))</f>
        <v>0</v>
      </c>
      <c r="AE95" s="249">
        <v>20</v>
      </c>
      <c r="AF95" s="369">
        <f t="shared" si="51"/>
        <v>0</v>
      </c>
      <c r="AG95" s="369">
        <f t="shared" si="51"/>
        <v>0</v>
      </c>
      <c r="AH95" s="369">
        <f t="shared" si="51"/>
        <v>0</v>
      </c>
      <c r="AI95" s="369">
        <f t="shared" si="51"/>
        <v>0</v>
      </c>
      <c r="AJ95" s="369">
        <f t="shared" si="51"/>
        <v>0</v>
      </c>
      <c r="AK95" s="369">
        <f t="shared" si="51"/>
        <v>0</v>
      </c>
      <c r="AL95" s="369">
        <f t="shared" si="52"/>
        <v>0</v>
      </c>
      <c r="AM95" s="369">
        <f t="shared" si="52"/>
        <v>0</v>
      </c>
      <c r="AN95" s="369">
        <f t="shared" si="52"/>
        <v>0</v>
      </c>
      <c r="AO95" s="369">
        <f t="shared" si="52"/>
        <v>0</v>
      </c>
      <c r="AP95" s="369">
        <f t="shared" si="52"/>
        <v>0</v>
      </c>
      <c r="AQ95" s="369">
        <f t="shared" si="52"/>
        <v>0</v>
      </c>
    </row>
    <row r="96" spans="2:43" hidden="1" outlineLevel="1" x14ac:dyDescent="0.2">
      <c r="B96" s="246">
        <f t="shared" si="49"/>
        <v>0</v>
      </c>
      <c r="C96" s="52">
        <v>20</v>
      </c>
      <c r="D96" s="77" t="str">
        <f t="shared" si="50"/>
        <v>** NOT USED **</v>
      </c>
      <c r="E96" s="27">
        <f>IF($D152&lt;&gt;"",F420,IF(MarketImpact=0,'2e. Scripts - market'!D35,0))</f>
        <v>0</v>
      </c>
      <c r="F96" s="27">
        <f>IF($D152&lt;&gt;"",G420,IF(MarketImpact=0,'2e. Scripts - market'!E35,0))</f>
        <v>0</v>
      </c>
      <c r="G96" s="27">
        <f>IF($D152&lt;&gt;"",H420,IF(MarketImpact=0,'2e. Scripts - market'!F35,0))</f>
        <v>0</v>
      </c>
      <c r="H96" s="27">
        <f>IF($D152&lt;&gt;"",I420,IF(MarketImpact=0,'2e. Scripts - market'!G35,0))</f>
        <v>0</v>
      </c>
      <c r="I96" s="27">
        <f>IF($D152&lt;&gt;"",J420,IF(MarketImpact=0,'2e. Scripts - market'!H35,0))</f>
        <v>0</v>
      </c>
      <c r="J96" s="27">
        <f>IF($D152&lt;&gt;"",K420,IF(MarketImpact=0,'2e. Scripts - market'!I35,0))</f>
        <v>0</v>
      </c>
      <c r="L96" s="27">
        <f>IF($D152&lt;&gt;"",F421,IF(MarketImpact=0,'2e. Scripts - market'!K35,0))</f>
        <v>0</v>
      </c>
      <c r="M96" s="27">
        <f>IF($D152&lt;&gt;"",G421,IF(MarketImpact=0,'2e. Scripts - market'!L35,0))</f>
        <v>0</v>
      </c>
      <c r="N96" s="27">
        <f>IF($D152&lt;&gt;"",H421,IF(MarketImpact=0,'2e. Scripts - market'!M35,0))</f>
        <v>0</v>
      </c>
      <c r="O96" s="27">
        <f>IF($D152&lt;&gt;"",I421,IF(MarketImpact=0,'2e. Scripts - market'!N35,0))</f>
        <v>0</v>
      </c>
      <c r="P96" s="27">
        <f>IF($D152&lt;&gt;"",J421,IF(MarketImpact=0,'2e. Scripts - market'!O35,0))</f>
        <v>0</v>
      </c>
      <c r="Q96" s="27">
        <f>IF($D152&lt;&gt;"",K421,IF(MarketImpact=0,'2e. Scripts - market'!P35,0))</f>
        <v>0</v>
      </c>
    </row>
    <row r="97" spans="1:43" hidden="1" outlineLevel="1" x14ac:dyDescent="0.2">
      <c r="B97" s="246">
        <f>SUM(B77:B96)</f>
        <v>0</v>
      </c>
      <c r="D97" s="56" t="s">
        <v>213</v>
      </c>
      <c r="E97" s="30">
        <f t="shared" ref="E97:J97" si="53">SUM(E77:E96)</f>
        <v>0</v>
      </c>
      <c r="F97" s="30">
        <f t="shared" si="53"/>
        <v>0</v>
      </c>
      <c r="G97" s="30">
        <f t="shared" si="53"/>
        <v>0</v>
      </c>
      <c r="H97" s="30">
        <f t="shared" si="53"/>
        <v>0</v>
      </c>
      <c r="I97" s="30">
        <f t="shared" si="53"/>
        <v>0</v>
      </c>
      <c r="J97" s="30">
        <f t="shared" si="53"/>
        <v>0</v>
      </c>
      <c r="L97" s="30">
        <f t="shared" ref="L97:Q97" si="54">SUM(L77:L96)</f>
        <v>0</v>
      </c>
      <c r="M97" s="30">
        <f t="shared" si="54"/>
        <v>0</v>
      </c>
      <c r="N97" s="30">
        <f t="shared" si="54"/>
        <v>0</v>
      </c>
      <c r="O97" s="30">
        <f t="shared" si="54"/>
        <v>0</v>
      </c>
      <c r="P97" s="30">
        <f t="shared" si="54"/>
        <v>0</v>
      </c>
      <c r="Q97" s="30">
        <f t="shared" si="54"/>
        <v>0</v>
      </c>
    </row>
    <row r="98" spans="1:43" hidden="1" outlineLevel="1" x14ac:dyDescent="0.2">
      <c r="D98" s="260"/>
      <c r="E98" s="485"/>
      <c r="F98" s="485"/>
      <c r="G98" s="485"/>
      <c r="H98" s="485"/>
      <c r="I98" s="485"/>
      <c r="J98" s="485"/>
    </row>
    <row r="99" spans="1:43" collapsed="1" x14ac:dyDescent="0.2">
      <c r="D99" s="260"/>
      <c r="E99" s="485"/>
      <c r="F99" s="485"/>
      <c r="G99" s="485"/>
      <c r="H99" s="485"/>
      <c r="I99" s="485"/>
      <c r="J99" s="485"/>
    </row>
    <row r="100" spans="1:43" ht="15.75" x14ac:dyDescent="0.2">
      <c r="D100" s="111" t="s">
        <v>907</v>
      </c>
      <c r="E100" s="126"/>
      <c r="F100" s="113"/>
      <c r="G100" s="113"/>
      <c r="H100" s="113"/>
      <c r="I100" s="605" t="str">
        <f>IF(C125=0,MsgNotUsed,"")</f>
        <v>** NOT USED **</v>
      </c>
      <c r="J100" s="605"/>
      <c r="K100" s="113"/>
      <c r="L100" s="113"/>
      <c r="M100" s="113"/>
      <c r="N100" s="113"/>
      <c r="O100" s="113"/>
      <c r="P100" s="113"/>
      <c r="Q100" s="113"/>
      <c r="R100" s="21"/>
      <c r="S100" s="21"/>
      <c r="T100" s="21"/>
      <c r="U100" s="21"/>
      <c r="V100" s="21"/>
      <c r="W100" s="21"/>
      <c r="X100" s="21"/>
      <c r="Y100" s="21"/>
      <c r="Z100" s="21"/>
      <c r="AA100" s="21"/>
      <c r="AB100" s="21"/>
      <c r="AC100" s="21"/>
      <c r="AD100" s="21"/>
      <c r="AE100" s="21"/>
      <c r="AF100" s="21"/>
      <c r="AG100" s="21"/>
      <c r="AH100" s="21"/>
      <c r="AI100" s="21"/>
      <c r="AJ100" s="21"/>
      <c r="AK100" s="21"/>
      <c r="AL100" s="21"/>
      <c r="AM100" s="21"/>
      <c r="AN100" s="21"/>
      <c r="AO100" s="21"/>
      <c r="AP100" s="21"/>
      <c r="AQ100" s="21"/>
    </row>
    <row r="101" spans="1:43" ht="15.75" hidden="1" outlineLevel="1" x14ac:dyDescent="0.2">
      <c r="D101" s="454"/>
      <c r="E101" s="455"/>
      <c r="I101" s="542" t="str">
        <f>IF(AND(B125&gt;0,C153&gt;0),"The services below may conflict with the market-share volumes from Section 2.","")</f>
        <v/>
      </c>
      <c r="J101" s="542"/>
      <c r="K101" s="542"/>
      <c r="L101" s="542"/>
      <c r="M101" s="542"/>
      <c r="N101" s="542"/>
      <c r="O101" s="542"/>
      <c r="AF101" s="618" t="s">
        <v>509</v>
      </c>
      <c r="AG101" s="618"/>
      <c r="AH101" s="618"/>
      <c r="AI101" s="618"/>
      <c r="AJ101" s="618"/>
      <c r="AK101" s="618"/>
      <c r="AL101" s="618"/>
      <c r="AM101" s="618"/>
      <c r="AN101" s="618"/>
      <c r="AO101" s="618"/>
      <c r="AP101" s="618"/>
      <c r="AQ101" s="618"/>
    </row>
    <row r="102" spans="1:43" hidden="1" outlineLevel="1" x14ac:dyDescent="0.2">
      <c r="D102" t="s">
        <v>941</v>
      </c>
      <c r="E102" s="455"/>
      <c r="P102" s="223"/>
      <c r="R102" s="637"/>
      <c r="S102" s="637"/>
      <c r="T102" s="637"/>
      <c r="U102" s="637"/>
      <c r="V102" s="223"/>
      <c r="W102" s="223"/>
      <c r="AF102" s="125">
        <v>1</v>
      </c>
      <c r="AG102" s="125">
        <v>2</v>
      </c>
      <c r="AH102" s="125">
        <v>3</v>
      </c>
      <c r="AI102" s="125">
        <v>4</v>
      </c>
      <c r="AJ102" s="125">
        <v>5</v>
      </c>
      <c r="AK102" s="125">
        <v>6</v>
      </c>
      <c r="AL102" s="125">
        <v>1</v>
      </c>
      <c r="AM102" s="125">
        <v>2</v>
      </c>
      <c r="AN102" s="125">
        <v>3</v>
      </c>
      <c r="AO102" s="125">
        <v>4</v>
      </c>
      <c r="AP102" s="125">
        <v>5</v>
      </c>
      <c r="AQ102" s="125">
        <v>6</v>
      </c>
    </row>
    <row r="103" spans="1:43" hidden="1" outlineLevel="1" x14ac:dyDescent="0.2">
      <c r="E103" s="455"/>
      <c r="AF103" s="617" t="str">
        <f>AF74</f>
        <v/>
      </c>
      <c r="AG103" s="617"/>
      <c r="AH103" s="617"/>
      <c r="AI103" s="617"/>
      <c r="AJ103" s="617"/>
      <c r="AK103" s="617"/>
      <c r="AL103" s="617" t="str">
        <f>AL46</f>
        <v/>
      </c>
      <c r="AM103" s="617"/>
      <c r="AN103" s="617"/>
      <c r="AO103" s="617"/>
      <c r="AP103" s="617"/>
      <c r="AQ103" s="617"/>
    </row>
    <row r="104" spans="1:43" ht="25.5" hidden="1" outlineLevel="1" x14ac:dyDescent="0.2">
      <c r="D104" s="5" t="s">
        <v>800</v>
      </c>
      <c r="E104" s="596" t="s">
        <v>107</v>
      </c>
      <c r="F104" s="597"/>
      <c r="G104" s="598"/>
      <c r="H104" s="75" t="s">
        <v>106</v>
      </c>
      <c r="I104" s="5" t="s">
        <v>56</v>
      </c>
      <c r="J104" s="5" t="s">
        <v>292</v>
      </c>
      <c r="K104" s="5" t="s">
        <v>116</v>
      </c>
      <c r="L104" s="5" t="s">
        <v>365</v>
      </c>
      <c r="M104" s="5" t="s">
        <v>364</v>
      </c>
      <c r="N104" s="61" t="s">
        <v>357</v>
      </c>
      <c r="O104" s="61" t="str">
        <f>"Scripts / " &amp; IF(TxDuration=1,"year","treatment")</f>
        <v>Scripts / treatment</v>
      </c>
      <c r="P104" s="61" t="s">
        <v>743</v>
      </c>
      <c r="Q104" s="61" t="s">
        <v>245</v>
      </c>
      <c r="R104" s="5" t="s">
        <v>354</v>
      </c>
      <c r="S104" s="593" t="s">
        <v>1178</v>
      </c>
      <c r="T104" s="593"/>
      <c r="U104" s="593"/>
      <c r="V104" s="593"/>
      <c r="W104" s="593"/>
      <c r="AB104" s="202" t="s">
        <v>270</v>
      </c>
      <c r="AC104" s="203" t="s">
        <v>282</v>
      </c>
      <c r="AD104" s="203" t="s">
        <v>416</v>
      </c>
      <c r="AE104" s="205" t="s">
        <v>1179</v>
      </c>
      <c r="AF104" s="204">
        <f>FirstYear</f>
        <v>2026</v>
      </c>
      <c r="AG104" s="204">
        <f>AF104+1</f>
        <v>2027</v>
      </c>
      <c r="AH104" s="204">
        <f>AG104+1</f>
        <v>2028</v>
      </c>
      <c r="AI104" s="204">
        <f>AH104+1</f>
        <v>2029</v>
      </c>
      <c r="AJ104" s="204">
        <f>AI104+1</f>
        <v>2030</v>
      </c>
      <c r="AK104" s="204">
        <f>AJ104+1</f>
        <v>2031</v>
      </c>
      <c r="AL104" s="204">
        <f>FirstYear</f>
        <v>2026</v>
      </c>
      <c r="AM104" s="204">
        <f>AL104+1</f>
        <v>2027</v>
      </c>
      <c r="AN104" s="204">
        <f>AM104+1</f>
        <v>2028</v>
      </c>
      <c r="AO104" s="204">
        <f>AN104+1</f>
        <v>2029</v>
      </c>
      <c r="AP104" s="204">
        <f>AO104+1</f>
        <v>2030</v>
      </c>
      <c r="AQ104" s="204">
        <f>AP104+1</f>
        <v>2031</v>
      </c>
    </row>
    <row r="105" spans="1:43" hidden="1" outlineLevel="1" x14ac:dyDescent="0.2">
      <c r="A105" s="348"/>
      <c r="B105" s="246">
        <f>IF(AND(D105&lt;&gt;"",D133&lt;&gt;""),1,0)</f>
        <v>0</v>
      </c>
      <c r="C105" s="249">
        <v>1</v>
      </c>
      <c r="D105" s="79"/>
      <c r="E105" s="599"/>
      <c r="F105" s="600"/>
      <c r="G105" s="601"/>
      <c r="H105" s="227"/>
      <c r="I105" s="70"/>
      <c r="J105" s="133"/>
      <c r="K105" s="42"/>
      <c r="L105" s="377"/>
      <c r="M105" s="70"/>
      <c r="N105" s="208"/>
      <c r="O105" s="135" t="str">
        <f>IF(AND(K105&lt;&gt;0,N105&lt;&gt;0,K105&lt;&gt;0,N105&lt;&gt;0),L105/(K105/N105)*J105,"")</f>
        <v/>
      </c>
      <c r="P105" s="349"/>
      <c r="Q105" s="293"/>
      <c r="R105" s="133"/>
      <c r="S105" s="613"/>
      <c r="T105" s="613"/>
      <c r="U105" s="613"/>
      <c r="V105" s="613"/>
      <c r="W105" s="613"/>
      <c r="AA105" s="52">
        <v>1</v>
      </c>
      <c r="AB105" s="65" t="str">
        <f t="shared" ref="AB105:AB124" si="55">IF(D105&lt;&gt;"",CONCATENATE(H105," - ",D105," ",E105, " - ",I105),MsgNotUsed)</f>
        <v>** NOT USED **</v>
      </c>
      <c r="AC105" s="346" t="str">
        <f t="shared" ref="AC105:AC124" si="56">IF(I105&lt;&gt;"",VLOOKUP(I105,TPShortCode,3,FALSE),"")</f>
        <v/>
      </c>
      <c r="AD105" s="65">
        <f t="shared" ref="AD105:AD124" si="57">IF(Q105="Decrease",-1,IF(Q105="Increase",1,0))</f>
        <v>0</v>
      </c>
      <c r="AE105" s="347">
        <f t="shared" ref="AE105:AE124" ca="1" si="58">IFERROR(MATCH(S105,DTGPops,0),0)</f>
        <v>0</v>
      </c>
      <c r="AF105" s="369">
        <f t="shared" ref="AF105:AK114" ca="1" si="59">IF($AE105&lt;&gt;0,INDEX(PxTxPhase1Adj,$AE105,AF$102)*$AD105,0)</f>
        <v>0</v>
      </c>
      <c r="AG105" s="369">
        <f t="shared" ca="1" si="59"/>
        <v>0</v>
      </c>
      <c r="AH105" s="369">
        <f t="shared" ca="1" si="59"/>
        <v>0</v>
      </c>
      <c r="AI105" s="369">
        <f t="shared" ca="1" si="59"/>
        <v>0</v>
      </c>
      <c r="AJ105" s="369">
        <f t="shared" ca="1" si="59"/>
        <v>0</v>
      </c>
      <c r="AK105" s="369">
        <f t="shared" ca="1" si="59"/>
        <v>0</v>
      </c>
      <c r="AL105" s="369">
        <f t="shared" ref="AL105:AQ114" ca="1" si="60">IF($AE105&lt;&gt;0,INDEX(PxTxPhase2Adj,$AE105,AL$102)*$AD105,0)</f>
        <v>0</v>
      </c>
      <c r="AM105" s="369">
        <f t="shared" ca="1" si="60"/>
        <v>0</v>
      </c>
      <c r="AN105" s="369">
        <f t="shared" ca="1" si="60"/>
        <v>0</v>
      </c>
      <c r="AO105" s="369">
        <f t="shared" ca="1" si="60"/>
        <v>0</v>
      </c>
      <c r="AP105" s="369">
        <f t="shared" ca="1" si="60"/>
        <v>0</v>
      </c>
      <c r="AQ105" s="369">
        <f t="shared" ca="1" si="60"/>
        <v>0</v>
      </c>
    </row>
    <row r="106" spans="1:43" hidden="1" outlineLevel="1" x14ac:dyDescent="0.2">
      <c r="A106" s="348"/>
      <c r="B106" s="246">
        <f t="shared" ref="B106:B124" si="61">IF(AND(D106&lt;&gt;"",D134&lt;&gt;""),1,0)</f>
        <v>0</v>
      </c>
      <c r="C106" s="249">
        <v>2</v>
      </c>
      <c r="D106" s="79"/>
      <c r="E106" s="599"/>
      <c r="F106" s="600"/>
      <c r="G106" s="601"/>
      <c r="H106" s="227"/>
      <c r="I106" s="70"/>
      <c r="J106" s="133"/>
      <c r="K106" s="42"/>
      <c r="L106" s="377"/>
      <c r="M106" s="70"/>
      <c r="N106" s="208"/>
      <c r="O106" s="135" t="str">
        <f t="shared" ref="O106:O124" si="62">IF(AND(K106&lt;&gt;"",N106&lt;&gt;"",K106&lt;&gt;0,N106&lt;&gt;0),L106/(K106/N106)*J106,"")</f>
        <v/>
      </c>
      <c r="P106" s="349"/>
      <c r="Q106" s="293"/>
      <c r="R106" s="133"/>
      <c r="S106" s="613"/>
      <c r="T106" s="613"/>
      <c r="U106" s="613"/>
      <c r="V106" s="613"/>
      <c r="W106" s="613"/>
      <c r="AA106" s="52">
        <v>2</v>
      </c>
      <c r="AB106" s="65" t="str">
        <f t="shared" si="55"/>
        <v>** NOT USED **</v>
      </c>
      <c r="AC106" s="346" t="str">
        <f t="shared" si="56"/>
        <v/>
      </c>
      <c r="AD106" s="65">
        <f t="shared" si="57"/>
        <v>0</v>
      </c>
      <c r="AE106" s="347">
        <f t="shared" ca="1" si="58"/>
        <v>0</v>
      </c>
      <c r="AF106" s="369">
        <f t="shared" ca="1" si="59"/>
        <v>0</v>
      </c>
      <c r="AG106" s="369">
        <f t="shared" ca="1" si="59"/>
        <v>0</v>
      </c>
      <c r="AH106" s="369">
        <f t="shared" ca="1" si="59"/>
        <v>0</v>
      </c>
      <c r="AI106" s="369">
        <f t="shared" ca="1" si="59"/>
        <v>0</v>
      </c>
      <c r="AJ106" s="369">
        <f t="shared" ca="1" si="59"/>
        <v>0</v>
      </c>
      <c r="AK106" s="369">
        <f t="shared" ca="1" si="59"/>
        <v>0</v>
      </c>
      <c r="AL106" s="369">
        <f t="shared" ca="1" si="60"/>
        <v>0</v>
      </c>
      <c r="AM106" s="369">
        <f t="shared" ca="1" si="60"/>
        <v>0</v>
      </c>
      <c r="AN106" s="369">
        <f t="shared" ca="1" si="60"/>
        <v>0</v>
      </c>
      <c r="AO106" s="369">
        <f t="shared" ca="1" si="60"/>
        <v>0</v>
      </c>
      <c r="AP106" s="369">
        <f t="shared" ca="1" si="60"/>
        <v>0</v>
      </c>
      <c r="AQ106" s="369">
        <f t="shared" ca="1" si="60"/>
        <v>0</v>
      </c>
    </row>
    <row r="107" spans="1:43" hidden="1" outlineLevel="1" x14ac:dyDescent="0.2">
      <c r="A107" s="348"/>
      <c r="B107" s="246">
        <f t="shared" si="61"/>
        <v>0</v>
      </c>
      <c r="C107" s="249">
        <v>3</v>
      </c>
      <c r="D107" s="79"/>
      <c r="E107" s="599"/>
      <c r="F107" s="600"/>
      <c r="G107" s="601"/>
      <c r="H107" s="227"/>
      <c r="I107" s="70"/>
      <c r="J107" s="133"/>
      <c r="K107" s="42"/>
      <c r="L107" s="134"/>
      <c r="M107" s="70"/>
      <c r="N107" s="208"/>
      <c r="O107" s="135" t="str">
        <f t="shared" si="62"/>
        <v/>
      </c>
      <c r="P107" s="349"/>
      <c r="Q107" s="293"/>
      <c r="R107" s="133"/>
      <c r="S107" s="613"/>
      <c r="T107" s="613"/>
      <c r="U107" s="613"/>
      <c r="V107" s="613"/>
      <c r="W107" s="613"/>
      <c r="AA107" s="52">
        <v>3</v>
      </c>
      <c r="AB107" s="65" t="str">
        <f t="shared" si="55"/>
        <v>** NOT USED **</v>
      </c>
      <c r="AC107" s="346" t="str">
        <f t="shared" si="56"/>
        <v/>
      </c>
      <c r="AD107" s="65">
        <f t="shared" si="57"/>
        <v>0</v>
      </c>
      <c r="AE107" s="347">
        <f t="shared" ca="1" si="58"/>
        <v>0</v>
      </c>
      <c r="AF107" s="369">
        <f t="shared" ca="1" si="59"/>
        <v>0</v>
      </c>
      <c r="AG107" s="369">
        <f t="shared" ca="1" si="59"/>
        <v>0</v>
      </c>
      <c r="AH107" s="369">
        <f t="shared" ca="1" si="59"/>
        <v>0</v>
      </c>
      <c r="AI107" s="369">
        <f t="shared" ca="1" si="59"/>
        <v>0</v>
      </c>
      <c r="AJ107" s="369">
        <f t="shared" ca="1" si="59"/>
        <v>0</v>
      </c>
      <c r="AK107" s="369">
        <f t="shared" ca="1" si="59"/>
        <v>0</v>
      </c>
      <c r="AL107" s="369">
        <f t="shared" ca="1" si="60"/>
        <v>0</v>
      </c>
      <c r="AM107" s="369">
        <f t="shared" ca="1" si="60"/>
        <v>0</v>
      </c>
      <c r="AN107" s="369">
        <f t="shared" ca="1" si="60"/>
        <v>0</v>
      </c>
      <c r="AO107" s="369">
        <f t="shared" ca="1" si="60"/>
        <v>0</v>
      </c>
      <c r="AP107" s="369">
        <f t="shared" ca="1" si="60"/>
        <v>0</v>
      </c>
      <c r="AQ107" s="369">
        <f t="shared" ca="1" si="60"/>
        <v>0</v>
      </c>
    </row>
    <row r="108" spans="1:43" hidden="1" outlineLevel="1" x14ac:dyDescent="0.2">
      <c r="A108" s="348"/>
      <c r="B108" s="246">
        <f t="shared" si="61"/>
        <v>0</v>
      </c>
      <c r="C108" s="249">
        <v>4</v>
      </c>
      <c r="D108" s="79"/>
      <c r="E108" s="599"/>
      <c r="F108" s="600"/>
      <c r="G108" s="601"/>
      <c r="H108" s="227"/>
      <c r="I108" s="70"/>
      <c r="J108" s="133"/>
      <c r="K108" s="42"/>
      <c r="L108" s="134"/>
      <c r="M108" s="70"/>
      <c r="N108" s="208"/>
      <c r="O108" s="135" t="str">
        <f t="shared" si="62"/>
        <v/>
      </c>
      <c r="P108" s="349"/>
      <c r="Q108" s="293"/>
      <c r="R108" s="133"/>
      <c r="S108" s="613"/>
      <c r="T108" s="613"/>
      <c r="U108" s="613"/>
      <c r="V108" s="613"/>
      <c r="W108" s="613"/>
      <c r="AA108" s="52">
        <v>4</v>
      </c>
      <c r="AB108" s="65" t="str">
        <f t="shared" si="55"/>
        <v>** NOT USED **</v>
      </c>
      <c r="AC108" s="346" t="str">
        <f t="shared" si="56"/>
        <v/>
      </c>
      <c r="AD108" s="65">
        <f t="shared" si="57"/>
        <v>0</v>
      </c>
      <c r="AE108" s="347">
        <f t="shared" ca="1" si="58"/>
        <v>0</v>
      </c>
      <c r="AF108" s="369">
        <f t="shared" ca="1" si="59"/>
        <v>0</v>
      </c>
      <c r="AG108" s="369">
        <f t="shared" ca="1" si="59"/>
        <v>0</v>
      </c>
      <c r="AH108" s="369">
        <f t="shared" ca="1" si="59"/>
        <v>0</v>
      </c>
      <c r="AI108" s="369">
        <f t="shared" ca="1" si="59"/>
        <v>0</v>
      </c>
      <c r="AJ108" s="369">
        <f t="shared" ca="1" si="59"/>
        <v>0</v>
      </c>
      <c r="AK108" s="369">
        <f t="shared" ca="1" si="59"/>
        <v>0</v>
      </c>
      <c r="AL108" s="369">
        <f t="shared" ca="1" si="60"/>
        <v>0</v>
      </c>
      <c r="AM108" s="369">
        <f t="shared" ca="1" si="60"/>
        <v>0</v>
      </c>
      <c r="AN108" s="369">
        <f t="shared" ca="1" si="60"/>
        <v>0</v>
      </c>
      <c r="AO108" s="369">
        <f t="shared" ca="1" si="60"/>
        <v>0</v>
      </c>
      <c r="AP108" s="369">
        <f t="shared" ca="1" si="60"/>
        <v>0</v>
      </c>
      <c r="AQ108" s="369">
        <f t="shared" ca="1" si="60"/>
        <v>0</v>
      </c>
    </row>
    <row r="109" spans="1:43" hidden="1" outlineLevel="1" x14ac:dyDescent="0.2">
      <c r="A109" s="348"/>
      <c r="B109" s="246">
        <f t="shared" si="61"/>
        <v>0</v>
      </c>
      <c r="C109" s="249">
        <v>5</v>
      </c>
      <c r="D109" s="79"/>
      <c r="E109" s="599"/>
      <c r="F109" s="600"/>
      <c r="G109" s="601"/>
      <c r="H109" s="227"/>
      <c r="I109" s="70"/>
      <c r="J109" s="133"/>
      <c r="K109" s="42"/>
      <c r="L109" s="134"/>
      <c r="M109" s="70"/>
      <c r="N109" s="208"/>
      <c r="O109" s="135" t="str">
        <f t="shared" si="62"/>
        <v/>
      </c>
      <c r="P109" s="349"/>
      <c r="Q109" s="293"/>
      <c r="R109" s="133"/>
      <c r="S109" s="613"/>
      <c r="T109" s="613"/>
      <c r="U109" s="613"/>
      <c r="V109" s="613"/>
      <c r="W109" s="613"/>
      <c r="AA109" s="52">
        <v>5</v>
      </c>
      <c r="AB109" s="65" t="str">
        <f t="shared" si="55"/>
        <v>** NOT USED **</v>
      </c>
      <c r="AC109" s="346" t="str">
        <f t="shared" si="56"/>
        <v/>
      </c>
      <c r="AD109" s="65">
        <f t="shared" si="57"/>
        <v>0</v>
      </c>
      <c r="AE109" s="347">
        <f t="shared" ca="1" si="58"/>
        <v>0</v>
      </c>
      <c r="AF109" s="369">
        <f t="shared" ca="1" si="59"/>
        <v>0</v>
      </c>
      <c r="AG109" s="369">
        <f t="shared" ca="1" si="59"/>
        <v>0</v>
      </c>
      <c r="AH109" s="369">
        <f t="shared" ca="1" si="59"/>
        <v>0</v>
      </c>
      <c r="AI109" s="369">
        <f t="shared" ca="1" si="59"/>
        <v>0</v>
      </c>
      <c r="AJ109" s="369">
        <f t="shared" ca="1" si="59"/>
        <v>0</v>
      </c>
      <c r="AK109" s="369">
        <f t="shared" ca="1" si="59"/>
        <v>0</v>
      </c>
      <c r="AL109" s="369">
        <f t="shared" ca="1" si="60"/>
        <v>0</v>
      </c>
      <c r="AM109" s="369">
        <f t="shared" ca="1" si="60"/>
        <v>0</v>
      </c>
      <c r="AN109" s="369">
        <f t="shared" ca="1" si="60"/>
        <v>0</v>
      </c>
      <c r="AO109" s="369">
        <f t="shared" ca="1" si="60"/>
        <v>0</v>
      </c>
      <c r="AP109" s="369">
        <f t="shared" ca="1" si="60"/>
        <v>0</v>
      </c>
      <c r="AQ109" s="369">
        <f t="shared" ca="1" si="60"/>
        <v>0</v>
      </c>
    </row>
    <row r="110" spans="1:43" hidden="1" outlineLevel="1" x14ac:dyDescent="0.2">
      <c r="A110" s="348"/>
      <c r="B110" s="246">
        <f t="shared" si="61"/>
        <v>0</v>
      </c>
      <c r="C110" s="249">
        <v>6</v>
      </c>
      <c r="D110" s="79"/>
      <c r="E110" s="599"/>
      <c r="F110" s="600"/>
      <c r="G110" s="601"/>
      <c r="H110" s="227"/>
      <c r="I110" s="70"/>
      <c r="J110" s="133"/>
      <c r="K110" s="42"/>
      <c r="L110" s="134"/>
      <c r="M110" s="70"/>
      <c r="N110" s="208"/>
      <c r="O110" s="135" t="str">
        <f t="shared" si="62"/>
        <v/>
      </c>
      <c r="P110" s="349"/>
      <c r="Q110" s="231"/>
      <c r="R110" s="133"/>
      <c r="S110" s="613"/>
      <c r="T110" s="613"/>
      <c r="U110" s="613"/>
      <c r="V110" s="613"/>
      <c r="W110" s="613"/>
      <c r="AA110" s="52">
        <v>6</v>
      </c>
      <c r="AB110" s="65" t="str">
        <f t="shared" si="55"/>
        <v>** NOT USED **</v>
      </c>
      <c r="AC110" s="346" t="str">
        <f t="shared" si="56"/>
        <v/>
      </c>
      <c r="AD110" s="65">
        <f t="shared" si="57"/>
        <v>0</v>
      </c>
      <c r="AE110" s="347">
        <f t="shared" ca="1" si="58"/>
        <v>0</v>
      </c>
      <c r="AF110" s="369">
        <f t="shared" ca="1" si="59"/>
        <v>0</v>
      </c>
      <c r="AG110" s="369">
        <f t="shared" ca="1" si="59"/>
        <v>0</v>
      </c>
      <c r="AH110" s="369">
        <f t="shared" ca="1" si="59"/>
        <v>0</v>
      </c>
      <c r="AI110" s="369">
        <f t="shared" ca="1" si="59"/>
        <v>0</v>
      </c>
      <c r="AJ110" s="369">
        <f t="shared" ca="1" si="59"/>
        <v>0</v>
      </c>
      <c r="AK110" s="369">
        <f t="shared" ca="1" si="59"/>
        <v>0</v>
      </c>
      <c r="AL110" s="369">
        <f t="shared" ca="1" si="60"/>
        <v>0</v>
      </c>
      <c r="AM110" s="369">
        <f t="shared" ca="1" si="60"/>
        <v>0</v>
      </c>
      <c r="AN110" s="369">
        <f t="shared" ca="1" si="60"/>
        <v>0</v>
      </c>
      <c r="AO110" s="369">
        <f t="shared" ca="1" si="60"/>
        <v>0</v>
      </c>
      <c r="AP110" s="369">
        <f t="shared" ca="1" si="60"/>
        <v>0</v>
      </c>
      <c r="AQ110" s="369">
        <f t="shared" ca="1" si="60"/>
        <v>0</v>
      </c>
    </row>
    <row r="111" spans="1:43" hidden="1" outlineLevel="1" x14ac:dyDescent="0.2">
      <c r="A111" s="348"/>
      <c r="B111" s="246">
        <f t="shared" si="61"/>
        <v>0</v>
      </c>
      <c r="C111" s="249">
        <v>7</v>
      </c>
      <c r="D111" s="79"/>
      <c r="E111" s="599"/>
      <c r="F111" s="600"/>
      <c r="G111" s="601"/>
      <c r="H111" s="227"/>
      <c r="I111" s="70"/>
      <c r="J111" s="133"/>
      <c r="K111" s="42"/>
      <c r="L111" s="134"/>
      <c r="M111" s="70"/>
      <c r="N111" s="51"/>
      <c r="O111" s="135" t="str">
        <f t="shared" si="62"/>
        <v/>
      </c>
      <c r="P111" s="349"/>
      <c r="Q111" s="231"/>
      <c r="R111" s="133"/>
      <c r="S111" s="613"/>
      <c r="T111" s="613"/>
      <c r="U111" s="613"/>
      <c r="V111" s="613"/>
      <c r="W111" s="613"/>
      <c r="AA111" s="52">
        <v>7</v>
      </c>
      <c r="AB111" s="65" t="str">
        <f t="shared" si="55"/>
        <v>** NOT USED **</v>
      </c>
      <c r="AC111" s="346" t="str">
        <f t="shared" si="56"/>
        <v/>
      </c>
      <c r="AD111" s="65">
        <f t="shared" si="57"/>
        <v>0</v>
      </c>
      <c r="AE111" s="347">
        <f t="shared" ca="1" si="58"/>
        <v>0</v>
      </c>
      <c r="AF111" s="369">
        <f t="shared" ca="1" si="59"/>
        <v>0</v>
      </c>
      <c r="AG111" s="369">
        <f t="shared" ca="1" si="59"/>
        <v>0</v>
      </c>
      <c r="AH111" s="369">
        <f t="shared" ca="1" si="59"/>
        <v>0</v>
      </c>
      <c r="AI111" s="369">
        <f t="shared" ca="1" si="59"/>
        <v>0</v>
      </c>
      <c r="AJ111" s="369">
        <f t="shared" ca="1" si="59"/>
        <v>0</v>
      </c>
      <c r="AK111" s="369">
        <f t="shared" ca="1" si="59"/>
        <v>0</v>
      </c>
      <c r="AL111" s="369">
        <f t="shared" ca="1" si="60"/>
        <v>0</v>
      </c>
      <c r="AM111" s="369">
        <f t="shared" ca="1" si="60"/>
        <v>0</v>
      </c>
      <c r="AN111" s="369">
        <f t="shared" ca="1" si="60"/>
        <v>0</v>
      </c>
      <c r="AO111" s="369">
        <f t="shared" ca="1" si="60"/>
        <v>0</v>
      </c>
      <c r="AP111" s="369">
        <f t="shared" ca="1" si="60"/>
        <v>0</v>
      </c>
      <c r="AQ111" s="369">
        <f t="shared" ca="1" si="60"/>
        <v>0</v>
      </c>
    </row>
    <row r="112" spans="1:43" ht="14.25" hidden="1" customHeight="1" outlineLevel="1" x14ac:dyDescent="0.2">
      <c r="A112" s="348"/>
      <c r="B112" s="246">
        <f t="shared" si="61"/>
        <v>0</v>
      </c>
      <c r="C112" s="249">
        <v>8</v>
      </c>
      <c r="D112" s="79"/>
      <c r="E112" s="599"/>
      <c r="F112" s="600"/>
      <c r="G112" s="601"/>
      <c r="H112" s="227"/>
      <c r="I112" s="70"/>
      <c r="J112" s="133"/>
      <c r="K112" s="42"/>
      <c r="L112" s="134"/>
      <c r="M112" s="70"/>
      <c r="N112" s="51"/>
      <c r="O112" s="135" t="str">
        <f t="shared" si="62"/>
        <v/>
      </c>
      <c r="P112" s="349"/>
      <c r="Q112" s="231"/>
      <c r="R112" s="133"/>
      <c r="S112" s="613"/>
      <c r="T112" s="613"/>
      <c r="U112" s="613"/>
      <c r="V112" s="613"/>
      <c r="W112" s="613"/>
      <c r="AA112" s="52">
        <v>8</v>
      </c>
      <c r="AB112" s="65" t="str">
        <f t="shared" si="55"/>
        <v>** NOT USED **</v>
      </c>
      <c r="AC112" s="346" t="str">
        <f t="shared" si="56"/>
        <v/>
      </c>
      <c r="AD112" s="65">
        <f t="shared" si="57"/>
        <v>0</v>
      </c>
      <c r="AE112" s="347">
        <f t="shared" ca="1" si="58"/>
        <v>0</v>
      </c>
      <c r="AF112" s="369">
        <f t="shared" ca="1" si="59"/>
        <v>0</v>
      </c>
      <c r="AG112" s="369">
        <f t="shared" ca="1" si="59"/>
        <v>0</v>
      </c>
      <c r="AH112" s="369">
        <f t="shared" ca="1" si="59"/>
        <v>0</v>
      </c>
      <c r="AI112" s="369">
        <f t="shared" ca="1" si="59"/>
        <v>0</v>
      </c>
      <c r="AJ112" s="369">
        <f t="shared" ca="1" si="59"/>
        <v>0</v>
      </c>
      <c r="AK112" s="369">
        <f t="shared" ca="1" si="59"/>
        <v>0</v>
      </c>
      <c r="AL112" s="369">
        <f t="shared" ca="1" si="60"/>
        <v>0</v>
      </c>
      <c r="AM112" s="369">
        <f t="shared" ca="1" si="60"/>
        <v>0</v>
      </c>
      <c r="AN112" s="369">
        <f t="shared" ca="1" si="60"/>
        <v>0</v>
      </c>
      <c r="AO112" s="369">
        <f t="shared" ca="1" si="60"/>
        <v>0</v>
      </c>
      <c r="AP112" s="369">
        <f t="shared" ca="1" si="60"/>
        <v>0</v>
      </c>
      <c r="AQ112" s="369">
        <f t="shared" ca="1" si="60"/>
        <v>0</v>
      </c>
    </row>
    <row r="113" spans="1:43" hidden="1" outlineLevel="1" x14ac:dyDescent="0.2">
      <c r="A113" s="348"/>
      <c r="B113" s="246">
        <f t="shared" si="61"/>
        <v>0</v>
      </c>
      <c r="C113" s="249">
        <v>9</v>
      </c>
      <c r="D113" s="79"/>
      <c r="E113" s="599"/>
      <c r="F113" s="600"/>
      <c r="G113" s="601"/>
      <c r="H113" s="227"/>
      <c r="I113" s="70"/>
      <c r="J113" s="133"/>
      <c r="K113" s="42"/>
      <c r="L113" s="134"/>
      <c r="M113" s="70"/>
      <c r="N113" s="51"/>
      <c r="O113" s="135" t="str">
        <f t="shared" si="62"/>
        <v/>
      </c>
      <c r="P113" s="349"/>
      <c r="Q113" s="293"/>
      <c r="R113" s="133"/>
      <c r="S113" s="613"/>
      <c r="T113" s="613"/>
      <c r="U113" s="613"/>
      <c r="V113" s="613"/>
      <c r="W113" s="613"/>
      <c r="AA113" s="52">
        <v>9</v>
      </c>
      <c r="AB113" s="65" t="str">
        <f t="shared" si="55"/>
        <v>** NOT USED **</v>
      </c>
      <c r="AC113" s="346" t="str">
        <f t="shared" si="56"/>
        <v/>
      </c>
      <c r="AD113" s="65">
        <f t="shared" si="57"/>
        <v>0</v>
      </c>
      <c r="AE113" s="347">
        <f t="shared" ca="1" si="58"/>
        <v>0</v>
      </c>
      <c r="AF113" s="369">
        <f t="shared" ca="1" si="59"/>
        <v>0</v>
      </c>
      <c r="AG113" s="369">
        <f t="shared" ca="1" si="59"/>
        <v>0</v>
      </c>
      <c r="AH113" s="369">
        <f t="shared" ca="1" si="59"/>
        <v>0</v>
      </c>
      <c r="AI113" s="369">
        <f t="shared" ca="1" si="59"/>
        <v>0</v>
      </c>
      <c r="AJ113" s="369">
        <f t="shared" ca="1" si="59"/>
        <v>0</v>
      </c>
      <c r="AK113" s="369">
        <f t="shared" ca="1" si="59"/>
        <v>0</v>
      </c>
      <c r="AL113" s="369">
        <f t="shared" ca="1" si="60"/>
        <v>0</v>
      </c>
      <c r="AM113" s="369">
        <f t="shared" ca="1" si="60"/>
        <v>0</v>
      </c>
      <c r="AN113" s="369">
        <f t="shared" ca="1" si="60"/>
        <v>0</v>
      </c>
      <c r="AO113" s="369">
        <f t="shared" ca="1" si="60"/>
        <v>0</v>
      </c>
      <c r="AP113" s="369">
        <f t="shared" ca="1" si="60"/>
        <v>0</v>
      </c>
      <c r="AQ113" s="369">
        <f t="shared" ca="1" si="60"/>
        <v>0</v>
      </c>
    </row>
    <row r="114" spans="1:43" hidden="1" outlineLevel="1" x14ac:dyDescent="0.2">
      <c r="A114" s="348"/>
      <c r="B114" s="246">
        <f t="shared" si="61"/>
        <v>0</v>
      </c>
      <c r="C114" s="249">
        <v>10</v>
      </c>
      <c r="D114" s="79"/>
      <c r="E114" s="599"/>
      <c r="F114" s="600"/>
      <c r="G114" s="601"/>
      <c r="H114" s="227"/>
      <c r="I114" s="70"/>
      <c r="J114" s="133"/>
      <c r="K114" s="42"/>
      <c r="L114" s="134"/>
      <c r="M114" s="70"/>
      <c r="N114" s="51"/>
      <c r="O114" s="135" t="str">
        <f t="shared" si="62"/>
        <v/>
      </c>
      <c r="P114" s="349"/>
      <c r="Q114" s="231"/>
      <c r="R114" s="133"/>
      <c r="S114" s="613"/>
      <c r="T114" s="613"/>
      <c r="U114" s="613"/>
      <c r="V114" s="613"/>
      <c r="W114" s="613"/>
      <c r="AA114" s="52">
        <v>10</v>
      </c>
      <c r="AB114" s="65" t="str">
        <f t="shared" si="55"/>
        <v>** NOT USED **</v>
      </c>
      <c r="AC114" s="346" t="str">
        <f t="shared" si="56"/>
        <v/>
      </c>
      <c r="AD114" s="65">
        <f t="shared" si="57"/>
        <v>0</v>
      </c>
      <c r="AE114" s="347">
        <f t="shared" ca="1" si="58"/>
        <v>0</v>
      </c>
      <c r="AF114" s="369">
        <f t="shared" ca="1" si="59"/>
        <v>0</v>
      </c>
      <c r="AG114" s="369">
        <f t="shared" ca="1" si="59"/>
        <v>0</v>
      </c>
      <c r="AH114" s="369">
        <f t="shared" ca="1" si="59"/>
        <v>0</v>
      </c>
      <c r="AI114" s="369">
        <f t="shared" ca="1" si="59"/>
        <v>0</v>
      </c>
      <c r="AJ114" s="369">
        <f t="shared" ca="1" si="59"/>
        <v>0</v>
      </c>
      <c r="AK114" s="369">
        <f t="shared" ca="1" si="59"/>
        <v>0</v>
      </c>
      <c r="AL114" s="369">
        <f t="shared" ca="1" si="60"/>
        <v>0</v>
      </c>
      <c r="AM114" s="369">
        <f t="shared" ca="1" si="60"/>
        <v>0</v>
      </c>
      <c r="AN114" s="369">
        <f t="shared" ca="1" si="60"/>
        <v>0</v>
      </c>
      <c r="AO114" s="369">
        <f t="shared" ca="1" si="60"/>
        <v>0</v>
      </c>
      <c r="AP114" s="369">
        <f t="shared" ca="1" si="60"/>
        <v>0</v>
      </c>
      <c r="AQ114" s="369">
        <f t="shared" ca="1" si="60"/>
        <v>0</v>
      </c>
    </row>
    <row r="115" spans="1:43" hidden="1" outlineLevel="1" x14ac:dyDescent="0.2">
      <c r="B115" s="246">
        <f t="shared" si="61"/>
        <v>0</v>
      </c>
      <c r="C115" s="249">
        <v>11</v>
      </c>
      <c r="D115" s="79"/>
      <c r="E115" s="599"/>
      <c r="F115" s="600"/>
      <c r="G115" s="601"/>
      <c r="H115" s="227"/>
      <c r="I115" s="70"/>
      <c r="J115" s="133"/>
      <c r="K115" s="42"/>
      <c r="L115" s="134"/>
      <c r="M115" s="70"/>
      <c r="N115" s="51"/>
      <c r="O115" s="135" t="str">
        <f t="shared" si="62"/>
        <v/>
      </c>
      <c r="P115" s="349"/>
      <c r="Q115" s="231"/>
      <c r="R115" s="133"/>
      <c r="S115" s="613"/>
      <c r="T115" s="613"/>
      <c r="U115" s="613"/>
      <c r="V115" s="613"/>
      <c r="W115" s="613"/>
      <c r="AA115" s="52">
        <v>11</v>
      </c>
      <c r="AB115" s="65" t="str">
        <f t="shared" si="55"/>
        <v>** NOT USED **</v>
      </c>
      <c r="AC115" s="346" t="str">
        <f t="shared" si="56"/>
        <v/>
      </c>
      <c r="AD115" s="65">
        <f t="shared" si="57"/>
        <v>0</v>
      </c>
      <c r="AE115" s="347">
        <f t="shared" ca="1" si="58"/>
        <v>0</v>
      </c>
      <c r="AF115" s="369">
        <f t="shared" ref="AF115:AK124" ca="1" si="63">IF($AE115&lt;&gt;0,INDEX(PxTxPhase1Adj,$AE115,AF$102)*$AD115,0)</f>
        <v>0</v>
      </c>
      <c r="AG115" s="369">
        <f t="shared" ca="1" si="63"/>
        <v>0</v>
      </c>
      <c r="AH115" s="369">
        <f t="shared" ca="1" si="63"/>
        <v>0</v>
      </c>
      <c r="AI115" s="369">
        <f t="shared" ca="1" si="63"/>
        <v>0</v>
      </c>
      <c r="AJ115" s="369">
        <f t="shared" ca="1" si="63"/>
        <v>0</v>
      </c>
      <c r="AK115" s="369">
        <f t="shared" ca="1" si="63"/>
        <v>0</v>
      </c>
      <c r="AL115" s="369">
        <f t="shared" ref="AL115:AQ124" ca="1" si="64">IF($AE115&lt;&gt;0,INDEX(PxTxPhase2Adj,$AE115,AL$102)*$AD115,0)</f>
        <v>0</v>
      </c>
      <c r="AM115" s="369">
        <f t="shared" ca="1" si="64"/>
        <v>0</v>
      </c>
      <c r="AN115" s="369">
        <f t="shared" ca="1" si="64"/>
        <v>0</v>
      </c>
      <c r="AO115" s="369">
        <f t="shared" ca="1" si="64"/>
        <v>0</v>
      </c>
      <c r="AP115" s="369">
        <f t="shared" ca="1" si="64"/>
        <v>0</v>
      </c>
      <c r="AQ115" s="369">
        <f t="shared" ca="1" si="64"/>
        <v>0</v>
      </c>
    </row>
    <row r="116" spans="1:43" hidden="1" outlineLevel="1" x14ac:dyDescent="0.2">
      <c r="B116" s="246">
        <f t="shared" si="61"/>
        <v>0</v>
      </c>
      <c r="C116" s="249">
        <v>12</v>
      </c>
      <c r="D116" s="79"/>
      <c r="E116" s="599"/>
      <c r="F116" s="600"/>
      <c r="G116" s="601"/>
      <c r="H116" s="227"/>
      <c r="I116" s="70"/>
      <c r="J116" s="133"/>
      <c r="K116" s="42"/>
      <c r="L116" s="134"/>
      <c r="M116" s="70"/>
      <c r="N116" s="51"/>
      <c r="O116" s="135" t="str">
        <f t="shared" si="62"/>
        <v/>
      </c>
      <c r="P116" s="349"/>
      <c r="Q116" s="231"/>
      <c r="R116" s="133"/>
      <c r="S116" s="613"/>
      <c r="T116" s="613"/>
      <c r="U116" s="613"/>
      <c r="V116" s="613"/>
      <c r="W116" s="613"/>
      <c r="AA116" s="52">
        <v>12</v>
      </c>
      <c r="AB116" s="65" t="str">
        <f t="shared" si="55"/>
        <v>** NOT USED **</v>
      </c>
      <c r="AC116" s="346" t="str">
        <f t="shared" si="56"/>
        <v/>
      </c>
      <c r="AD116" s="65">
        <f t="shared" si="57"/>
        <v>0</v>
      </c>
      <c r="AE116" s="347">
        <f t="shared" ca="1" si="58"/>
        <v>0</v>
      </c>
      <c r="AF116" s="369">
        <f t="shared" ca="1" si="63"/>
        <v>0</v>
      </c>
      <c r="AG116" s="369">
        <f t="shared" ca="1" si="63"/>
        <v>0</v>
      </c>
      <c r="AH116" s="369">
        <f t="shared" ca="1" si="63"/>
        <v>0</v>
      </c>
      <c r="AI116" s="369">
        <f t="shared" ca="1" si="63"/>
        <v>0</v>
      </c>
      <c r="AJ116" s="369">
        <f t="shared" ca="1" si="63"/>
        <v>0</v>
      </c>
      <c r="AK116" s="369">
        <f t="shared" ca="1" si="63"/>
        <v>0</v>
      </c>
      <c r="AL116" s="369">
        <f t="shared" ca="1" si="64"/>
        <v>0</v>
      </c>
      <c r="AM116" s="369">
        <f t="shared" ca="1" si="64"/>
        <v>0</v>
      </c>
      <c r="AN116" s="369">
        <f t="shared" ca="1" si="64"/>
        <v>0</v>
      </c>
      <c r="AO116" s="369">
        <f t="shared" ca="1" si="64"/>
        <v>0</v>
      </c>
      <c r="AP116" s="369">
        <f t="shared" ca="1" si="64"/>
        <v>0</v>
      </c>
      <c r="AQ116" s="369">
        <f t="shared" ca="1" si="64"/>
        <v>0</v>
      </c>
    </row>
    <row r="117" spans="1:43" hidden="1" outlineLevel="1" x14ac:dyDescent="0.2">
      <c r="B117" s="246">
        <f t="shared" si="61"/>
        <v>0</v>
      </c>
      <c r="C117" s="249">
        <v>13</v>
      </c>
      <c r="D117" s="79"/>
      <c r="E117" s="599"/>
      <c r="F117" s="600"/>
      <c r="G117" s="601"/>
      <c r="H117" s="227"/>
      <c r="I117" s="70"/>
      <c r="J117" s="133"/>
      <c r="K117" s="42"/>
      <c r="L117" s="134"/>
      <c r="M117" s="70"/>
      <c r="N117" s="51"/>
      <c r="O117" s="135" t="str">
        <f t="shared" si="62"/>
        <v/>
      </c>
      <c r="P117" s="349"/>
      <c r="Q117" s="231"/>
      <c r="R117" s="133"/>
      <c r="S117" s="613"/>
      <c r="T117" s="613"/>
      <c r="U117" s="613"/>
      <c r="V117" s="613"/>
      <c r="W117" s="613"/>
      <c r="AA117" s="52">
        <v>13</v>
      </c>
      <c r="AB117" s="65" t="str">
        <f t="shared" si="55"/>
        <v>** NOT USED **</v>
      </c>
      <c r="AC117" s="346" t="str">
        <f t="shared" si="56"/>
        <v/>
      </c>
      <c r="AD117" s="65">
        <f t="shared" si="57"/>
        <v>0</v>
      </c>
      <c r="AE117" s="347">
        <f t="shared" ca="1" si="58"/>
        <v>0</v>
      </c>
      <c r="AF117" s="369">
        <f t="shared" ca="1" si="63"/>
        <v>0</v>
      </c>
      <c r="AG117" s="369">
        <f t="shared" ca="1" si="63"/>
        <v>0</v>
      </c>
      <c r="AH117" s="369">
        <f t="shared" ca="1" si="63"/>
        <v>0</v>
      </c>
      <c r="AI117" s="369">
        <f t="shared" ca="1" si="63"/>
        <v>0</v>
      </c>
      <c r="AJ117" s="369">
        <f t="shared" ca="1" si="63"/>
        <v>0</v>
      </c>
      <c r="AK117" s="369">
        <f t="shared" ca="1" si="63"/>
        <v>0</v>
      </c>
      <c r="AL117" s="369">
        <f t="shared" ca="1" si="64"/>
        <v>0</v>
      </c>
      <c r="AM117" s="369">
        <f t="shared" ca="1" si="64"/>
        <v>0</v>
      </c>
      <c r="AN117" s="369">
        <f t="shared" ca="1" si="64"/>
        <v>0</v>
      </c>
      <c r="AO117" s="369">
        <f t="shared" ca="1" si="64"/>
        <v>0</v>
      </c>
      <c r="AP117" s="369">
        <f t="shared" ca="1" si="64"/>
        <v>0</v>
      </c>
      <c r="AQ117" s="369">
        <f t="shared" ca="1" si="64"/>
        <v>0</v>
      </c>
    </row>
    <row r="118" spans="1:43" hidden="1" outlineLevel="1" x14ac:dyDescent="0.2">
      <c r="B118" s="246">
        <f t="shared" si="61"/>
        <v>0</v>
      </c>
      <c r="C118" s="249">
        <v>14</v>
      </c>
      <c r="D118" s="79"/>
      <c r="E118" s="599"/>
      <c r="F118" s="600"/>
      <c r="G118" s="601"/>
      <c r="H118" s="227"/>
      <c r="I118" s="70"/>
      <c r="J118" s="133"/>
      <c r="K118" s="42"/>
      <c r="L118" s="134"/>
      <c r="M118" s="70"/>
      <c r="N118" s="51"/>
      <c r="O118" s="135" t="str">
        <f t="shared" si="62"/>
        <v/>
      </c>
      <c r="P118" s="349"/>
      <c r="Q118" s="231"/>
      <c r="R118" s="133"/>
      <c r="S118" s="613"/>
      <c r="T118" s="613"/>
      <c r="U118" s="613"/>
      <c r="V118" s="613"/>
      <c r="W118" s="613"/>
      <c r="AA118" s="52">
        <v>14</v>
      </c>
      <c r="AB118" s="65" t="str">
        <f t="shared" si="55"/>
        <v>** NOT USED **</v>
      </c>
      <c r="AC118" s="346" t="str">
        <f t="shared" si="56"/>
        <v/>
      </c>
      <c r="AD118" s="65">
        <f t="shared" si="57"/>
        <v>0</v>
      </c>
      <c r="AE118" s="347">
        <f t="shared" ca="1" si="58"/>
        <v>0</v>
      </c>
      <c r="AF118" s="369">
        <f t="shared" ca="1" si="63"/>
        <v>0</v>
      </c>
      <c r="AG118" s="369">
        <f t="shared" ca="1" si="63"/>
        <v>0</v>
      </c>
      <c r="AH118" s="369">
        <f t="shared" ca="1" si="63"/>
        <v>0</v>
      </c>
      <c r="AI118" s="369">
        <f t="shared" ca="1" si="63"/>
        <v>0</v>
      </c>
      <c r="AJ118" s="369">
        <f t="shared" ca="1" si="63"/>
        <v>0</v>
      </c>
      <c r="AK118" s="369">
        <f t="shared" ca="1" si="63"/>
        <v>0</v>
      </c>
      <c r="AL118" s="369">
        <f t="shared" ca="1" si="64"/>
        <v>0</v>
      </c>
      <c r="AM118" s="369">
        <f t="shared" ca="1" si="64"/>
        <v>0</v>
      </c>
      <c r="AN118" s="369">
        <f t="shared" ca="1" si="64"/>
        <v>0</v>
      </c>
      <c r="AO118" s="369">
        <f t="shared" ca="1" si="64"/>
        <v>0</v>
      </c>
      <c r="AP118" s="369">
        <f t="shared" ca="1" si="64"/>
        <v>0</v>
      </c>
      <c r="AQ118" s="369">
        <f t="shared" ca="1" si="64"/>
        <v>0</v>
      </c>
    </row>
    <row r="119" spans="1:43" hidden="1" outlineLevel="1" x14ac:dyDescent="0.2">
      <c r="B119" s="246">
        <f t="shared" si="61"/>
        <v>0</v>
      </c>
      <c r="C119" s="249">
        <v>15</v>
      </c>
      <c r="D119" s="79"/>
      <c r="E119" s="599"/>
      <c r="F119" s="600"/>
      <c r="G119" s="601"/>
      <c r="H119" s="227"/>
      <c r="I119" s="70"/>
      <c r="J119" s="133"/>
      <c r="K119" s="42"/>
      <c r="L119" s="134"/>
      <c r="M119" s="70"/>
      <c r="N119" s="51"/>
      <c r="O119" s="135" t="str">
        <f t="shared" si="62"/>
        <v/>
      </c>
      <c r="P119" s="349"/>
      <c r="Q119" s="231"/>
      <c r="R119" s="133"/>
      <c r="S119" s="613"/>
      <c r="T119" s="613"/>
      <c r="U119" s="613"/>
      <c r="V119" s="613"/>
      <c r="W119" s="613"/>
      <c r="AA119" s="52">
        <v>15</v>
      </c>
      <c r="AB119" s="65" t="str">
        <f t="shared" si="55"/>
        <v>** NOT USED **</v>
      </c>
      <c r="AC119" s="346" t="str">
        <f t="shared" si="56"/>
        <v/>
      </c>
      <c r="AD119" s="65">
        <f t="shared" si="57"/>
        <v>0</v>
      </c>
      <c r="AE119" s="347">
        <f t="shared" ca="1" si="58"/>
        <v>0</v>
      </c>
      <c r="AF119" s="369">
        <f t="shared" ca="1" si="63"/>
        <v>0</v>
      </c>
      <c r="AG119" s="369">
        <f t="shared" ca="1" si="63"/>
        <v>0</v>
      </c>
      <c r="AH119" s="369">
        <f t="shared" ca="1" si="63"/>
        <v>0</v>
      </c>
      <c r="AI119" s="369">
        <f t="shared" ca="1" si="63"/>
        <v>0</v>
      </c>
      <c r="AJ119" s="369">
        <f t="shared" ca="1" si="63"/>
        <v>0</v>
      </c>
      <c r="AK119" s="369">
        <f t="shared" ca="1" si="63"/>
        <v>0</v>
      </c>
      <c r="AL119" s="369">
        <f t="shared" ca="1" si="64"/>
        <v>0</v>
      </c>
      <c r="AM119" s="369">
        <f t="shared" ca="1" si="64"/>
        <v>0</v>
      </c>
      <c r="AN119" s="369">
        <f t="shared" ca="1" si="64"/>
        <v>0</v>
      </c>
      <c r="AO119" s="369">
        <f t="shared" ca="1" si="64"/>
        <v>0</v>
      </c>
      <c r="AP119" s="369">
        <f t="shared" ca="1" si="64"/>
        <v>0</v>
      </c>
      <c r="AQ119" s="369">
        <f t="shared" ca="1" si="64"/>
        <v>0</v>
      </c>
    </row>
    <row r="120" spans="1:43" hidden="1" outlineLevel="1" x14ac:dyDescent="0.2">
      <c r="B120" s="246">
        <f t="shared" si="61"/>
        <v>0</v>
      </c>
      <c r="C120" s="249">
        <v>16</v>
      </c>
      <c r="D120" s="79"/>
      <c r="E120" s="599"/>
      <c r="F120" s="600"/>
      <c r="G120" s="601"/>
      <c r="H120" s="227"/>
      <c r="I120" s="70"/>
      <c r="J120" s="133"/>
      <c r="K120" s="42"/>
      <c r="L120" s="134"/>
      <c r="M120" s="70"/>
      <c r="N120" s="51"/>
      <c r="O120" s="135" t="str">
        <f t="shared" si="62"/>
        <v/>
      </c>
      <c r="P120" s="349"/>
      <c r="Q120" s="231"/>
      <c r="R120" s="133"/>
      <c r="S120" s="613"/>
      <c r="T120" s="613"/>
      <c r="U120" s="613"/>
      <c r="V120" s="613"/>
      <c r="W120" s="613"/>
      <c r="AA120" s="52">
        <v>16</v>
      </c>
      <c r="AB120" s="65" t="str">
        <f t="shared" si="55"/>
        <v>** NOT USED **</v>
      </c>
      <c r="AC120" s="346" t="str">
        <f t="shared" si="56"/>
        <v/>
      </c>
      <c r="AD120" s="65">
        <f t="shared" si="57"/>
        <v>0</v>
      </c>
      <c r="AE120" s="347">
        <f t="shared" ca="1" si="58"/>
        <v>0</v>
      </c>
      <c r="AF120" s="369">
        <f t="shared" ca="1" si="63"/>
        <v>0</v>
      </c>
      <c r="AG120" s="369">
        <f t="shared" ca="1" si="63"/>
        <v>0</v>
      </c>
      <c r="AH120" s="369">
        <f t="shared" ca="1" si="63"/>
        <v>0</v>
      </c>
      <c r="AI120" s="369">
        <f t="shared" ca="1" si="63"/>
        <v>0</v>
      </c>
      <c r="AJ120" s="369">
        <f t="shared" ca="1" si="63"/>
        <v>0</v>
      </c>
      <c r="AK120" s="369">
        <f t="shared" ca="1" si="63"/>
        <v>0</v>
      </c>
      <c r="AL120" s="369">
        <f t="shared" ca="1" si="64"/>
        <v>0</v>
      </c>
      <c r="AM120" s="369">
        <f t="shared" ca="1" si="64"/>
        <v>0</v>
      </c>
      <c r="AN120" s="369">
        <f t="shared" ca="1" si="64"/>
        <v>0</v>
      </c>
      <c r="AO120" s="369">
        <f t="shared" ca="1" si="64"/>
        <v>0</v>
      </c>
      <c r="AP120" s="369">
        <f t="shared" ca="1" si="64"/>
        <v>0</v>
      </c>
      <c r="AQ120" s="369">
        <f t="shared" ca="1" si="64"/>
        <v>0</v>
      </c>
    </row>
    <row r="121" spans="1:43" hidden="1" outlineLevel="1" x14ac:dyDescent="0.2">
      <c r="B121" s="246">
        <f t="shared" si="61"/>
        <v>0</v>
      </c>
      <c r="C121" s="249">
        <v>17</v>
      </c>
      <c r="D121" s="79"/>
      <c r="E121" s="599"/>
      <c r="F121" s="600"/>
      <c r="G121" s="601"/>
      <c r="H121" s="227"/>
      <c r="I121" s="70"/>
      <c r="J121" s="133"/>
      <c r="K121" s="42"/>
      <c r="L121" s="134"/>
      <c r="M121" s="70"/>
      <c r="N121" s="51"/>
      <c r="O121" s="135" t="str">
        <f t="shared" si="62"/>
        <v/>
      </c>
      <c r="P121" s="349"/>
      <c r="Q121" s="231"/>
      <c r="R121" s="133"/>
      <c r="S121" s="613"/>
      <c r="T121" s="613"/>
      <c r="U121" s="613"/>
      <c r="V121" s="613"/>
      <c r="W121" s="613"/>
      <c r="AA121" s="52">
        <v>17</v>
      </c>
      <c r="AB121" s="65" t="str">
        <f t="shared" si="55"/>
        <v>** NOT USED **</v>
      </c>
      <c r="AC121" s="346" t="str">
        <f t="shared" si="56"/>
        <v/>
      </c>
      <c r="AD121" s="65">
        <f t="shared" si="57"/>
        <v>0</v>
      </c>
      <c r="AE121" s="347">
        <f t="shared" ca="1" si="58"/>
        <v>0</v>
      </c>
      <c r="AF121" s="369">
        <f t="shared" ca="1" si="63"/>
        <v>0</v>
      </c>
      <c r="AG121" s="369">
        <f t="shared" ca="1" si="63"/>
        <v>0</v>
      </c>
      <c r="AH121" s="369">
        <f t="shared" ca="1" si="63"/>
        <v>0</v>
      </c>
      <c r="AI121" s="369">
        <f t="shared" ca="1" si="63"/>
        <v>0</v>
      </c>
      <c r="AJ121" s="369">
        <f t="shared" ca="1" si="63"/>
        <v>0</v>
      </c>
      <c r="AK121" s="369">
        <f t="shared" ca="1" si="63"/>
        <v>0</v>
      </c>
      <c r="AL121" s="369">
        <f t="shared" ca="1" si="64"/>
        <v>0</v>
      </c>
      <c r="AM121" s="369">
        <f t="shared" ca="1" si="64"/>
        <v>0</v>
      </c>
      <c r="AN121" s="369">
        <f t="shared" ca="1" si="64"/>
        <v>0</v>
      </c>
      <c r="AO121" s="369">
        <f t="shared" ca="1" si="64"/>
        <v>0</v>
      </c>
      <c r="AP121" s="369">
        <f t="shared" ca="1" si="64"/>
        <v>0</v>
      </c>
      <c r="AQ121" s="369">
        <f t="shared" ca="1" si="64"/>
        <v>0</v>
      </c>
    </row>
    <row r="122" spans="1:43" hidden="1" outlineLevel="1" x14ac:dyDescent="0.2">
      <c r="B122" s="246">
        <f t="shared" si="61"/>
        <v>0</v>
      </c>
      <c r="C122" s="249">
        <v>18</v>
      </c>
      <c r="D122" s="79"/>
      <c r="E122" s="599"/>
      <c r="F122" s="600"/>
      <c r="G122" s="601"/>
      <c r="H122" s="227"/>
      <c r="I122" s="70"/>
      <c r="J122" s="133"/>
      <c r="K122" s="42"/>
      <c r="L122" s="134"/>
      <c r="M122" s="70"/>
      <c r="N122" s="51"/>
      <c r="O122" s="135" t="str">
        <f t="shared" si="62"/>
        <v/>
      </c>
      <c r="P122" s="349"/>
      <c r="Q122" s="231"/>
      <c r="R122" s="133"/>
      <c r="S122" s="613"/>
      <c r="T122" s="613"/>
      <c r="U122" s="613"/>
      <c r="V122" s="613"/>
      <c r="W122" s="613"/>
      <c r="AA122" s="52">
        <v>18</v>
      </c>
      <c r="AB122" s="65" t="str">
        <f t="shared" si="55"/>
        <v>** NOT USED **</v>
      </c>
      <c r="AC122" s="346" t="str">
        <f t="shared" si="56"/>
        <v/>
      </c>
      <c r="AD122" s="65">
        <f t="shared" si="57"/>
        <v>0</v>
      </c>
      <c r="AE122" s="347">
        <f t="shared" ca="1" si="58"/>
        <v>0</v>
      </c>
      <c r="AF122" s="369">
        <f t="shared" ca="1" si="63"/>
        <v>0</v>
      </c>
      <c r="AG122" s="369">
        <f t="shared" ca="1" si="63"/>
        <v>0</v>
      </c>
      <c r="AH122" s="369">
        <f t="shared" ca="1" si="63"/>
        <v>0</v>
      </c>
      <c r="AI122" s="369">
        <f t="shared" ca="1" si="63"/>
        <v>0</v>
      </c>
      <c r="AJ122" s="369">
        <f t="shared" ca="1" si="63"/>
        <v>0</v>
      </c>
      <c r="AK122" s="369">
        <f t="shared" ca="1" si="63"/>
        <v>0</v>
      </c>
      <c r="AL122" s="369">
        <f t="shared" ca="1" si="64"/>
        <v>0</v>
      </c>
      <c r="AM122" s="369">
        <f t="shared" ca="1" si="64"/>
        <v>0</v>
      </c>
      <c r="AN122" s="369">
        <f t="shared" ca="1" si="64"/>
        <v>0</v>
      </c>
      <c r="AO122" s="369">
        <f t="shared" ca="1" si="64"/>
        <v>0</v>
      </c>
      <c r="AP122" s="369">
        <f t="shared" ca="1" si="64"/>
        <v>0</v>
      </c>
      <c r="AQ122" s="369">
        <f t="shared" ca="1" si="64"/>
        <v>0</v>
      </c>
    </row>
    <row r="123" spans="1:43" hidden="1" outlineLevel="1" x14ac:dyDescent="0.2">
      <c r="B123" s="246">
        <f t="shared" si="61"/>
        <v>0</v>
      </c>
      <c r="C123" s="249">
        <v>19</v>
      </c>
      <c r="D123" s="79"/>
      <c r="E123" s="599"/>
      <c r="F123" s="600"/>
      <c r="G123" s="601"/>
      <c r="H123" s="227"/>
      <c r="I123" s="70"/>
      <c r="J123" s="133"/>
      <c r="K123" s="42"/>
      <c r="L123" s="134"/>
      <c r="M123" s="70"/>
      <c r="N123" s="51"/>
      <c r="O123" s="135" t="str">
        <f t="shared" si="62"/>
        <v/>
      </c>
      <c r="P123" s="349"/>
      <c r="Q123" s="231"/>
      <c r="R123" s="133"/>
      <c r="S123" s="613"/>
      <c r="T123" s="613"/>
      <c r="U123" s="613"/>
      <c r="V123" s="613"/>
      <c r="W123" s="613"/>
      <c r="AA123" s="52">
        <v>19</v>
      </c>
      <c r="AB123" s="65" t="str">
        <f t="shared" si="55"/>
        <v>** NOT USED **</v>
      </c>
      <c r="AC123" s="346" t="str">
        <f t="shared" si="56"/>
        <v/>
      </c>
      <c r="AD123" s="65">
        <f t="shared" si="57"/>
        <v>0</v>
      </c>
      <c r="AE123" s="347">
        <f t="shared" ca="1" si="58"/>
        <v>0</v>
      </c>
      <c r="AF123" s="369">
        <f t="shared" ca="1" si="63"/>
        <v>0</v>
      </c>
      <c r="AG123" s="369">
        <f t="shared" ca="1" si="63"/>
        <v>0</v>
      </c>
      <c r="AH123" s="369">
        <f t="shared" ca="1" si="63"/>
        <v>0</v>
      </c>
      <c r="AI123" s="369">
        <f t="shared" ca="1" si="63"/>
        <v>0</v>
      </c>
      <c r="AJ123" s="369">
        <f t="shared" ca="1" si="63"/>
        <v>0</v>
      </c>
      <c r="AK123" s="369">
        <f t="shared" ca="1" si="63"/>
        <v>0</v>
      </c>
      <c r="AL123" s="369">
        <f t="shared" ca="1" si="64"/>
        <v>0</v>
      </c>
      <c r="AM123" s="369">
        <f t="shared" ca="1" si="64"/>
        <v>0</v>
      </c>
      <c r="AN123" s="369">
        <f t="shared" ca="1" si="64"/>
        <v>0</v>
      </c>
      <c r="AO123" s="369">
        <f t="shared" ca="1" si="64"/>
        <v>0</v>
      </c>
      <c r="AP123" s="369">
        <f t="shared" ca="1" si="64"/>
        <v>0</v>
      </c>
      <c r="AQ123" s="369">
        <f t="shared" ca="1" si="64"/>
        <v>0</v>
      </c>
    </row>
    <row r="124" spans="1:43" hidden="1" outlineLevel="1" x14ac:dyDescent="0.2">
      <c r="B124" s="246">
        <f t="shared" si="61"/>
        <v>0</v>
      </c>
      <c r="C124" s="249">
        <v>20</v>
      </c>
      <c r="D124" s="79"/>
      <c r="E124" s="599"/>
      <c r="F124" s="600"/>
      <c r="G124" s="601"/>
      <c r="H124" s="227"/>
      <c r="I124" s="70"/>
      <c r="J124" s="133"/>
      <c r="K124" s="42"/>
      <c r="L124" s="134"/>
      <c r="M124" s="70"/>
      <c r="N124" s="51"/>
      <c r="O124" s="135" t="str">
        <f t="shared" si="62"/>
        <v/>
      </c>
      <c r="P124" s="349"/>
      <c r="Q124" s="231"/>
      <c r="R124" s="133"/>
      <c r="S124" s="613"/>
      <c r="T124" s="613"/>
      <c r="U124" s="613"/>
      <c r="V124" s="613"/>
      <c r="W124" s="613"/>
      <c r="AA124" s="52">
        <v>20</v>
      </c>
      <c r="AB124" s="65" t="str">
        <f t="shared" si="55"/>
        <v>** NOT USED **</v>
      </c>
      <c r="AC124" s="346" t="str">
        <f t="shared" si="56"/>
        <v/>
      </c>
      <c r="AD124" s="65">
        <f t="shared" si="57"/>
        <v>0</v>
      </c>
      <c r="AE124" s="347">
        <f t="shared" ca="1" si="58"/>
        <v>0</v>
      </c>
      <c r="AF124" s="369">
        <f t="shared" ca="1" si="63"/>
        <v>0</v>
      </c>
      <c r="AG124" s="369">
        <f t="shared" ca="1" si="63"/>
        <v>0</v>
      </c>
      <c r="AH124" s="369">
        <f t="shared" ca="1" si="63"/>
        <v>0</v>
      </c>
      <c r="AI124" s="369">
        <f t="shared" ca="1" si="63"/>
        <v>0</v>
      </c>
      <c r="AJ124" s="369">
        <f t="shared" ca="1" si="63"/>
        <v>0</v>
      </c>
      <c r="AK124" s="369">
        <f t="shared" ca="1" si="63"/>
        <v>0</v>
      </c>
      <c r="AL124" s="369">
        <f t="shared" ca="1" si="64"/>
        <v>0</v>
      </c>
      <c r="AM124" s="369">
        <f t="shared" ca="1" si="64"/>
        <v>0</v>
      </c>
      <c r="AN124" s="369">
        <f t="shared" ca="1" si="64"/>
        <v>0</v>
      </c>
      <c r="AO124" s="369">
        <f t="shared" ca="1" si="64"/>
        <v>0</v>
      </c>
      <c r="AP124" s="369">
        <f t="shared" ca="1" si="64"/>
        <v>0</v>
      </c>
      <c r="AQ124" s="369">
        <f t="shared" ca="1" si="64"/>
        <v>0</v>
      </c>
    </row>
    <row r="125" spans="1:43" hidden="1" outlineLevel="1" x14ac:dyDescent="0.2">
      <c r="B125" s="246">
        <f>SUM(B105:B124)</f>
        <v>0</v>
      </c>
      <c r="C125" s="246">
        <f>COUNTA(D105:D124)</f>
        <v>0</v>
      </c>
    </row>
    <row r="126" spans="1:43" collapsed="1" x14ac:dyDescent="0.2">
      <c r="E126" s="455"/>
    </row>
    <row r="127" spans="1:43" ht="15.75" x14ac:dyDescent="0.2">
      <c r="D127" s="111" t="s">
        <v>908</v>
      </c>
      <c r="E127" s="21"/>
      <c r="F127" s="21"/>
      <c r="G127" s="21"/>
      <c r="H127" s="21"/>
      <c r="I127" s="605" t="str">
        <f>IF(C153=0,MsgNotUsed,"")</f>
        <v>** NOT USED **</v>
      </c>
      <c r="J127" s="606"/>
      <c r="K127" s="21"/>
      <c r="L127" s="21"/>
      <c r="M127" s="21"/>
      <c r="N127" s="21"/>
      <c r="O127" s="21"/>
      <c r="P127" s="21"/>
      <c r="Q127" s="21"/>
      <c r="R127" s="21"/>
      <c r="S127" s="21"/>
      <c r="T127" s="21"/>
      <c r="U127" s="21"/>
      <c r="V127" s="21"/>
      <c r="W127" s="21"/>
      <c r="X127" s="21"/>
      <c r="Y127" s="21"/>
      <c r="Z127" s="21"/>
      <c r="AA127" s="21"/>
      <c r="AB127" s="21"/>
      <c r="AC127" s="21"/>
      <c r="AD127" s="21"/>
      <c r="AE127" s="21"/>
      <c r="AF127" s="21"/>
      <c r="AG127" s="21"/>
      <c r="AH127" s="21"/>
      <c r="AI127" s="21"/>
      <c r="AJ127" s="21"/>
      <c r="AK127" s="21"/>
      <c r="AL127" s="21"/>
      <c r="AM127" s="21"/>
      <c r="AN127" s="21"/>
      <c r="AO127" s="21"/>
      <c r="AP127" s="21"/>
      <c r="AQ127" s="21"/>
    </row>
    <row r="128" spans="1:43" ht="15.75" hidden="1" outlineLevel="1" x14ac:dyDescent="0.2">
      <c r="D128" s="454"/>
      <c r="E128" s="455"/>
      <c r="I128" s="542" t="str">
        <f>IF(B153 &gt; 0,"The services below overwrite volumes from Worksheet 2d.","")</f>
        <v/>
      </c>
      <c r="J128" s="542"/>
      <c r="K128" s="542"/>
      <c r="L128" s="542"/>
      <c r="M128" s="542"/>
      <c r="N128" s="542"/>
      <c r="O128" s="542"/>
    </row>
    <row r="129" spans="2:30" ht="14.25" hidden="1" customHeight="1" outlineLevel="1" x14ac:dyDescent="0.2">
      <c r="D129" t="s">
        <v>942</v>
      </c>
    </row>
    <row r="130" spans="2:30" hidden="1" outlineLevel="1" x14ac:dyDescent="0.2"/>
    <row r="131" spans="2:30" hidden="1" outlineLevel="1" x14ac:dyDescent="0.2">
      <c r="D131" s="360" t="str">
        <f>"Service volumes for calendar year " &amp; FirstYear-1</f>
        <v>Service volumes for calendar year 2025</v>
      </c>
      <c r="E131" s="455"/>
      <c r="J131" s="602" t="s">
        <v>101</v>
      </c>
      <c r="K131" s="578"/>
      <c r="L131" s="578"/>
      <c r="M131" s="578"/>
      <c r="N131" s="602" t="s">
        <v>100</v>
      </c>
      <c r="O131" s="578"/>
      <c r="Q131" s="591" t="s">
        <v>289</v>
      </c>
      <c r="R131" s="592"/>
    </row>
    <row r="132" spans="2:30" ht="38.25" hidden="1" outlineLevel="1" x14ac:dyDescent="0.2">
      <c r="D132" s="5" t="s">
        <v>800</v>
      </c>
      <c r="E132" s="596" t="s">
        <v>107</v>
      </c>
      <c r="F132" s="597"/>
      <c r="G132" s="598"/>
      <c r="H132" s="75" t="s">
        <v>106</v>
      </c>
      <c r="I132" s="5" t="s">
        <v>56</v>
      </c>
      <c r="J132" s="5" t="s">
        <v>91</v>
      </c>
      <c r="K132" s="5" t="s">
        <v>92</v>
      </c>
      <c r="L132" s="5" t="s">
        <v>93</v>
      </c>
      <c r="M132" s="5" t="s">
        <v>94</v>
      </c>
      <c r="N132" s="5" t="s">
        <v>95</v>
      </c>
      <c r="O132" s="5" t="s">
        <v>96</v>
      </c>
      <c r="P132" s="5" t="s">
        <v>743</v>
      </c>
      <c r="Q132" s="5" t="s">
        <v>287</v>
      </c>
      <c r="R132" s="5" t="s">
        <v>288</v>
      </c>
      <c r="S132" s="5" t="s">
        <v>245</v>
      </c>
      <c r="AB132" s="203" t="s">
        <v>270</v>
      </c>
      <c r="AC132" s="203" t="s">
        <v>282</v>
      </c>
      <c r="AD132" s="203" t="s">
        <v>416</v>
      </c>
    </row>
    <row r="133" spans="2:30" hidden="1" outlineLevel="1" x14ac:dyDescent="0.2">
      <c r="B133" s="246">
        <f t="shared" ref="B133:B152" si="65">IF(AND(D133&lt;&gt;"",INDEX(NamesMS,C133)&lt;&gt;MsgNotUsed),1,0)</f>
        <v>0</v>
      </c>
      <c r="C133" s="52">
        <v>1</v>
      </c>
      <c r="D133" s="79"/>
      <c r="E133" s="599"/>
      <c r="F133" s="635"/>
      <c r="G133" s="636"/>
      <c r="H133" s="138"/>
      <c r="I133" s="227"/>
      <c r="J133" s="42"/>
      <c r="K133" s="42"/>
      <c r="L133" s="42"/>
      <c r="M133" s="42"/>
      <c r="N133" s="42"/>
      <c r="O133" s="42"/>
      <c r="P133" s="138"/>
      <c r="Q133" s="227"/>
      <c r="R133" s="227"/>
      <c r="S133" s="138"/>
      <c r="AA133" s="52">
        <v>1</v>
      </c>
      <c r="AB133" s="68" t="str">
        <f t="shared" ref="AB133:AB152" si="66">IF(D133&lt;&gt;"",CONCATENATE(H133," - ",D133," ",E133," - ",I133),MsgNotUsed)</f>
        <v>** NOT USED **</v>
      </c>
      <c r="AC133" s="69" t="str">
        <f t="shared" ref="AC133:AC152" si="67">IF(I133&lt;&gt;"",VLOOKUP(I133,TPShortCode,3,FALSE),"")</f>
        <v/>
      </c>
      <c r="AD133" s="65">
        <f t="shared" ref="AD133:AD152" si="68">IF(S133="Decrease",-1,IF(S133="Increase",1,0))</f>
        <v>0</v>
      </c>
    </row>
    <row r="134" spans="2:30" hidden="1" outlineLevel="1" x14ac:dyDescent="0.2">
      <c r="B134" s="246">
        <f t="shared" si="65"/>
        <v>0</v>
      </c>
      <c r="C134" s="52">
        <v>2</v>
      </c>
      <c r="D134" s="79"/>
      <c r="E134" s="599"/>
      <c r="F134" s="635"/>
      <c r="G134" s="636"/>
      <c r="H134" s="138"/>
      <c r="I134" s="227"/>
      <c r="J134" s="42"/>
      <c r="K134" s="42"/>
      <c r="L134" s="42"/>
      <c r="M134" s="42"/>
      <c r="N134" s="42"/>
      <c r="O134" s="42"/>
      <c r="P134" s="138"/>
      <c r="Q134" s="227"/>
      <c r="R134" s="227"/>
      <c r="S134" s="138"/>
      <c r="AA134" s="52">
        <v>2</v>
      </c>
      <c r="AB134" s="68" t="str">
        <f t="shared" si="66"/>
        <v>** NOT USED **</v>
      </c>
      <c r="AC134" s="69" t="str">
        <f t="shared" si="67"/>
        <v/>
      </c>
      <c r="AD134" s="65">
        <f t="shared" si="68"/>
        <v>0</v>
      </c>
    </row>
    <row r="135" spans="2:30" hidden="1" outlineLevel="1" x14ac:dyDescent="0.2">
      <c r="B135" s="246">
        <f t="shared" si="65"/>
        <v>0</v>
      </c>
      <c r="C135" s="52">
        <v>3</v>
      </c>
      <c r="D135" s="79"/>
      <c r="E135" s="599"/>
      <c r="F135" s="635"/>
      <c r="G135" s="636"/>
      <c r="H135" s="138"/>
      <c r="I135" s="227"/>
      <c r="J135" s="42"/>
      <c r="K135" s="42"/>
      <c r="L135" s="42"/>
      <c r="M135" s="42"/>
      <c r="N135" s="42"/>
      <c r="O135" s="42"/>
      <c r="P135" s="138"/>
      <c r="Q135" s="227"/>
      <c r="R135" s="227"/>
      <c r="S135" s="138"/>
      <c r="AA135" s="52">
        <v>3</v>
      </c>
      <c r="AB135" s="68" t="str">
        <f t="shared" si="66"/>
        <v>** NOT USED **</v>
      </c>
      <c r="AC135" s="69" t="str">
        <f t="shared" si="67"/>
        <v/>
      </c>
      <c r="AD135" s="65">
        <f t="shared" si="68"/>
        <v>0</v>
      </c>
    </row>
    <row r="136" spans="2:30" hidden="1" outlineLevel="1" x14ac:dyDescent="0.2">
      <c r="B136" s="246">
        <f t="shared" si="65"/>
        <v>0</v>
      </c>
      <c r="C136" s="52">
        <v>4</v>
      </c>
      <c r="D136" s="79"/>
      <c r="E136" s="599"/>
      <c r="F136" s="635"/>
      <c r="G136" s="636"/>
      <c r="H136" s="138"/>
      <c r="I136" s="227"/>
      <c r="J136" s="42"/>
      <c r="K136" s="42"/>
      <c r="L136" s="42"/>
      <c r="M136" s="42"/>
      <c r="N136" s="42"/>
      <c r="O136" s="42"/>
      <c r="P136" s="138"/>
      <c r="Q136" s="227"/>
      <c r="R136" s="227"/>
      <c r="S136" s="138"/>
      <c r="AA136" s="52">
        <v>4</v>
      </c>
      <c r="AB136" s="68" t="str">
        <f t="shared" si="66"/>
        <v>** NOT USED **</v>
      </c>
      <c r="AC136" s="69" t="str">
        <f t="shared" si="67"/>
        <v/>
      </c>
      <c r="AD136" s="65">
        <f t="shared" si="68"/>
        <v>0</v>
      </c>
    </row>
    <row r="137" spans="2:30" hidden="1" outlineLevel="1" x14ac:dyDescent="0.2">
      <c r="B137" s="246">
        <f t="shared" si="65"/>
        <v>0</v>
      </c>
      <c r="C137" s="52">
        <v>5</v>
      </c>
      <c r="D137" s="79"/>
      <c r="E137" s="599"/>
      <c r="F137" s="635"/>
      <c r="G137" s="636"/>
      <c r="H137" s="138"/>
      <c r="I137" s="227"/>
      <c r="J137" s="42"/>
      <c r="K137" s="42"/>
      <c r="L137" s="42"/>
      <c r="M137" s="42"/>
      <c r="N137" s="42"/>
      <c r="O137" s="42"/>
      <c r="P137" s="138"/>
      <c r="Q137" s="227"/>
      <c r="R137" s="227"/>
      <c r="S137" s="138"/>
      <c r="AA137" s="52">
        <v>5</v>
      </c>
      <c r="AB137" s="68" t="str">
        <f t="shared" si="66"/>
        <v>** NOT USED **</v>
      </c>
      <c r="AC137" s="69" t="str">
        <f t="shared" si="67"/>
        <v/>
      </c>
      <c r="AD137" s="65">
        <f t="shared" si="68"/>
        <v>0</v>
      </c>
    </row>
    <row r="138" spans="2:30" hidden="1" outlineLevel="1" x14ac:dyDescent="0.2">
      <c r="B138" s="246">
        <f t="shared" si="65"/>
        <v>0</v>
      </c>
      <c r="C138" s="52">
        <v>6</v>
      </c>
      <c r="D138" s="79"/>
      <c r="E138" s="599"/>
      <c r="F138" s="635"/>
      <c r="G138" s="636"/>
      <c r="H138" s="138"/>
      <c r="I138" s="227"/>
      <c r="J138" s="42"/>
      <c r="K138" s="42"/>
      <c r="L138" s="42"/>
      <c r="M138" s="42"/>
      <c r="N138" s="42"/>
      <c r="O138" s="42"/>
      <c r="P138" s="138"/>
      <c r="Q138" s="227"/>
      <c r="R138" s="227"/>
      <c r="S138" s="138"/>
      <c r="AA138" s="52">
        <v>6</v>
      </c>
      <c r="AB138" s="68" t="str">
        <f t="shared" si="66"/>
        <v>** NOT USED **</v>
      </c>
      <c r="AC138" s="69" t="str">
        <f t="shared" si="67"/>
        <v/>
      </c>
      <c r="AD138" s="65">
        <f t="shared" si="68"/>
        <v>0</v>
      </c>
    </row>
    <row r="139" spans="2:30" hidden="1" outlineLevel="1" x14ac:dyDescent="0.2">
      <c r="B139" s="246">
        <f t="shared" si="65"/>
        <v>0</v>
      </c>
      <c r="C139" s="52">
        <v>7</v>
      </c>
      <c r="D139" s="79"/>
      <c r="E139" s="599"/>
      <c r="F139" s="635"/>
      <c r="G139" s="636"/>
      <c r="H139" s="138"/>
      <c r="I139" s="227"/>
      <c r="J139" s="42"/>
      <c r="K139" s="42"/>
      <c r="L139" s="42"/>
      <c r="M139" s="42"/>
      <c r="N139" s="42"/>
      <c r="O139" s="42"/>
      <c r="P139" s="138"/>
      <c r="Q139" s="227"/>
      <c r="R139" s="227"/>
      <c r="S139" s="138"/>
      <c r="AA139" s="52">
        <v>7</v>
      </c>
      <c r="AB139" s="68" t="str">
        <f t="shared" si="66"/>
        <v>** NOT USED **</v>
      </c>
      <c r="AC139" s="69" t="str">
        <f t="shared" si="67"/>
        <v/>
      </c>
      <c r="AD139" s="65">
        <f t="shared" si="68"/>
        <v>0</v>
      </c>
    </row>
    <row r="140" spans="2:30" hidden="1" outlineLevel="1" x14ac:dyDescent="0.2">
      <c r="B140" s="246">
        <f t="shared" si="65"/>
        <v>0</v>
      </c>
      <c r="C140" s="52">
        <v>8</v>
      </c>
      <c r="D140" s="79"/>
      <c r="E140" s="599"/>
      <c r="F140" s="635"/>
      <c r="G140" s="636"/>
      <c r="H140" s="138"/>
      <c r="I140" s="227"/>
      <c r="J140" s="42"/>
      <c r="K140" s="42"/>
      <c r="L140" s="42"/>
      <c r="M140" s="42"/>
      <c r="N140" s="42"/>
      <c r="O140" s="42"/>
      <c r="P140" s="138"/>
      <c r="Q140" s="227"/>
      <c r="R140" s="227"/>
      <c r="S140" s="138"/>
      <c r="AA140" s="52">
        <v>8</v>
      </c>
      <c r="AB140" s="68" t="str">
        <f t="shared" si="66"/>
        <v>** NOT USED **</v>
      </c>
      <c r="AC140" s="69" t="str">
        <f t="shared" si="67"/>
        <v/>
      </c>
      <c r="AD140" s="65">
        <f t="shared" si="68"/>
        <v>0</v>
      </c>
    </row>
    <row r="141" spans="2:30" hidden="1" outlineLevel="1" x14ac:dyDescent="0.2">
      <c r="B141" s="246">
        <f t="shared" si="65"/>
        <v>0</v>
      </c>
      <c r="C141" s="52">
        <v>9</v>
      </c>
      <c r="D141" s="79"/>
      <c r="E141" s="599"/>
      <c r="F141" s="635"/>
      <c r="G141" s="636"/>
      <c r="H141" s="138"/>
      <c r="I141" s="227"/>
      <c r="J141" s="42"/>
      <c r="K141" s="42"/>
      <c r="L141" s="42"/>
      <c r="M141" s="42"/>
      <c r="N141" s="42"/>
      <c r="O141" s="42"/>
      <c r="P141" s="138"/>
      <c r="Q141" s="227"/>
      <c r="R141" s="227"/>
      <c r="S141" s="138"/>
      <c r="AA141" s="52">
        <v>9</v>
      </c>
      <c r="AB141" s="68" t="str">
        <f t="shared" si="66"/>
        <v>** NOT USED **</v>
      </c>
      <c r="AC141" s="69" t="str">
        <f t="shared" si="67"/>
        <v/>
      </c>
      <c r="AD141" s="65">
        <f t="shared" si="68"/>
        <v>0</v>
      </c>
    </row>
    <row r="142" spans="2:30" hidden="1" outlineLevel="1" x14ac:dyDescent="0.2">
      <c r="B142" s="246">
        <f t="shared" si="65"/>
        <v>0</v>
      </c>
      <c r="C142" s="52">
        <v>10</v>
      </c>
      <c r="D142" s="79"/>
      <c r="E142" s="599"/>
      <c r="F142" s="635"/>
      <c r="G142" s="636"/>
      <c r="H142" s="138"/>
      <c r="I142" s="227"/>
      <c r="J142" s="42"/>
      <c r="K142" s="42"/>
      <c r="L142" s="42"/>
      <c r="M142" s="42"/>
      <c r="N142" s="42"/>
      <c r="O142" s="42"/>
      <c r="P142" s="138"/>
      <c r="Q142" s="227"/>
      <c r="R142" s="227"/>
      <c r="S142" s="138"/>
      <c r="AA142" s="52">
        <v>10</v>
      </c>
      <c r="AB142" s="68" t="str">
        <f t="shared" si="66"/>
        <v>** NOT USED **</v>
      </c>
      <c r="AC142" s="69" t="str">
        <f t="shared" si="67"/>
        <v/>
      </c>
      <c r="AD142" s="65">
        <f t="shared" si="68"/>
        <v>0</v>
      </c>
    </row>
    <row r="143" spans="2:30" hidden="1" outlineLevel="1" x14ac:dyDescent="0.2">
      <c r="B143" s="246">
        <f t="shared" si="65"/>
        <v>0</v>
      </c>
      <c r="C143" s="52">
        <v>11</v>
      </c>
      <c r="D143" s="79"/>
      <c r="E143" s="599"/>
      <c r="F143" s="635"/>
      <c r="G143" s="636"/>
      <c r="H143" s="138"/>
      <c r="I143" s="227"/>
      <c r="J143" s="42"/>
      <c r="K143" s="42"/>
      <c r="L143" s="42"/>
      <c r="M143" s="42"/>
      <c r="N143" s="42"/>
      <c r="O143" s="42"/>
      <c r="P143" s="138"/>
      <c r="Q143" s="227"/>
      <c r="R143" s="227"/>
      <c r="S143" s="138"/>
      <c r="AA143" s="52">
        <v>11</v>
      </c>
      <c r="AB143" s="68" t="str">
        <f t="shared" si="66"/>
        <v>** NOT USED **</v>
      </c>
      <c r="AC143" s="69" t="str">
        <f t="shared" si="67"/>
        <v/>
      </c>
      <c r="AD143" s="65">
        <f t="shared" si="68"/>
        <v>0</v>
      </c>
    </row>
    <row r="144" spans="2:30" hidden="1" outlineLevel="1" x14ac:dyDescent="0.2">
      <c r="B144" s="246">
        <f t="shared" si="65"/>
        <v>0</v>
      </c>
      <c r="C144" s="52">
        <v>12</v>
      </c>
      <c r="D144" s="79"/>
      <c r="E144" s="599"/>
      <c r="F144" s="635"/>
      <c r="G144" s="636"/>
      <c r="H144" s="138"/>
      <c r="I144" s="227"/>
      <c r="J144" s="42"/>
      <c r="K144" s="42"/>
      <c r="L144" s="42"/>
      <c r="M144" s="42"/>
      <c r="N144" s="42"/>
      <c r="O144" s="42"/>
      <c r="P144" s="138"/>
      <c r="Q144" s="227"/>
      <c r="R144" s="227"/>
      <c r="S144" s="138"/>
      <c r="AA144" s="52">
        <v>12</v>
      </c>
      <c r="AB144" s="68" t="str">
        <f t="shared" si="66"/>
        <v>** NOT USED **</v>
      </c>
      <c r="AC144" s="69" t="str">
        <f t="shared" si="67"/>
        <v/>
      </c>
      <c r="AD144" s="65">
        <f t="shared" si="68"/>
        <v>0</v>
      </c>
    </row>
    <row r="145" spans="2:43" hidden="1" outlineLevel="1" x14ac:dyDescent="0.2">
      <c r="B145" s="246">
        <f t="shared" si="65"/>
        <v>0</v>
      </c>
      <c r="C145" s="52">
        <v>13</v>
      </c>
      <c r="D145" s="79"/>
      <c r="E145" s="599"/>
      <c r="F145" s="635"/>
      <c r="G145" s="636"/>
      <c r="H145" s="138"/>
      <c r="I145" s="227"/>
      <c r="J145" s="42"/>
      <c r="K145" s="42"/>
      <c r="L145" s="42"/>
      <c r="M145" s="42"/>
      <c r="N145" s="42"/>
      <c r="O145" s="42"/>
      <c r="P145" s="138"/>
      <c r="Q145" s="227"/>
      <c r="R145" s="227"/>
      <c r="S145" s="138"/>
      <c r="AA145" s="52">
        <v>13</v>
      </c>
      <c r="AB145" s="68" t="str">
        <f t="shared" si="66"/>
        <v>** NOT USED **</v>
      </c>
      <c r="AC145" s="69" t="str">
        <f t="shared" si="67"/>
        <v/>
      </c>
      <c r="AD145" s="65">
        <f t="shared" si="68"/>
        <v>0</v>
      </c>
    </row>
    <row r="146" spans="2:43" hidden="1" outlineLevel="1" x14ac:dyDescent="0.2">
      <c r="B146" s="246">
        <f t="shared" si="65"/>
        <v>0</v>
      </c>
      <c r="C146" s="52">
        <v>14</v>
      </c>
      <c r="D146" s="79"/>
      <c r="E146" s="599"/>
      <c r="F146" s="635"/>
      <c r="G146" s="636"/>
      <c r="H146" s="138"/>
      <c r="I146" s="227"/>
      <c r="J146" s="42"/>
      <c r="K146" s="42"/>
      <c r="L146" s="42"/>
      <c r="M146" s="42"/>
      <c r="N146" s="42"/>
      <c r="O146" s="42"/>
      <c r="P146" s="138"/>
      <c r="Q146" s="227"/>
      <c r="R146" s="227"/>
      <c r="S146" s="138"/>
      <c r="AA146" s="52">
        <v>14</v>
      </c>
      <c r="AB146" s="68" t="str">
        <f t="shared" si="66"/>
        <v>** NOT USED **</v>
      </c>
      <c r="AC146" s="69" t="str">
        <f t="shared" si="67"/>
        <v/>
      </c>
      <c r="AD146" s="65">
        <f t="shared" si="68"/>
        <v>0</v>
      </c>
    </row>
    <row r="147" spans="2:43" hidden="1" outlineLevel="1" x14ac:dyDescent="0.2">
      <c r="B147" s="246">
        <f t="shared" si="65"/>
        <v>0</v>
      </c>
      <c r="C147" s="52">
        <v>15</v>
      </c>
      <c r="D147" s="79"/>
      <c r="E147" s="599"/>
      <c r="F147" s="635"/>
      <c r="G147" s="636"/>
      <c r="H147" s="138"/>
      <c r="I147" s="227"/>
      <c r="J147" s="42"/>
      <c r="K147" s="42"/>
      <c r="L147" s="42"/>
      <c r="M147" s="42"/>
      <c r="N147" s="42"/>
      <c r="O147" s="42"/>
      <c r="P147" s="138"/>
      <c r="Q147" s="227"/>
      <c r="R147" s="227"/>
      <c r="S147" s="138"/>
      <c r="AA147" s="52">
        <v>15</v>
      </c>
      <c r="AB147" s="68" t="str">
        <f t="shared" si="66"/>
        <v>** NOT USED **</v>
      </c>
      <c r="AC147" s="69" t="str">
        <f t="shared" si="67"/>
        <v/>
      </c>
      <c r="AD147" s="65">
        <f t="shared" si="68"/>
        <v>0</v>
      </c>
    </row>
    <row r="148" spans="2:43" hidden="1" outlineLevel="1" x14ac:dyDescent="0.2">
      <c r="B148" s="246">
        <f t="shared" si="65"/>
        <v>0</v>
      </c>
      <c r="C148" s="52">
        <v>16</v>
      </c>
      <c r="D148" s="79"/>
      <c r="E148" s="599"/>
      <c r="F148" s="635"/>
      <c r="G148" s="636"/>
      <c r="H148" s="138"/>
      <c r="I148" s="227"/>
      <c r="J148" s="42"/>
      <c r="K148" s="42"/>
      <c r="L148" s="42"/>
      <c r="M148" s="42"/>
      <c r="N148" s="42"/>
      <c r="O148" s="42"/>
      <c r="P148" s="138"/>
      <c r="Q148" s="227"/>
      <c r="R148" s="227"/>
      <c r="S148" s="138"/>
      <c r="AA148" s="52">
        <v>16</v>
      </c>
      <c r="AB148" s="68" t="str">
        <f t="shared" si="66"/>
        <v>** NOT USED **</v>
      </c>
      <c r="AC148" s="69" t="str">
        <f t="shared" si="67"/>
        <v/>
      </c>
      <c r="AD148" s="65">
        <f t="shared" si="68"/>
        <v>0</v>
      </c>
    </row>
    <row r="149" spans="2:43" hidden="1" outlineLevel="1" x14ac:dyDescent="0.2">
      <c r="B149" s="246">
        <f t="shared" si="65"/>
        <v>0</v>
      </c>
      <c r="C149" s="52">
        <v>17</v>
      </c>
      <c r="D149" s="79"/>
      <c r="E149" s="599"/>
      <c r="F149" s="635"/>
      <c r="G149" s="636"/>
      <c r="H149" s="138"/>
      <c r="I149" s="227"/>
      <c r="J149" s="42"/>
      <c r="K149" s="42"/>
      <c r="L149" s="42"/>
      <c r="M149" s="42"/>
      <c r="N149" s="42"/>
      <c r="O149" s="42"/>
      <c r="P149" s="138"/>
      <c r="Q149" s="227"/>
      <c r="R149" s="227"/>
      <c r="S149" s="138"/>
      <c r="AA149" s="52">
        <v>17</v>
      </c>
      <c r="AB149" s="68" t="str">
        <f t="shared" si="66"/>
        <v>** NOT USED **</v>
      </c>
      <c r="AC149" s="69" t="str">
        <f t="shared" si="67"/>
        <v/>
      </c>
      <c r="AD149" s="65">
        <f t="shared" si="68"/>
        <v>0</v>
      </c>
    </row>
    <row r="150" spans="2:43" hidden="1" outlineLevel="1" x14ac:dyDescent="0.2">
      <c r="B150" s="246">
        <f t="shared" si="65"/>
        <v>0</v>
      </c>
      <c r="C150" s="52">
        <v>18</v>
      </c>
      <c r="D150" s="79"/>
      <c r="E150" s="599"/>
      <c r="F150" s="635"/>
      <c r="G150" s="636"/>
      <c r="H150" s="138"/>
      <c r="I150" s="227"/>
      <c r="J150" s="42"/>
      <c r="K150" s="42"/>
      <c r="L150" s="42"/>
      <c r="M150" s="42"/>
      <c r="N150" s="42"/>
      <c r="O150" s="42"/>
      <c r="P150" s="138"/>
      <c r="Q150" s="227"/>
      <c r="R150" s="227"/>
      <c r="S150" s="138"/>
      <c r="AA150" s="52">
        <v>18</v>
      </c>
      <c r="AB150" s="68" t="str">
        <f t="shared" si="66"/>
        <v>** NOT USED **</v>
      </c>
      <c r="AC150" s="69" t="str">
        <f t="shared" si="67"/>
        <v/>
      </c>
      <c r="AD150" s="65">
        <f t="shared" si="68"/>
        <v>0</v>
      </c>
    </row>
    <row r="151" spans="2:43" hidden="1" outlineLevel="1" x14ac:dyDescent="0.2">
      <c r="B151" s="246">
        <f t="shared" si="65"/>
        <v>0</v>
      </c>
      <c r="C151" s="52">
        <v>19</v>
      </c>
      <c r="D151" s="79"/>
      <c r="E151" s="599"/>
      <c r="F151" s="635"/>
      <c r="G151" s="636"/>
      <c r="H151" s="138"/>
      <c r="I151" s="227"/>
      <c r="J151" s="42"/>
      <c r="K151" s="42"/>
      <c r="L151" s="42"/>
      <c r="M151" s="42"/>
      <c r="N151" s="42"/>
      <c r="O151" s="42"/>
      <c r="P151" s="138"/>
      <c r="Q151" s="227"/>
      <c r="R151" s="227"/>
      <c r="S151" s="138"/>
      <c r="AA151" s="52">
        <v>19</v>
      </c>
      <c r="AB151" s="68" t="str">
        <f t="shared" si="66"/>
        <v>** NOT USED **</v>
      </c>
      <c r="AC151" s="69" t="str">
        <f t="shared" si="67"/>
        <v/>
      </c>
      <c r="AD151" s="65">
        <f t="shared" si="68"/>
        <v>0</v>
      </c>
    </row>
    <row r="152" spans="2:43" hidden="1" outlineLevel="1" x14ac:dyDescent="0.2">
      <c r="B152" s="246">
        <f t="shared" si="65"/>
        <v>0</v>
      </c>
      <c r="C152" s="52">
        <v>20</v>
      </c>
      <c r="D152" s="79"/>
      <c r="E152" s="599"/>
      <c r="F152" s="635"/>
      <c r="G152" s="636"/>
      <c r="H152" s="138"/>
      <c r="I152" s="227"/>
      <c r="J152" s="42"/>
      <c r="K152" s="42"/>
      <c r="L152" s="42"/>
      <c r="M152" s="42"/>
      <c r="N152" s="42"/>
      <c r="O152" s="42"/>
      <c r="P152" s="138"/>
      <c r="Q152" s="227"/>
      <c r="R152" s="227"/>
      <c r="S152" s="138"/>
      <c r="AA152" s="52">
        <v>20</v>
      </c>
      <c r="AB152" s="68" t="str">
        <f t="shared" si="66"/>
        <v>** NOT USED **</v>
      </c>
      <c r="AC152" s="69" t="str">
        <f t="shared" si="67"/>
        <v/>
      </c>
      <c r="AD152" s="65">
        <f t="shared" si="68"/>
        <v>0</v>
      </c>
    </row>
    <row r="153" spans="2:43" hidden="1" outlineLevel="1" x14ac:dyDescent="0.2">
      <c r="B153" s="246">
        <f>SUM(B133:B152)</f>
        <v>0</v>
      </c>
      <c r="C153" s="246">
        <f>COUNTA(D133:D152)</f>
        <v>0</v>
      </c>
    </row>
    <row r="154" spans="2:43" ht="12.75" customHeight="1" collapsed="1" x14ac:dyDescent="0.2"/>
    <row r="155" spans="2:43" ht="15.75" x14ac:dyDescent="0.2">
      <c r="D155" s="111" t="s">
        <v>859</v>
      </c>
      <c r="E155" s="116"/>
      <c r="F155" s="116"/>
      <c r="G155" s="116"/>
      <c r="H155" s="116"/>
      <c r="I155" s="605" t="str">
        <f>IF(B178=0,MsgNotUsed,"")</f>
        <v>** NOT USED **</v>
      </c>
      <c r="J155" s="606"/>
      <c r="K155" s="116"/>
      <c r="L155" s="116"/>
      <c r="M155" s="116"/>
      <c r="N155" s="116"/>
      <c r="O155" s="116"/>
      <c r="P155" s="116"/>
      <c r="Q155" s="116"/>
      <c r="R155" s="116"/>
      <c r="S155" s="116"/>
      <c r="T155" s="116"/>
      <c r="U155" s="116"/>
      <c r="V155" s="116"/>
      <c r="W155" s="116"/>
      <c r="X155" s="116"/>
      <c r="Y155" s="116"/>
      <c r="Z155" s="116"/>
      <c r="AA155" s="116"/>
      <c r="AB155" s="116"/>
      <c r="AC155" s="116"/>
      <c r="AD155" s="116"/>
      <c r="AE155" s="116"/>
      <c r="AF155" s="116"/>
      <c r="AG155" s="116"/>
      <c r="AH155" s="116"/>
      <c r="AI155" s="116"/>
      <c r="AJ155" s="116"/>
      <c r="AK155" s="116"/>
      <c r="AL155" s="116"/>
      <c r="AM155" s="116"/>
      <c r="AN155" s="116"/>
      <c r="AO155" s="116"/>
      <c r="AP155" s="116"/>
      <c r="AQ155" s="116"/>
    </row>
    <row r="156" spans="2:43" ht="14.25" hidden="1" customHeight="1" outlineLevel="1" x14ac:dyDescent="0.2">
      <c r="K156" s="22"/>
      <c r="L156" s="22"/>
      <c r="M156" s="22"/>
    </row>
    <row r="157" spans="2:43" ht="38.25" hidden="1" outlineLevel="1" x14ac:dyDescent="0.2">
      <c r="D157" s="5" t="s">
        <v>800</v>
      </c>
      <c r="E157" s="596" t="s">
        <v>107</v>
      </c>
      <c r="F157" s="597"/>
      <c r="G157" s="598"/>
      <c r="H157" s="75" t="s">
        <v>106</v>
      </c>
      <c r="I157" s="5" t="s">
        <v>56</v>
      </c>
      <c r="J157" s="5" t="s">
        <v>91</v>
      </c>
      <c r="K157" s="5" t="s">
        <v>92</v>
      </c>
      <c r="L157" s="5" t="s">
        <v>93</v>
      </c>
      <c r="M157" s="5" t="s">
        <v>94</v>
      </c>
      <c r="N157" s="5" t="s">
        <v>95</v>
      </c>
      <c r="O157" s="5" t="s">
        <v>96</v>
      </c>
      <c r="P157" s="5" t="s">
        <v>98</v>
      </c>
      <c r="Q157" s="5" t="s">
        <v>99</v>
      </c>
      <c r="R157" s="5" t="s">
        <v>97</v>
      </c>
      <c r="S157" s="5" t="s">
        <v>102</v>
      </c>
      <c r="T157" s="5" t="s">
        <v>103</v>
      </c>
      <c r="U157" s="480"/>
      <c r="V157" s="480"/>
      <c r="W157" s="480"/>
      <c r="AB157" s="202" t="s">
        <v>270</v>
      </c>
    </row>
    <row r="158" spans="2:43" hidden="1" outlineLevel="1" x14ac:dyDescent="0.2">
      <c r="B158" s="246">
        <f t="shared" ref="B158:B177" si="69">IF(D158&lt;&gt;MsgNotUsed,1,0)</f>
        <v>0</v>
      </c>
      <c r="C158" s="249">
        <v>1</v>
      </c>
      <c r="D158" s="269" t="str">
        <f t="shared" ref="D158:D177" si="70">IF(D105&lt;&gt;"",D105,IF(D133&lt;&gt;"",D133,MsgNotUsed))</f>
        <v>** NOT USED **</v>
      </c>
      <c r="E158" s="632" t="str">
        <f t="shared" ref="E158:E177" si="71">IF($D105&lt;&gt;"",E105,IF($D133&lt;&gt;"",E133,""))</f>
        <v/>
      </c>
      <c r="F158" s="633"/>
      <c r="G158" s="634"/>
      <c r="H158" s="149" t="str">
        <f t="shared" ref="H158:H177" si="72">IF($D105&lt;&gt;"",H105,IF($D133&lt;&gt;"",H133,""))</f>
        <v/>
      </c>
      <c r="I158" s="149" t="str">
        <f t="shared" ref="I158:O158" si="73">IF($D105&lt;&gt;"",I105,IF($D133&lt;&gt;"",I133,""))</f>
        <v/>
      </c>
      <c r="J158" s="57" t="str">
        <f t="shared" si="73"/>
        <v/>
      </c>
      <c r="K158" s="57" t="str">
        <f t="shared" si="73"/>
        <v/>
      </c>
      <c r="L158" s="57" t="str">
        <f t="shared" si="73"/>
        <v/>
      </c>
      <c r="M158" s="57" t="str">
        <f t="shared" si="73"/>
        <v/>
      </c>
      <c r="N158" s="57" t="str">
        <f t="shared" si="73"/>
        <v/>
      </c>
      <c r="O158" s="57" t="str">
        <f t="shared" si="73"/>
        <v/>
      </c>
      <c r="P158" s="57">
        <f>SUM($J158:$M158)</f>
        <v>0</v>
      </c>
      <c r="Q158" s="57">
        <f>SUM($N158:$O158)</f>
        <v>0</v>
      </c>
      <c r="R158" s="57">
        <f>P158+Q158</f>
        <v>0</v>
      </c>
      <c r="S158" s="350">
        <f>IF(AND(P158&lt;&gt;0,R158&lt;&gt;0),P158/R158,0)</f>
        <v>0</v>
      </c>
      <c r="T158" s="350">
        <f>IF(AND(Q158&lt;&gt;0,R158&lt;&gt;0),Q158/R158,0)</f>
        <v>0</v>
      </c>
      <c r="U158" s="480"/>
      <c r="V158" s="480"/>
      <c r="W158" s="480"/>
      <c r="X158" s="451"/>
      <c r="Z158" s="451"/>
      <c r="AA158" s="52">
        <v>1</v>
      </c>
      <c r="AB158" s="65" t="str">
        <f t="shared" ref="AB158:AB177" si="74">IF(D158&lt;&gt;MsgNotUsed,CONCATENATE(H158," - ",D158," ",E158, " - ",I158),MsgNotUsed)</f>
        <v>** NOT USED **</v>
      </c>
    </row>
    <row r="159" spans="2:43" hidden="1" outlineLevel="1" x14ac:dyDescent="0.2">
      <c r="B159" s="246">
        <f t="shared" si="69"/>
        <v>0</v>
      </c>
      <c r="C159" s="249">
        <v>2</v>
      </c>
      <c r="D159" s="269" t="str">
        <f t="shared" si="70"/>
        <v>** NOT USED **</v>
      </c>
      <c r="E159" s="632" t="str">
        <f t="shared" si="71"/>
        <v/>
      </c>
      <c r="F159" s="633"/>
      <c r="G159" s="634"/>
      <c r="H159" s="149" t="str">
        <f t="shared" si="72"/>
        <v/>
      </c>
      <c r="I159" s="149" t="str">
        <f t="shared" ref="I159:O168" si="75">IF($D106&lt;&gt;"",I106,IF($D134&lt;&gt;"",I134,""))</f>
        <v/>
      </c>
      <c r="J159" s="57" t="str">
        <f t="shared" si="75"/>
        <v/>
      </c>
      <c r="K159" s="57" t="str">
        <f t="shared" si="75"/>
        <v/>
      </c>
      <c r="L159" s="57" t="str">
        <f t="shared" si="75"/>
        <v/>
      </c>
      <c r="M159" s="57" t="str">
        <f t="shared" si="75"/>
        <v/>
      </c>
      <c r="N159" s="57" t="str">
        <f t="shared" si="75"/>
        <v/>
      </c>
      <c r="O159" s="57" t="str">
        <f t="shared" si="75"/>
        <v/>
      </c>
      <c r="P159" s="57">
        <f t="shared" ref="P159:P177" si="76">SUM($J159:$M159)</f>
        <v>0</v>
      </c>
      <c r="Q159" s="57">
        <f t="shared" ref="Q159:Q177" si="77">SUM($N159:$O159)</f>
        <v>0</v>
      </c>
      <c r="R159" s="57">
        <f t="shared" ref="R159:R167" si="78">Q159+P159</f>
        <v>0</v>
      </c>
      <c r="S159" s="45">
        <f t="shared" ref="S159:S167" si="79">IF(AND(P159&lt;&gt;0,R159&lt;&gt;0),P159/R159,0)</f>
        <v>0</v>
      </c>
      <c r="T159" s="45">
        <f t="shared" ref="T159:T167" si="80">IF(AND(Q159&lt;&gt;0,R159&lt;&gt;0),Q159/R159,0)</f>
        <v>0</v>
      </c>
      <c r="U159" s="480"/>
      <c r="V159" s="480"/>
      <c r="W159" s="480"/>
      <c r="X159" s="451"/>
      <c r="Z159" s="451"/>
      <c r="AA159" s="52">
        <v>2</v>
      </c>
      <c r="AB159" s="65" t="str">
        <f t="shared" si="74"/>
        <v>** NOT USED **</v>
      </c>
    </row>
    <row r="160" spans="2:43" hidden="1" outlineLevel="1" x14ac:dyDescent="0.2">
      <c r="B160" s="246">
        <f t="shared" si="69"/>
        <v>0</v>
      </c>
      <c r="C160" s="249">
        <v>3</v>
      </c>
      <c r="D160" s="269" t="str">
        <f t="shared" si="70"/>
        <v>** NOT USED **</v>
      </c>
      <c r="E160" s="632" t="str">
        <f t="shared" si="71"/>
        <v/>
      </c>
      <c r="F160" s="633"/>
      <c r="G160" s="634"/>
      <c r="H160" s="149" t="str">
        <f t="shared" si="72"/>
        <v/>
      </c>
      <c r="I160" s="149" t="str">
        <f t="shared" si="75"/>
        <v/>
      </c>
      <c r="J160" s="57" t="str">
        <f t="shared" si="75"/>
        <v/>
      </c>
      <c r="K160" s="57" t="str">
        <f t="shared" si="75"/>
        <v/>
      </c>
      <c r="L160" s="57" t="str">
        <f t="shared" si="75"/>
        <v/>
      </c>
      <c r="M160" s="57" t="str">
        <f t="shared" si="75"/>
        <v/>
      </c>
      <c r="N160" s="57" t="str">
        <f t="shared" si="75"/>
        <v/>
      </c>
      <c r="O160" s="57" t="str">
        <f t="shared" si="75"/>
        <v/>
      </c>
      <c r="P160" s="57">
        <f t="shared" si="76"/>
        <v>0</v>
      </c>
      <c r="Q160" s="57">
        <f t="shared" si="77"/>
        <v>0</v>
      </c>
      <c r="R160" s="57">
        <f t="shared" si="78"/>
        <v>0</v>
      </c>
      <c r="S160" s="45">
        <f t="shared" si="79"/>
        <v>0</v>
      </c>
      <c r="T160" s="45">
        <f t="shared" si="80"/>
        <v>0</v>
      </c>
      <c r="U160" s="480"/>
      <c r="V160" s="480"/>
      <c r="W160" s="480"/>
      <c r="X160" s="451"/>
      <c r="Z160" s="451"/>
      <c r="AA160" s="52">
        <v>3</v>
      </c>
      <c r="AB160" s="65" t="str">
        <f t="shared" si="74"/>
        <v>** NOT USED **</v>
      </c>
    </row>
    <row r="161" spans="2:28" hidden="1" outlineLevel="1" x14ac:dyDescent="0.2">
      <c r="B161" s="246">
        <f t="shared" si="69"/>
        <v>0</v>
      </c>
      <c r="C161" s="249">
        <v>4</v>
      </c>
      <c r="D161" s="269" t="str">
        <f t="shared" si="70"/>
        <v>** NOT USED **</v>
      </c>
      <c r="E161" s="632" t="str">
        <f t="shared" si="71"/>
        <v/>
      </c>
      <c r="F161" s="633"/>
      <c r="G161" s="634"/>
      <c r="H161" s="149" t="str">
        <f t="shared" si="72"/>
        <v/>
      </c>
      <c r="I161" s="149" t="str">
        <f t="shared" si="75"/>
        <v/>
      </c>
      <c r="J161" s="57" t="str">
        <f t="shared" si="75"/>
        <v/>
      </c>
      <c r="K161" s="57" t="str">
        <f t="shared" si="75"/>
        <v/>
      </c>
      <c r="L161" s="57" t="str">
        <f t="shared" si="75"/>
        <v/>
      </c>
      <c r="M161" s="57" t="str">
        <f t="shared" si="75"/>
        <v/>
      </c>
      <c r="N161" s="57" t="str">
        <f t="shared" si="75"/>
        <v/>
      </c>
      <c r="O161" s="57" t="str">
        <f t="shared" si="75"/>
        <v/>
      </c>
      <c r="P161" s="57">
        <f t="shared" si="76"/>
        <v>0</v>
      </c>
      <c r="Q161" s="57">
        <f t="shared" si="77"/>
        <v>0</v>
      </c>
      <c r="R161" s="57">
        <f t="shared" si="78"/>
        <v>0</v>
      </c>
      <c r="S161" s="45">
        <f t="shared" si="79"/>
        <v>0</v>
      </c>
      <c r="T161" s="45">
        <f t="shared" si="80"/>
        <v>0</v>
      </c>
      <c r="U161" s="480"/>
      <c r="V161" s="480"/>
      <c r="W161" s="480"/>
      <c r="X161" s="451"/>
      <c r="Z161" s="451"/>
      <c r="AA161" s="52">
        <v>4</v>
      </c>
      <c r="AB161" s="65" t="str">
        <f t="shared" si="74"/>
        <v>** NOT USED **</v>
      </c>
    </row>
    <row r="162" spans="2:28" hidden="1" outlineLevel="1" x14ac:dyDescent="0.2">
      <c r="B162" s="246">
        <f t="shared" si="69"/>
        <v>0</v>
      </c>
      <c r="C162" s="249">
        <v>5</v>
      </c>
      <c r="D162" s="269" t="str">
        <f t="shared" si="70"/>
        <v>** NOT USED **</v>
      </c>
      <c r="E162" s="632" t="str">
        <f t="shared" si="71"/>
        <v/>
      </c>
      <c r="F162" s="633"/>
      <c r="G162" s="634"/>
      <c r="H162" s="149" t="str">
        <f t="shared" si="72"/>
        <v/>
      </c>
      <c r="I162" s="149" t="str">
        <f t="shared" si="75"/>
        <v/>
      </c>
      <c r="J162" s="57" t="str">
        <f t="shared" si="75"/>
        <v/>
      </c>
      <c r="K162" s="57" t="str">
        <f t="shared" si="75"/>
        <v/>
      </c>
      <c r="L162" s="57" t="str">
        <f t="shared" si="75"/>
        <v/>
      </c>
      <c r="M162" s="57" t="str">
        <f t="shared" si="75"/>
        <v/>
      </c>
      <c r="N162" s="57" t="str">
        <f t="shared" si="75"/>
        <v/>
      </c>
      <c r="O162" s="57" t="str">
        <f t="shared" si="75"/>
        <v/>
      </c>
      <c r="P162" s="57">
        <f t="shared" si="76"/>
        <v>0</v>
      </c>
      <c r="Q162" s="57">
        <f t="shared" si="77"/>
        <v>0</v>
      </c>
      <c r="R162" s="57">
        <f t="shared" si="78"/>
        <v>0</v>
      </c>
      <c r="S162" s="45">
        <f t="shared" si="79"/>
        <v>0</v>
      </c>
      <c r="T162" s="45">
        <f t="shared" si="80"/>
        <v>0</v>
      </c>
      <c r="U162" s="480"/>
      <c r="V162" s="480"/>
      <c r="W162" s="480"/>
      <c r="X162" s="451"/>
      <c r="Z162" s="451"/>
      <c r="AA162" s="52">
        <v>5</v>
      </c>
      <c r="AB162" s="65" t="str">
        <f t="shared" si="74"/>
        <v>** NOT USED **</v>
      </c>
    </row>
    <row r="163" spans="2:28" hidden="1" outlineLevel="1" x14ac:dyDescent="0.2">
      <c r="B163" s="246">
        <f t="shared" si="69"/>
        <v>0</v>
      </c>
      <c r="C163" s="249">
        <v>6</v>
      </c>
      <c r="D163" s="269" t="str">
        <f t="shared" si="70"/>
        <v>** NOT USED **</v>
      </c>
      <c r="E163" s="632" t="str">
        <f t="shared" si="71"/>
        <v/>
      </c>
      <c r="F163" s="633"/>
      <c r="G163" s="634"/>
      <c r="H163" s="149" t="str">
        <f t="shared" si="72"/>
        <v/>
      </c>
      <c r="I163" s="149" t="str">
        <f t="shared" si="75"/>
        <v/>
      </c>
      <c r="J163" s="57" t="str">
        <f t="shared" si="75"/>
        <v/>
      </c>
      <c r="K163" s="57" t="str">
        <f t="shared" si="75"/>
        <v/>
      </c>
      <c r="L163" s="57" t="str">
        <f t="shared" si="75"/>
        <v/>
      </c>
      <c r="M163" s="57" t="str">
        <f t="shared" si="75"/>
        <v/>
      </c>
      <c r="N163" s="57" t="str">
        <f t="shared" si="75"/>
        <v/>
      </c>
      <c r="O163" s="57" t="str">
        <f t="shared" si="75"/>
        <v/>
      </c>
      <c r="P163" s="57">
        <f t="shared" si="76"/>
        <v>0</v>
      </c>
      <c r="Q163" s="57">
        <f t="shared" si="77"/>
        <v>0</v>
      </c>
      <c r="R163" s="57">
        <f t="shared" si="78"/>
        <v>0</v>
      </c>
      <c r="S163" s="45">
        <f t="shared" si="79"/>
        <v>0</v>
      </c>
      <c r="T163" s="45">
        <f t="shared" si="80"/>
        <v>0</v>
      </c>
      <c r="U163" s="480"/>
      <c r="V163" s="480"/>
      <c r="W163" s="480"/>
      <c r="X163" s="451"/>
      <c r="Z163" s="451"/>
      <c r="AA163" s="52">
        <v>6</v>
      </c>
      <c r="AB163" s="65" t="str">
        <f t="shared" si="74"/>
        <v>** NOT USED **</v>
      </c>
    </row>
    <row r="164" spans="2:28" hidden="1" outlineLevel="1" x14ac:dyDescent="0.2">
      <c r="B164" s="246">
        <f t="shared" si="69"/>
        <v>0</v>
      </c>
      <c r="C164" s="249">
        <v>7</v>
      </c>
      <c r="D164" s="269" t="str">
        <f t="shared" si="70"/>
        <v>** NOT USED **</v>
      </c>
      <c r="E164" s="632" t="str">
        <f t="shared" si="71"/>
        <v/>
      </c>
      <c r="F164" s="633"/>
      <c r="G164" s="634"/>
      <c r="H164" s="149" t="str">
        <f t="shared" si="72"/>
        <v/>
      </c>
      <c r="I164" s="149" t="str">
        <f t="shared" si="75"/>
        <v/>
      </c>
      <c r="J164" s="57" t="str">
        <f t="shared" si="75"/>
        <v/>
      </c>
      <c r="K164" s="57" t="str">
        <f t="shared" si="75"/>
        <v/>
      </c>
      <c r="L164" s="57" t="str">
        <f t="shared" si="75"/>
        <v/>
      </c>
      <c r="M164" s="57" t="str">
        <f t="shared" si="75"/>
        <v/>
      </c>
      <c r="N164" s="57" t="str">
        <f t="shared" si="75"/>
        <v/>
      </c>
      <c r="O164" s="57" t="str">
        <f t="shared" si="75"/>
        <v/>
      </c>
      <c r="P164" s="57">
        <f t="shared" si="76"/>
        <v>0</v>
      </c>
      <c r="Q164" s="57">
        <f t="shared" si="77"/>
        <v>0</v>
      </c>
      <c r="R164" s="57">
        <f t="shared" si="78"/>
        <v>0</v>
      </c>
      <c r="S164" s="45">
        <f t="shared" si="79"/>
        <v>0</v>
      </c>
      <c r="T164" s="45">
        <f t="shared" si="80"/>
        <v>0</v>
      </c>
      <c r="U164" s="480"/>
      <c r="V164" s="480"/>
      <c r="W164" s="480"/>
      <c r="X164" s="451"/>
      <c r="Z164" s="451"/>
      <c r="AA164" s="52">
        <v>7</v>
      </c>
      <c r="AB164" s="65" t="str">
        <f t="shared" si="74"/>
        <v>** NOT USED **</v>
      </c>
    </row>
    <row r="165" spans="2:28" hidden="1" outlineLevel="1" x14ac:dyDescent="0.2">
      <c r="B165" s="246">
        <f t="shared" si="69"/>
        <v>0</v>
      </c>
      <c r="C165" s="249">
        <v>8</v>
      </c>
      <c r="D165" s="269" t="str">
        <f t="shared" si="70"/>
        <v>** NOT USED **</v>
      </c>
      <c r="E165" s="632" t="str">
        <f t="shared" si="71"/>
        <v/>
      </c>
      <c r="F165" s="633"/>
      <c r="G165" s="634"/>
      <c r="H165" s="149" t="str">
        <f t="shared" si="72"/>
        <v/>
      </c>
      <c r="I165" s="149" t="str">
        <f t="shared" si="75"/>
        <v/>
      </c>
      <c r="J165" s="57" t="str">
        <f t="shared" si="75"/>
        <v/>
      </c>
      <c r="K165" s="57" t="str">
        <f t="shared" si="75"/>
        <v/>
      </c>
      <c r="L165" s="57" t="str">
        <f t="shared" si="75"/>
        <v/>
      </c>
      <c r="M165" s="57" t="str">
        <f t="shared" si="75"/>
        <v/>
      </c>
      <c r="N165" s="57" t="str">
        <f t="shared" si="75"/>
        <v/>
      </c>
      <c r="O165" s="57" t="str">
        <f t="shared" si="75"/>
        <v/>
      </c>
      <c r="P165" s="57">
        <f t="shared" si="76"/>
        <v>0</v>
      </c>
      <c r="Q165" s="57">
        <f t="shared" si="77"/>
        <v>0</v>
      </c>
      <c r="R165" s="57">
        <f t="shared" si="78"/>
        <v>0</v>
      </c>
      <c r="S165" s="45">
        <f t="shared" si="79"/>
        <v>0</v>
      </c>
      <c r="T165" s="45">
        <f t="shared" si="80"/>
        <v>0</v>
      </c>
      <c r="U165" s="480"/>
      <c r="V165" s="480"/>
      <c r="W165" s="480"/>
      <c r="X165" s="451"/>
      <c r="Z165" s="451"/>
      <c r="AA165" s="52">
        <v>8</v>
      </c>
      <c r="AB165" s="65" t="str">
        <f t="shared" si="74"/>
        <v>** NOT USED **</v>
      </c>
    </row>
    <row r="166" spans="2:28" hidden="1" outlineLevel="1" x14ac:dyDescent="0.2">
      <c r="B166" s="246">
        <f t="shared" si="69"/>
        <v>0</v>
      </c>
      <c r="C166" s="249">
        <v>9</v>
      </c>
      <c r="D166" s="269" t="str">
        <f t="shared" si="70"/>
        <v>** NOT USED **</v>
      </c>
      <c r="E166" s="632" t="str">
        <f t="shared" si="71"/>
        <v/>
      </c>
      <c r="F166" s="633"/>
      <c r="G166" s="634"/>
      <c r="H166" s="149" t="str">
        <f t="shared" si="72"/>
        <v/>
      </c>
      <c r="I166" s="149" t="str">
        <f t="shared" si="75"/>
        <v/>
      </c>
      <c r="J166" s="57" t="str">
        <f t="shared" si="75"/>
        <v/>
      </c>
      <c r="K166" s="57" t="str">
        <f t="shared" si="75"/>
        <v/>
      </c>
      <c r="L166" s="57" t="str">
        <f t="shared" si="75"/>
        <v/>
      </c>
      <c r="M166" s="57" t="str">
        <f t="shared" si="75"/>
        <v/>
      </c>
      <c r="N166" s="57" t="str">
        <f t="shared" si="75"/>
        <v/>
      </c>
      <c r="O166" s="57" t="str">
        <f t="shared" si="75"/>
        <v/>
      </c>
      <c r="P166" s="57">
        <f t="shared" si="76"/>
        <v>0</v>
      </c>
      <c r="Q166" s="57">
        <f t="shared" si="77"/>
        <v>0</v>
      </c>
      <c r="R166" s="57">
        <f t="shared" si="78"/>
        <v>0</v>
      </c>
      <c r="S166" s="45">
        <f t="shared" si="79"/>
        <v>0</v>
      </c>
      <c r="T166" s="45">
        <f t="shared" si="80"/>
        <v>0</v>
      </c>
      <c r="U166" s="480"/>
      <c r="V166" s="480"/>
      <c r="W166" s="480"/>
      <c r="X166" s="451"/>
      <c r="Z166" s="451"/>
      <c r="AA166" s="52">
        <v>9</v>
      </c>
      <c r="AB166" s="65" t="str">
        <f t="shared" si="74"/>
        <v>** NOT USED **</v>
      </c>
    </row>
    <row r="167" spans="2:28" hidden="1" outlineLevel="1" x14ac:dyDescent="0.2">
      <c r="B167" s="246">
        <f t="shared" si="69"/>
        <v>0</v>
      </c>
      <c r="C167" s="249">
        <v>10</v>
      </c>
      <c r="D167" s="269" t="str">
        <f t="shared" si="70"/>
        <v>** NOT USED **</v>
      </c>
      <c r="E167" s="632" t="str">
        <f t="shared" si="71"/>
        <v/>
      </c>
      <c r="F167" s="633"/>
      <c r="G167" s="634"/>
      <c r="H167" s="149" t="str">
        <f t="shared" si="72"/>
        <v/>
      </c>
      <c r="I167" s="149" t="str">
        <f t="shared" si="75"/>
        <v/>
      </c>
      <c r="J167" s="57" t="str">
        <f t="shared" si="75"/>
        <v/>
      </c>
      <c r="K167" s="57" t="str">
        <f t="shared" si="75"/>
        <v/>
      </c>
      <c r="L167" s="57" t="str">
        <f t="shared" si="75"/>
        <v/>
      </c>
      <c r="M167" s="57" t="str">
        <f t="shared" si="75"/>
        <v/>
      </c>
      <c r="N167" s="57" t="str">
        <f t="shared" si="75"/>
        <v/>
      </c>
      <c r="O167" s="57" t="str">
        <f t="shared" si="75"/>
        <v/>
      </c>
      <c r="P167" s="57">
        <f t="shared" si="76"/>
        <v>0</v>
      </c>
      <c r="Q167" s="57">
        <f t="shared" si="77"/>
        <v>0</v>
      </c>
      <c r="R167" s="57">
        <f t="shared" si="78"/>
        <v>0</v>
      </c>
      <c r="S167" s="45">
        <f t="shared" si="79"/>
        <v>0</v>
      </c>
      <c r="T167" s="45">
        <f t="shared" si="80"/>
        <v>0</v>
      </c>
      <c r="U167" s="480"/>
      <c r="V167" s="480"/>
      <c r="W167" s="480"/>
      <c r="X167" s="451"/>
      <c r="Z167" s="451"/>
      <c r="AA167" s="52">
        <v>10</v>
      </c>
      <c r="AB167" s="65" t="str">
        <f t="shared" si="74"/>
        <v>** NOT USED **</v>
      </c>
    </row>
    <row r="168" spans="2:28" hidden="1" outlineLevel="1" x14ac:dyDescent="0.2">
      <c r="B168" s="246">
        <f t="shared" si="69"/>
        <v>0</v>
      </c>
      <c r="C168" s="249">
        <v>11</v>
      </c>
      <c r="D168" s="269" t="str">
        <f t="shared" si="70"/>
        <v>** NOT USED **</v>
      </c>
      <c r="E168" s="632" t="str">
        <f t="shared" si="71"/>
        <v/>
      </c>
      <c r="F168" s="633"/>
      <c r="G168" s="634"/>
      <c r="H168" s="149" t="str">
        <f t="shared" si="72"/>
        <v/>
      </c>
      <c r="I168" s="149" t="str">
        <f t="shared" si="75"/>
        <v/>
      </c>
      <c r="J168" s="57" t="str">
        <f t="shared" si="75"/>
        <v/>
      </c>
      <c r="K168" s="57" t="str">
        <f t="shared" si="75"/>
        <v/>
      </c>
      <c r="L168" s="57" t="str">
        <f t="shared" si="75"/>
        <v/>
      </c>
      <c r="M168" s="57" t="str">
        <f t="shared" si="75"/>
        <v/>
      </c>
      <c r="N168" s="57" t="str">
        <f t="shared" si="75"/>
        <v/>
      </c>
      <c r="O168" s="57" t="str">
        <f t="shared" si="75"/>
        <v/>
      </c>
      <c r="P168" s="57">
        <f t="shared" si="76"/>
        <v>0</v>
      </c>
      <c r="Q168" s="57">
        <f t="shared" si="77"/>
        <v>0</v>
      </c>
      <c r="R168" s="57">
        <f t="shared" ref="R168:R177" si="81">Q168+P168</f>
        <v>0</v>
      </c>
      <c r="S168" s="45">
        <f t="shared" ref="S168:S177" si="82">IF(AND(P168&lt;&gt;0,R168&lt;&gt;0),P168/R168,0)</f>
        <v>0</v>
      </c>
      <c r="T168" s="45">
        <f t="shared" ref="T168:T177" si="83">IF(AND(Q168&lt;&gt;0,R168&lt;&gt;0),Q168/R168,0)</f>
        <v>0</v>
      </c>
      <c r="X168" s="451"/>
      <c r="Z168" s="451"/>
      <c r="AA168" s="52">
        <v>11</v>
      </c>
      <c r="AB168" s="65" t="str">
        <f t="shared" si="74"/>
        <v>** NOT USED **</v>
      </c>
    </row>
    <row r="169" spans="2:28" hidden="1" outlineLevel="1" x14ac:dyDescent="0.2">
      <c r="B169" s="246">
        <f t="shared" si="69"/>
        <v>0</v>
      </c>
      <c r="C169" s="249">
        <v>12</v>
      </c>
      <c r="D169" s="269" t="str">
        <f t="shared" si="70"/>
        <v>** NOT USED **</v>
      </c>
      <c r="E169" s="632" t="str">
        <f t="shared" si="71"/>
        <v/>
      </c>
      <c r="F169" s="633"/>
      <c r="G169" s="634"/>
      <c r="H169" s="149" t="str">
        <f t="shared" si="72"/>
        <v/>
      </c>
      <c r="I169" s="149" t="str">
        <f t="shared" ref="I169:O177" si="84">IF($D116&lt;&gt;"",I116,IF($D144&lt;&gt;"",I144,""))</f>
        <v/>
      </c>
      <c r="J169" s="57" t="str">
        <f t="shared" si="84"/>
        <v/>
      </c>
      <c r="K169" s="57" t="str">
        <f t="shared" si="84"/>
        <v/>
      </c>
      <c r="L169" s="57" t="str">
        <f t="shared" si="84"/>
        <v/>
      </c>
      <c r="M169" s="57" t="str">
        <f t="shared" si="84"/>
        <v/>
      </c>
      <c r="N169" s="57" t="str">
        <f t="shared" si="84"/>
        <v/>
      </c>
      <c r="O169" s="57" t="str">
        <f t="shared" si="84"/>
        <v/>
      </c>
      <c r="P169" s="57">
        <f t="shared" si="76"/>
        <v>0</v>
      </c>
      <c r="Q169" s="57">
        <f t="shared" si="77"/>
        <v>0</v>
      </c>
      <c r="R169" s="57">
        <f t="shared" si="81"/>
        <v>0</v>
      </c>
      <c r="S169" s="45">
        <f t="shared" si="82"/>
        <v>0</v>
      </c>
      <c r="T169" s="45">
        <f t="shared" si="83"/>
        <v>0</v>
      </c>
      <c r="X169" s="451"/>
      <c r="Z169" s="451"/>
      <c r="AA169" s="52">
        <v>12</v>
      </c>
      <c r="AB169" s="65" t="str">
        <f t="shared" si="74"/>
        <v>** NOT USED **</v>
      </c>
    </row>
    <row r="170" spans="2:28" hidden="1" outlineLevel="1" x14ac:dyDescent="0.2">
      <c r="B170" s="246">
        <f t="shared" si="69"/>
        <v>0</v>
      </c>
      <c r="C170" s="249">
        <v>13</v>
      </c>
      <c r="D170" s="269" t="str">
        <f t="shared" si="70"/>
        <v>** NOT USED **</v>
      </c>
      <c r="E170" s="632" t="str">
        <f t="shared" si="71"/>
        <v/>
      </c>
      <c r="F170" s="633"/>
      <c r="G170" s="634"/>
      <c r="H170" s="149" t="str">
        <f t="shared" si="72"/>
        <v/>
      </c>
      <c r="I170" s="149" t="str">
        <f t="shared" si="84"/>
        <v/>
      </c>
      <c r="J170" s="57" t="str">
        <f t="shared" si="84"/>
        <v/>
      </c>
      <c r="K170" s="57" t="str">
        <f t="shared" si="84"/>
        <v/>
      </c>
      <c r="L170" s="57" t="str">
        <f t="shared" si="84"/>
        <v/>
      </c>
      <c r="M170" s="57" t="str">
        <f t="shared" si="84"/>
        <v/>
      </c>
      <c r="N170" s="57" t="str">
        <f t="shared" si="84"/>
        <v/>
      </c>
      <c r="O170" s="57" t="str">
        <f t="shared" si="84"/>
        <v/>
      </c>
      <c r="P170" s="57">
        <f t="shared" si="76"/>
        <v>0</v>
      </c>
      <c r="Q170" s="57">
        <f t="shared" si="77"/>
        <v>0</v>
      </c>
      <c r="R170" s="57">
        <f t="shared" si="81"/>
        <v>0</v>
      </c>
      <c r="S170" s="45">
        <f t="shared" si="82"/>
        <v>0</v>
      </c>
      <c r="T170" s="45">
        <f t="shared" si="83"/>
        <v>0</v>
      </c>
      <c r="X170" s="451"/>
      <c r="Z170" s="451"/>
      <c r="AA170" s="52">
        <v>13</v>
      </c>
      <c r="AB170" s="65" t="str">
        <f t="shared" si="74"/>
        <v>** NOT USED **</v>
      </c>
    </row>
    <row r="171" spans="2:28" hidden="1" outlineLevel="1" x14ac:dyDescent="0.2">
      <c r="B171" s="246">
        <f t="shared" si="69"/>
        <v>0</v>
      </c>
      <c r="C171" s="249">
        <v>14</v>
      </c>
      <c r="D171" s="269" t="str">
        <f t="shared" si="70"/>
        <v>** NOT USED **</v>
      </c>
      <c r="E171" s="632" t="str">
        <f t="shared" si="71"/>
        <v/>
      </c>
      <c r="F171" s="633"/>
      <c r="G171" s="634"/>
      <c r="H171" s="149" t="str">
        <f t="shared" si="72"/>
        <v/>
      </c>
      <c r="I171" s="149" t="str">
        <f t="shared" si="84"/>
        <v/>
      </c>
      <c r="J171" s="57" t="str">
        <f t="shared" si="84"/>
        <v/>
      </c>
      <c r="K171" s="57" t="str">
        <f t="shared" si="84"/>
        <v/>
      </c>
      <c r="L171" s="57" t="str">
        <f t="shared" si="84"/>
        <v/>
      </c>
      <c r="M171" s="57" t="str">
        <f t="shared" si="84"/>
        <v/>
      </c>
      <c r="N171" s="57" t="str">
        <f t="shared" si="84"/>
        <v/>
      </c>
      <c r="O171" s="57" t="str">
        <f t="shared" si="84"/>
        <v/>
      </c>
      <c r="P171" s="57">
        <f t="shared" si="76"/>
        <v>0</v>
      </c>
      <c r="Q171" s="57">
        <f t="shared" si="77"/>
        <v>0</v>
      </c>
      <c r="R171" s="57">
        <f t="shared" si="81"/>
        <v>0</v>
      </c>
      <c r="S171" s="45">
        <f t="shared" si="82"/>
        <v>0</v>
      </c>
      <c r="T171" s="45">
        <f t="shared" si="83"/>
        <v>0</v>
      </c>
      <c r="X171" s="451"/>
      <c r="Z171" s="451"/>
      <c r="AA171" s="52">
        <v>14</v>
      </c>
      <c r="AB171" s="65" t="str">
        <f t="shared" si="74"/>
        <v>** NOT USED **</v>
      </c>
    </row>
    <row r="172" spans="2:28" hidden="1" outlineLevel="1" x14ac:dyDescent="0.2">
      <c r="B172" s="246">
        <f t="shared" si="69"/>
        <v>0</v>
      </c>
      <c r="C172" s="249">
        <v>15</v>
      </c>
      <c r="D172" s="269" t="str">
        <f t="shared" si="70"/>
        <v>** NOT USED **</v>
      </c>
      <c r="E172" s="632" t="str">
        <f t="shared" si="71"/>
        <v/>
      </c>
      <c r="F172" s="633"/>
      <c r="G172" s="634"/>
      <c r="H172" s="149" t="str">
        <f t="shared" si="72"/>
        <v/>
      </c>
      <c r="I172" s="149" t="str">
        <f t="shared" si="84"/>
        <v/>
      </c>
      <c r="J172" s="57" t="str">
        <f t="shared" si="84"/>
        <v/>
      </c>
      <c r="K172" s="57" t="str">
        <f t="shared" si="84"/>
        <v/>
      </c>
      <c r="L172" s="57" t="str">
        <f t="shared" si="84"/>
        <v/>
      </c>
      <c r="M172" s="57" t="str">
        <f t="shared" si="84"/>
        <v/>
      </c>
      <c r="N172" s="57" t="str">
        <f t="shared" si="84"/>
        <v/>
      </c>
      <c r="O172" s="57" t="str">
        <f t="shared" si="84"/>
        <v/>
      </c>
      <c r="P172" s="57">
        <f t="shared" si="76"/>
        <v>0</v>
      </c>
      <c r="Q172" s="57">
        <f t="shared" si="77"/>
        <v>0</v>
      </c>
      <c r="R172" s="57">
        <f t="shared" si="81"/>
        <v>0</v>
      </c>
      <c r="S172" s="45">
        <f t="shared" si="82"/>
        <v>0</v>
      </c>
      <c r="T172" s="45">
        <f t="shared" si="83"/>
        <v>0</v>
      </c>
      <c r="X172" s="451"/>
      <c r="Z172" s="451"/>
      <c r="AA172" s="52">
        <v>15</v>
      </c>
      <c r="AB172" s="65" t="str">
        <f t="shared" si="74"/>
        <v>** NOT USED **</v>
      </c>
    </row>
    <row r="173" spans="2:28" hidden="1" outlineLevel="1" x14ac:dyDescent="0.2">
      <c r="B173" s="246">
        <f t="shared" si="69"/>
        <v>0</v>
      </c>
      <c r="C173" s="249">
        <v>16</v>
      </c>
      <c r="D173" s="269" t="str">
        <f t="shared" si="70"/>
        <v>** NOT USED **</v>
      </c>
      <c r="E173" s="632" t="str">
        <f t="shared" si="71"/>
        <v/>
      </c>
      <c r="F173" s="633"/>
      <c r="G173" s="634"/>
      <c r="H173" s="149" t="str">
        <f t="shared" si="72"/>
        <v/>
      </c>
      <c r="I173" s="149" t="str">
        <f t="shared" si="84"/>
        <v/>
      </c>
      <c r="J173" s="57" t="str">
        <f t="shared" si="84"/>
        <v/>
      </c>
      <c r="K173" s="57" t="str">
        <f t="shared" si="84"/>
        <v/>
      </c>
      <c r="L173" s="57" t="str">
        <f t="shared" si="84"/>
        <v/>
      </c>
      <c r="M173" s="57" t="str">
        <f t="shared" si="84"/>
        <v/>
      </c>
      <c r="N173" s="57" t="str">
        <f t="shared" si="84"/>
        <v/>
      </c>
      <c r="O173" s="57" t="str">
        <f t="shared" si="84"/>
        <v/>
      </c>
      <c r="P173" s="57">
        <f t="shared" si="76"/>
        <v>0</v>
      </c>
      <c r="Q173" s="57">
        <f t="shared" si="77"/>
        <v>0</v>
      </c>
      <c r="R173" s="57">
        <f t="shared" si="81"/>
        <v>0</v>
      </c>
      <c r="S173" s="45">
        <f t="shared" si="82"/>
        <v>0</v>
      </c>
      <c r="T173" s="45">
        <f t="shared" si="83"/>
        <v>0</v>
      </c>
      <c r="X173" s="451"/>
      <c r="Z173" s="451"/>
      <c r="AA173" s="52">
        <v>16</v>
      </c>
      <c r="AB173" s="65" t="str">
        <f t="shared" si="74"/>
        <v>** NOT USED **</v>
      </c>
    </row>
    <row r="174" spans="2:28" hidden="1" outlineLevel="1" x14ac:dyDescent="0.2">
      <c r="B174" s="246">
        <f t="shared" si="69"/>
        <v>0</v>
      </c>
      <c r="C174" s="249">
        <v>17</v>
      </c>
      <c r="D174" s="269" t="str">
        <f t="shared" si="70"/>
        <v>** NOT USED **</v>
      </c>
      <c r="E174" s="632" t="str">
        <f t="shared" si="71"/>
        <v/>
      </c>
      <c r="F174" s="633"/>
      <c r="G174" s="634"/>
      <c r="H174" s="149" t="str">
        <f t="shared" si="72"/>
        <v/>
      </c>
      <c r="I174" s="149" t="str">
        <f t="shared" si="84"/>
        <v/>
      </c>
      <c r="J174" s="57" t="str">
        <f t="shared" si="84"/>
        <v/>
      </c>
      <c r="K174" s="57" t="str">
        <f t="shared" si="84"/>
        <v/>
      </c>
      <c r="L174" s="57" t="str">
        <f t="shared" si="84"/>
        <v/>
      </c>
      <c r="M174" s="57" t="str">
        <f t="shared" si="84"/>
        <v/>
      </c>
      <c r="N174" s="57" t="str">
        <f t="shared" si="84"/>
        <v/>
      </c>
      <c r="O174" s="57" t="str">
        <f t="shared" si="84"/>
        <v/>
      </c>
      <c r="P174" s="57">
        <f t="shared" si="76"/>
        <v>0</v>
      </c>
      <c r="Q174" s="57">
        <f t="shared" si="77"/>
        <v>0</v>
      </c>
      <c r="R174" s="57">
        <f t="shared" si="81"/>
        <v>0</v>
      </c>
      <c r="S174" s="45">
        <f t="shared" si="82"/>
        <v>0</v>
      </c>
      <c r="T174" s="45">
        <f t="shared" si="83"/>
        <v>0</v>
      </c>
      <c r="X174" s="451"/>
      <c r="Z174" s="451"/>
      <c r="AA174" s="52">
        <v>17</v>
      </c>
      <c r="AB174" s="65" t="str">
        <f t="shared" si="74"/>
        <v>** NOT USED **</v>
      </c>
    </row>
    <row r="175" spans="2:28" hidden="1" outlineLevel="1" x14ac:dyDescent="0.2">
      <c r="B175" s="246">
        <f t="shared" si="69"/>
        <v>0</v>
      </c>
      <c r="C175" s="249">
        <v>18</v>
      </c>
      <c r="D175" s="269" t="str">
        <f t="shared" si="70"/>
        <v>** NOT USED **</v>
      </c>
      <c r="E175" s="632" t="str">
        <f t="shared" si="71"/>
        <v/>
      </c>
      <c r="F175" s="633"/>
      <c r="G175" s="634"/>
      <c r="H175" s="149" t="str">
        <f t="shared" si="72"/>
        <v/>
      </c>
      <c r="I175" s="149" t="str">
        <f t="shared" si="84"/>
        <v/>
      </c>
      <c r="J175" s="57" t="str">
        <f t="shared" si="84"/>
        <v/>
      </c>
      <c r="K175" s="57" t="str">
        <f t="shared" si="84"/>
        <v/>
      </c>
      <c r="L175" s="57" t="str">
        <f t="shared" si="84"/>
        <v/>
      </c>
      <c r="M175" s="57" t="str">
        <f t="shared" si="84"/>
        <v/>
      </c>
      <c r="N175" s="57" t="str">
        <f t="shared" si="84"/>
        <v/>
      </c>
      <c r="O175" s="57" t="str">
        <f t="shared" si="84"/>
        <v/>
      </c>
      <c r="P175" s="57">
        <f t="shared" si="76"/>
        <v>0</v>
      </c>
      <c r="Q175" s="57">
        <f t="shared" si="77"/>
        <v>0</v>
      </c>
      <c r="R175" s="57">
        <f t="shared" si="81"/>
        <v>0</v>
      </c>
      <c r="S175" s="45">
        <f t="shared" si="82"/>
        <v>0</v>
      </c>
      <c r="T175" s="45">
        <f t="shared" si="83"/>
        <v>0</v>
      </c>
      <c r="X175" s="451"/>
      <c r="Z175" s="451"/>
      <c r="AA175" s="52">
        <v>18</v>
      </c>
      <c r="AB175" s="65" t="str">
        <f t="shared" si="74"/>
        <v>** NOT USED **</v>
      </c>
    </row>
    <row r="176" spans="2:28" hidden="1" outlineLevel="1" x14ac:dyDescent="0.2">
      <c r="B176" s="246">
        <f t="shared" si="69"/>
        <v>0</v>
      </c>
      <c r="C176" s="249">
        <v>19</v>
      </c>
      <c r="D176" s="269" t="str">
        <f t="shared" si="70"/>
        <v>** NOT USED **</v>
      </c>
      <c r="E176" s="632" t="str">
        <f t="shared" si="71"/>
        <v/>
      </c>
      <c r="F176" s="633"/>
      <c r="G176" s="634"/>
      <c r="H176" s="149" t="str">
        <f t="shared" si="72"/>
        <v/>
      </c>
      <c r="I176" s="149" t="str">
        <f t="shared" si="84"/>
        <v/>
      </c>
      <c r="J176" s="57" t="str">
        <f t="shared" si="84"/>
        <v/>
      </c>
      <c r="K176" s="57" t="str">
        <f t="shared" si="84"/>
        <v/>
      </c>
      <c r="L176" s="57" t="str">
        <f t="shared" si="84"/>
        <v/>
      </c>
      <c r="M176" s="57" t="str">
        <f t="shared" si="84"/>
        <v/>
      </c>
      <c r="N176" s="57" t="str">
        <f t="shared" si="84"/>
        <v/>
      </c>
      <c r="O176" s="57" t="str">
        <f t="shared" si="84"/>
        <v/>
      </c>
      <c r="P176" s="57">
        <f t="shared" si="76"/>
        <v>0</v>
      </c>
      <c r="Q176" s="57">
        <f t="shared" si="77"/>
        <v>0</v>
      </c>
      <c r="R176" s="57">
        <f t="shared" si="81"/>
        <v>0</v>
      </c>
      <c r="S176" s="45">
        <f t="shared" si="82"/>
        <v>0</v>
      </c>
      <c r="T176" s="45">
        <f t="shared" si="83"/>
        <v>0</v>
      </c>
      <c r="X176" s="451"/>
      <c r="Z176" s="451"/>
      <c r="AA176" s="52">
        <v>19</v>
      </c>
      <c r="AB176" s="65" t="str">
        <f t="shared" si="74"/>
        <v>** NOT USED **</v>
      </c>
    </row>
    <row r="177" spans="1:43" hidden="1" outlineLevel="1" x14ac:dyDescent="0.2">
      <c r="B177" s="246">
        <f t="shared" si="69"/>
        <v>0</v>
      </c>
      <c r="C177" s="249">
        <v>20</v>
      </c>
      <c r="D177" s="269" t="str">
        <f t="shared" si="70"/>
        <v>** NOT USED **</v>
      </c>
      <c r="E177" s="632" t="str">
        <f t="shared" si="71"/>
        <v/>
      </c>
      <c r="F177" s="633"/>
      <c r="G177" s="634"/>
      <c r="H177" s="149" t="str">
        <f t="shared" si="72"/>
        <v/>
      </c>
      <c r="I177" s="149" t="str">
        <f t="shared" si="84"/>
        <v/>
      </c>
      <c r="J177" s="57" t="str">
        <f t="shared" si="84"/>
        <v/>
      </c>
      <c r="K177" s="57" t="str">
        <f t="shared" si="84"/>
        <v/>
      </c>
      <c r="L177" s="57" t="str">
        <f t="shared" si="84"/>
        <v/>
      </c>
      <c r="M177" s="57" t="str">
        <f t="shared" si="84"/>
        <v/>
      </c>
      <c r="N177" s="57" t="str">
        <f t="shared" si="84"/>
        <v/>
      </c>
      <c r="O177" s="57" t="str">
        <f t="shared" si="84"/>
        <v/>
      </c>
      <c r="P177" s="57">
        <f t="shared" si="76"/>
        <v>0</v>
      </c>
      <c r="Q177" s="57">
        <f t="shared" si="77"/>
        <v>0</v>
      </c>
      <c r="R177" s="57">
        <f t="shared" si="81"/>
        <v>0</v>
      </c>
      <c r="S177" s="45">
        <f t="shared" si="82"/>
        <v>0</v>
      </c>
      <c r="T177" s="45">
        <f t="shared" si="83"/>
        <v>0</v>
      </c>
      <c r="X177" s="451"/>
      <c r="Z177" s="451"/>
      <c r="AA177" s="52">
        <v>20</v>
      </c>
      <c r="AB177" s="65" t="str">
        <f t="shared" si="74"/>
        <v>** NOT USED **</v>
      </c>
    </row>
    <row r="178" spans="1:43" hidden="1" outlineLevel="1" x14ac:dyDescent="0.2">
      <c r="B178" s="246">
        <f>SUM(B158:B177)</f>
        <v>0</v>
      </c>
      <c r="I178" s="43" t="s">
        <v>73</v>
      </c>
      <c r="J178" s="57">
        <f>SUM(J158:J177)</f>
        <v>0</v>
      </c>
      <c r="K178" s="57">
        <f t="shared" ref="K178:R178" si="85">SUM(K158:K177)</f>
        <v>0</v>
      </c>
      <c r="L178" s="57">
        <f t="shared" si="85"/>
        <v>0</v>
      </c>
      <c r="M178" s="57">
        <f t="shared" si="85"/>
        <v>0</v>
      </c>
      <c r="N178" s="57">
        <f t="shared" si="85"/>
        <v>0</v>
      </c>
      <c r="O178" s="57">
        <f t="shared" si="85"/>
        <v>0</v>
      </c>
      <c r="P178" s="57">
        <f t="shared" si="85"/>
        <v>0</v>
      </c>
      <c r="Q178" s="57">
        <f t="shared" si="85"/>
        <v>0</v>
      </c>
      <c r="R178" s="57">
        <f t="shared" si="85"/>
        <v>0</v>
      </c>
    </row>
    <row r="179" spans="1:43" hidden="1" outlineLevel="1" x14ac:dyDescent="0.2"/>
    <row r="180" spans="1:43" collapsed="1" x14ac:dyDescent="0.2"/>
    <row r="181" spans="1:43" ht="15.75" x14ac:dyDescent="0.2">
      <c r="D181" s="111" t="s">
        <v>917</v>
      </c>
      <c r="E181" s="116"/>
      <c r="F181" s="116"/>
      <c r="G181" s="116"/>
      <c r="H181" s="116"/>
      <c r="I181" s="605" t="str">
        <f>IF(C153=0,MsgNotUsed,"")</f>
        <v>** NOT USED **</v>
      </c>
      <c r="J181" s="606"/>
      <c r="K181" s="116"/>
      <c r="L181" s="116"/>
      <c r="M181" s="116"/>
      <c r="N181" s="116"/>
      <c r="O181" s="116"/>
      <c r="P181" s="116"/>
      <c r="Q181" s="116"/>
      <c r="R181" s="116"/>
      <c r="S181" s="116"/>
      <c r="T181" s="116"/>
      <c r="U181" s="116"/>
      <c r="V181" s="116"/>
      <c r="W181" s="116"/>
      <c r="X181" s="116"/>
      <c r="Y181" s="116"/>
      <c r="Z181" s="116"/>
      <c r="AA181" s="116"/>
      <c r="AB181" s="116"/>
      <c r="AC181" s="116"/>
      <c r="AD181" s="116"/>
      <c r="AE181" s="116"/>
      <c r="AF181" s="116"/>
      <c r="AG181" s="116"/>
      <c r="AH181" s="116"/>
      <c r="AI181" s="116"/>
      <c r="AJ181" s="116"/>
      <c r="AK181" s="116"/>
      <c r="AL181" s="116"/>
      <c r="AM181" s="116"/>
      <c r="AN181" s="116"/>
      <c r="AO181" s="116"/>
      <c r="AP181" s="116"/>
      <c r="AQ181" s="116"/>
    </row>
    <row r="182" spans="1:43" x14ac:dyDescent="0.2"/>
    <row r="183" spans="1:43" x14ac:dyDescent="0.2">
      <c r="D183" t="s">
        <v>415</v>
      </c>
    </row>
    <row r="184" spans="1:43" x14ac:dyDescent="0.2"/>
    <row r="185" spans="1:43" ht="15" x14ac:dyDescent="0.2">
      <c r="C185" s="246">
        <v>1</v>
      </c>
      <c r="D185" s="129" t="str">
        <f>INDEX(NamesMSAdditional,C185,1)</f>
        <v>** NOT USED **</v>
      </c>
      <c r="E185" s="123"/>
      <c r="F185" s="123"/>
      <c r="G185" s="123"/>
      <c r="H185" s="123"/>
      <c r="I185" s="588" t="str">
        <f>IF(D185&lt;&gt;MsgNotUsed,"Co-payment group " &amp; INDEX(CoPayBandMSAdditional,C185),"")</f>
        <v/>
      </c>
      <c r="J185" s="588"/>
      <c r="K185" s="123"/>
      <c r="L185" s="123"/>
      <c r="M185" s="123"/>
      <c r="N185" s="123"/>
      <c r="O185" s="123"/>
      <c r="P185" s="123"/>
      <c r="Q185" s="123"/>
      <c r="R185" s="123"/>
      <c r="S185" s="123"/>
      <c r="T185" s="123"/>
      <c r="U185" s="123"/>
      <c r="V185" s="123"/>
      <c r="W185" s="123"/>
      <c r="X185" s="123"/>
      <c r="Y185" s="123"/>
      <c r="Z185" s="123"/>
      <c r="AA185" s="123"/>
      <c r="AB185" s="123"/>
      <c r="AC185" s="123"/>
      <c r="AD185" s="123"/>
      <c r="AE185" s="123"/>
      <c r="AF185" s="123"/>
      <c r="AG185" s="123"/>
      <c r="AH185" s="123"/>
      <c r="AI185" s="123"/>
      <c r="AJ185" s="123"/>
      <c r="AK185" s="123"/>
      <c r="AL185" s="123"/>
      <c r="AM185" s="123"/>
      <c r="AN185" s="123"/>
      <c r="AO185" s="123"/>
      <c r="AP185" s="123"/>
      <c r="AQ185" s="123"/>
    </row>
    <row r="186" spans="1:43" ht="15.75" hidden="1" outlineLevel="1" x14ac:dyDescent="0.2">
      <c r="A186" s="22"/>
      <c r="B186" s="22"/>
      <c r="C186" s="486"/>
      <c r="D186" s="454"/>
      <c r="E186" s="22"/>
      <c r="F186" s="22"/>
      <c r="G186" s="22"/>
      <c r="H186" s="22"/>
      <c r="I186" s="22"/>
      <c r="J186" s="22"/>
      <c r="K186" s="22"/>
      <c r="L186" s="22"/>
      <c r="M186" s="22"/>
      <c r="N186" s="22"/>
      <c r="O186" s="22"/>
      <c r="P186" s="22"/>
      <c r="Q186" s="22"/>
      <c r="R186" s="22"/>
      <c r="S186" s="22"/>
      <c r="T186" s="22"/>
      <c r="U186" s="22"/>
      <c r="V186" s="22"/>
      <c r="W186" s="22"/>
      <c r="X186" s="22"/>
      <c r="Y186" s="22"/>
      <c r="Z186" s="22"/>
      <c r="AA186" s="22"/>
      <c r="AB186" s="22"/>
      <c r="AC186" s="22"/>
      <c r="AD186" s="22"/>
      <c r="AE186" s="22"/>
      <c r="AF186" s="22"/>
      <c r="AG186" s="22"/>
      <c r="AH186" s="22"/>
      <c r="AI186" s="22"/>
      <c r="AJ186" s="22"/>
      <c r="AK186" s="22"/>
      <c r="AL186" s="22"/>
      <c r="AM186" s="22"/>
      <c r="AN186" s="22"/>
      <c r="AO186" s="22"/>
      <c r="AP186" s="22"/>
      <c r="AQ186" s="22"/>
    </row>
    <row r="187" spans="1:43" ht="14.25" hidden="1" customHeight="1" outlineLevel="1" x14ac:dyDescent="0.2">
      <c r="C187" s="487"/>
      <c r="D187" s="488"/>
      <c r="E187" s="58">
        <f>F187-1</f>
        <v>2025</v>
      </c>
      <c r="F187" s="58">
        <f>FirstYear</f>
        <v>2026</v>
      </c>
      <c r="G187" s="58">
        <f>F187+1</f>
        <v>2027</v>
      </c>
      <c r="H187" s="58">
        <f>G187+1</f>
        <v>2028</v>
      </c>
      <c r="I187" s="58">
        <f>H187+1</f>
        <v>2029</v>
      </c>
      <c r="J187" s="58">
        <f>I187+1</f>
        <v>2030</v>
      </c>
      <c r="K187" s="58">
        <f>J187+1</f>
        <v>2031</v>
      </c>
      <c r="M187" s="260"/>
      <c r="P187" s="260"/>
    </row>
    <row r="188" spans="1:43" hidden="1" outlineLevel="1" x14ac:dyDescent="0.2">
      <c r="C188" s="487"/>
      <c r="D188" s="2" t="s">
        <v>111</v>
      </c>
      <c r="E188" s="33">
        <f>INDEX(ScriptsMSAdditional,$C185) * INDEX(NamesMSAdditional,$C185,3)</f>
        <v>0</v>
      </c>
      <c r="F188" s="33">
        <f t="shared" ref="F188:K188" si="86">IF(E188="","",E188*(1+E189))</f>
        <v>0</v>
      </c>
      <c r="G188" s="33">
        <f t="shared" si="86"/>
        <v>0</v>
      </c>
      <c r="H188" s="33">
        <f t="shared" si="86"/>
        <v>0</v>
      </c>
      <c r="I188" s="33">
        <f t="shared" si="86"/>
        <v>0</v>
      </c>
      <c r="J188" s="33">
        <f>IF(I188="","",I188*(1+I189))</f>
        <v>0</v>
      </c>
      <c r="K188" s="33">
        <f t="shared" si="86"/>
        <v>0</v>
      </c>
      <c r="M188" s="31" t="s">
        <v>249</v>
      </c>
      <c r="O188" s="260"/>
      <c r="R188" s="260"/>
    </row>
    <row r="189" spans="1:43" hidden="1" outlineLevel="1" x14ac:dyDescent="0.2">
      <c r="C189" s="487"/>
      <c r="D189" s="7" t="s">
        <v>26</v>
      </c>
      <c r="E189" s="29"/>
      <c r="F189" s="29"/>
      <c r="G189" s="29"/>
      <c r="H189" s="29"/>
      <c r="I189" s="29"/>
      <c r="J189" s="29"/>
      <c r="K189" s="28"/>
      <c r="M189" s="629"/>
      <c r="N189" s="629"/>
      <c r="O189" s="629"/>
      <c r="P189" s="629"/>
      <c r="Q189" s="629"/>
      <c r="R189" s="629"/>
      <c r="S189" s="629"/>
      <c r="T189" s="629"/>
    </row>
    <row r="190" spans="1:43" hidden="1" outlineLevel="1" x14ac:dyDescent="0.2">
      <c r="C190" s="487"/>
      <c r="D190" s="7" t="s">
        <v>33</v>
      </c>
      <c r="E190" s="29"/>
      <c r="F190" s="29"/>
      <c r="G190" s="29"/>
      <c r="H190" s="29"/>
      <c r="I190" s="29"/>
      <c r="J190" s="29"/>
      <c r="K190" s="29"/>
      <c r="M190" s="629"/>
      <c r="N190" s="629"/>
      <c r="O190" s="629"/>
      <c r="P190" s="629"/>
      <c r="Q190" s="629"/>
      <c r="R190" s="629"/>
      <c r="S190" s="629"/>
      <c r="T190" s="629"/>
    </row>
    <row r="191" spans="1:43" hidden="1" outlineLevel="1" x14ac:dyDescent="0.2">
      <c r="C191" s="487"/>
      <c r="D191" s="7" t="s">
        <v>836</v>
      </c>
      <c r="E191" s="29"/>
      <c r="F191" s="29"/>
      <c r="G191" s="29"/>
      <c r="H191" s="29"/>
      <c r="I191" s="29"/>
      <c r="J191" s="29"/>
      <c r="K191" s="29"/>
      <c r="M191" s="629"/>
      <c r="N191" s="629"/>
      <c r="O191" s="629"/>
      <c r="P191" s="629"/>
      <c r="Q191" s="629"/>
      <c r="R191" s="629"/>
      <c r="S191" s="629"/>
      <c r="T191" s="629"/>
    </row>
    <row r="192" spans="1:43" hidden="1" outlineLevel="1" x14ac:dyDescent="0.2">
      <c r="C192" s="487"/>
      <c r="D192" s="9" t="s">
        <v>104</v>
      </c>
      <c r="E192" s="33">
        <v>0</v>
      </c>
      <c r="F192" s="33">
        <f t="shared" ref="F192:K192" si="87">F194-F193</f>
        <v>0</v>
      </c>
      <c r="G192" s="33">
        <f t="shared" si="87"/>
        <v>0</v>
      </c>
      <c r="H192" s="33">
        <f t="shared" si="87"/>
        <v>0</v>
      </c>
      <c r="I192" s="33">
        <f t="shared" si="87"/>
        <v>0</v>
      </c>
      <c r="J192" s="33">
        <f t="shared" si="87"/>
        <v>0</v>
      </c>
      <c r="K192" s="33">
        <f t="shared" si="87"/>
        <v>0</v>
      </c>
    </row>
    <row r="193" spans="1:43" hidden="1" outlineLevel="1" x14ac:dyDescent="0.2">
      <c r="C193" s="487"/>
      <c r="D193" s="9" t="s">
        <v>105</v>
      </c>
      <c r="E193" s="33">
        <v>0</v>
      </c>
      <c r="F193" s="33">
        <f t="shared" ref="F193:K193" si="88">ROUND(F194*$T$158,0)</f>
        <v>0</v>
      </c>
      <c r="G193" s="33">
        <f t="shared" si="88"/>
        <v>0</v>
      </c>
      <c r="H193" s="33">
        <f t="shared" si="88"/>
        <v>0</v>
      </c>
      <c r="I193" s="33">
        <f t="shared" si="88"/>
        <v>0</v>
      </c>
      <c r="J193" s="33">
        <f t="shared" si="88"/>
        <v>0</v>
      </c>
      <c r="K193" s="33">
        <f t="shared" si="88"/>
        <v>0</v>
      </c>
    </row>
    <row r="194" spans="1:43" hidden="1" outlineLevel="1" x14ac:dyDescent="0.2">
      <c r="C194" s="487"/>
      <c r="D194" s="78" t="s">
        <v>831</v>
      </c>
      <c r="E194" s="34">
        <f t="shared" ref="E194:K194" si="89">IF(E188="","",E191*E190*E188)</f>
        <v>0</v>
      </c>
      <c r="F194" s="34">
        <f t="shared" si="89"/>
        <v>0</v>
      </c>
      <c r="G194" s="34">
        <f t="shared" si="89"/>
        <v>0</v>
      </c>
      <c r="H194" s="34">
        <f t="shared" si="89"/>
        <v>0</v>
      </c>
      <c r="I194" s="34">
        <f t="shared" si="89"/>
        <v>0</v>
      </c>
      <c r="J194" s="34">
        <f t="shared" si="89"/>
        <v>0</v>
      </c>
      <c r="K194" s="34">
        <f t="shared" si="89"/>
        <v>0</v>
      </c>
    </row>
    <row r="195" spans="1:43" hidden="1" outlineLevel="1" x14ac:dyDescent="0.2">
      <c r="C195" s="487"/>
      <c r="G195" s="489"/>
      <c r="H195" s="489"/>
      <c r="I195" s="489"/>
    </row>
    <row r="196" spans="1:43" collapsed="1" x14ac:dyDescent="0.2">
      <c r="C196" s="487"/>
    </row>
    <row r="197" spans="1:43" ht="15" x14ac:dyDescent="0.2">
      <c r="C197" s="246">
        <v>2</v>
      </c>
      <c r="D197" s="129" t="str">
        <f>INDEX(NamesMSAdditional,C197,1)</f>
        <v>** NOT USED **</v>
      </c>
      <c r="E197" s="123"/>
      <c r="F197" s="123"/>
      <c r="G197" s="123"/>
      <c r="H197" s="123"/>
      <c r="I197" s="588" t="str">
        <f>IF(D197&lt;&gt;MsgNotUsed,"Co-payment group " &amp; INDEX(CoPayBandMSAdditional,C197),"")</f>
        <v/>
      </c>
      <c r="J197" s="588"/>
      <c r="K197" s="123"/>
      <c r="L197" s="123"/>
      <c r="M197" s="123"/>
      <c r="N197" s="123"/>
      <c r="O197" s="123"/>
      <c r="P197" s="123"/>
      <c r="Q197" s="123"/>
      <c r="R197" s="123"/>
      <c r="S197" s="123"/>
      <c r="T197" s="123"/>
      <c r="U197" s="123"/>
      <c r="V197" s="123"/>
      <c r="W197" s="123"/>
      <c r="X197" s="123"/>
      <c r="Y197" s="123"/>
      <c r="Z197" s="123"/>
      <c r="AA197" s="123"/>
      <c r="AB197" s="123"/>
      <c r="AC197" s="123"/>
      <c r="AD197" s="123"/>
      <c r="AE197" s="123"/>
      <c r="AF197" s="123"/>
      <c r="AG197" s="123"/>
      <c r="AH197" s="123"/>
      <c r="AI197" s="123"/>
      <c r="AJ197" s="123"/>
      <c r="AK197" s="123"/>
      <c r="AL197" s="123"/>
      <c r="AM197" s="123"/>
      <c r="AN197" s="123"/>
      <c r="AO197" s="123"/>
      <c r="AP197" s="123"/>
      <c r="AQ197" s="123"/>
    </row>
    <row r="198" spans="1:43" ht="15.75" hidden="1" outlineLevel="1" x14ac:dyDescent="0.2">
      <c r="A198" s="22"/>
      <c r="B198" s="22"/>
      <c r="C198" s="486"/>
      <c r="D198" s="454"/>
      <c r="E198" s="22"/>
      <c r="F198" s="22"/>
      <c r="G198" s="22"/>
      <c r="H198" s="22"/>
      <c r="I198" s="22"/>
      <c r="J198" s="22"/>
      <c r="K198" s="22"/>
      <c r="L198" s="22"/>
      <c r="M198" s="22"/>
      <c r="N198" s="22"/>
      <c r="O198" s="22"/>
      <c r="P198" s="22"/>
      <c r="Q198" s="22"/>
      <c r="R198" s="22"/>
      <c r="S198" s="22"/>
      <c r="T198" s="22"/>
      <c r="U198" s="22"/>
      <c r="V198" s="22"/>
      <c r="W198" s="22"/>
      <c r="X198" s="22"/>
      <c r="Y198" s="22"/>
      <c r="Z198" s="22"/>
      <c r="AA198" s="22"/>
      <c r="AB198" s="22"/>
      <c r="AC198" s="22"/>
      <c r="AD198" s="22"/>
      <c r="AE198" s="22"/>
      <c r="AF198" s="22"/>
      <c r="AG198" s="22"/>
      <c r="AH198" s="22"/>
      <c r="AI198" s="22"/>
      <c r="AJ198" s="22"/>
      <c r="AK198" s="22"/>
      <c r="AL198" s="22"/>
      <c r="AM198" s="22"/>
      <c r="AN198" s="22"/>
      <c r="AO198" s="22"/>
      <c r="AP198" s="22"/>
      <c r="AQ198" s="22"/>
    </row>
    <row r="199" spans="1:43" ht="14.25" hidden="1" customHeight="1" outlineLevel="1" x14ac:dyDescent="0.2">
      <c r="C199" s="487"/>
      <c r="D199" s="488"/>
      <c r="E199" s="58">
        <f>F199-1</f>
        <v>2025</v>
      </c>
      <c r="F199" s="58">
        <f>FirstYear</f>
        <v>2026</v>
      </c>
      <c r="G199" s="58">
        <f>F199+1</f>
        <v>2027</v>
      </c>
      <c r="H199" s="58">
        <f>G199+1</f>
        <v>2028</v>
      </c>
      <c r="I199" s="58">
        <f>H199+1</f>
        <v>2029</v>
      </c>
      <c r="J199" s="58">
        <f>I199+1</f>
        <v>2030</v>
      </c>
      <c r="K199" s="58">
        <f>J199+1</f>
        <v>2031</v>
      </c>
      <c r="M199" s="260"/>
      <c r="P199" s="260"/>
    </row>
    <row r="200" spans="1:43" hidden="1" outlineLevel="1" x14ac:dyDescent="0.2">
      <c r="C200" s="487"/>
      <c r="D200" s="2" t="s">
        <v>111</v>
      </c>
      <c r="E200" s="33">
        <f>INDEX(ScriptsMSAdditional,$C197) * INDEX(NamesMSAdditional,$C197,3)</f>
        <v>0</v>
      </c>
      <c r="F200" s="33">
        <f t="shared" ref="F200:K200" si="90">-F430</f>
        <v>0</v>
      </c>
      <c r="G200" s="33">
        <f t="shared" si="90"/>
        <v>0</v>
      </c>
      <c r="H200" s="33">
        <f t="shared" si="90"/>
        <v>0</v>
      </c>
      <c r="I200" s="33">
        <f t="shared" si="90"/>
        <v>0</v>
      </c>
      <c r="J200" s="33">
        <f t="shared" si="90"/>
        <v>0</v>
      </c>
      <c r="K200" s="33">
        <f t="shared" si="90"/>
        <v>0</v>
      </c>
      <c r="M200" s="31" t="s">
        <v>249</v>
      </c>
      <c r="O200" s="260"/>
      <c r="R200" s="260"/>
    </row>
    <row r="201" spans="1:43" hidden="1" outlineLevel="1" x14ac:dyDescent="0.2">
      <c r="C201" s="487"/>
      <c r="D201" s="7" t="s">
        <v>26</v>
      </c>
      <c r="E201" s="29"/>
      <c r="F201" s="29"/>
      <c r="G201" s="29"/>
      <c r="H201" s="29"/>
      <c r="I201" s="29"/>
      <c r="J201" s="29"/>
      <c r="K201" s="28"/>
      <c r="M201" s="629"/>
      <c r="N201" s="629"/>
      <c r="O201" s="629"/>
      <c r="P201" s="629"/>
      <c r="Q201" s="629"/>
      <c r="R201" s="629"/>
      <c r="S201" s="629"/>
      <c r="T201" s="629"/>
    </row>
    <row r="202" spans="1:43" hidden="1" outlineLevel="1" x14ac:dyDescent="0.2">
      <c r="C202" s="487"/>
      <c r="D202" s="7" t="s">
        <v>33</v>
      </c>
      <c r="E202" s="29"/>
      <c r="F202" s="29"/>
      <c r="G202" s="29"/>
      <c r="H202" s="29"/>
      <c r="I202" s="29"/>
      <c r="J202" s="29"/>
      <c r="K202" s="29"/>
      <c r="M202" s="629"/>
      <c r="N202" s="629"/>
      <c r="O202" s="629"/>
      <c r="P202" s="629"/>
      <c r="Q202" s="629"/>
      <c r="R202" s="629"/>
      <c r="S202" s="629"/>
      <c r="T202" s="629"/>
    </row>
    <row r="203" spans="1:43" hidden="1" outlineLevel="1" x14ac:dyDescent="0.2">
      <c r="C203" s="487"/>
      <c r="D203" s="7" t="s">
        <v>836</v>
      </c>
      <c r="E203" s="29"/>
      <c r="F203" s="29"/>
      <c r="G203" s="29"/>
      <c r="H203" s="29"/>
      <c r="I203" s="29"/>
      <c r="J203" s="29"/>
      <c r="K203" s="29"/>
      <c r="M203" s="629"/>
      <c r="N203" s="629"/>
      <c r="O203" s="629"/>
      <c r="P203" s="629"/>
      <c r="Q203" s="629"/>
      <c r="R203" s="629"/>
      <c r="S203" s="629"/>
      <c r="T203" s="629"/>
    </row>
    <row r="204" spans="1:43" hidden="1" outlineLevel="1" x14ac:dyDescent="0.2">
      <c r="C204" s="487"/>
      <c r="D204" s="9" t="s">
        <v>104</v>
      </c>
      <c r="E204" s="33">
        <v>0</v>
      </c>
      <c r="F204" s="33">
        <f t="shared" ref="F204:K204" si="91">F206-F205</f>
        <v>0</v>
      </c>
      <c r="G204" s="33">
        <f t="shared" si="91"/>
        <v>0</v>
      </c>
      <c r="H204" s="33">
        <f t="shared" si="91"/>
        <v>0</v>
      </c>
      <c r="I204" s="33">
        <f t="shared" si="91"/>
        <v>0</v>
      </c>
      <c r="J204" s="33">
        <f t="shared" si="91"/>
        <v>0</v>
      </c>
      <c r="K204" s="33">
        <f t="shared" si="91"/>
        <v>0</v>
      </c>
    </row>
    <row r="205" spans="1:43" hidden="1" outlineLevel="1" x14ac:dyDescent="0.2">
      <c r="C205" s="487"/>
      <c r="D205" s="9" t="s">
        <v>105</v>
      </c>
      <c r="E205" s="33">
        <v>0</v>
      </c>
      <c r="F205" s="33">
        <f t="shared" ref="F205:K205" si="92">ROUND(F206*$T$159,0)</f>
        <v>0</v>
      </c>
      <c r="G205" s="33">
        <f t="shared" si="92"/>
        <v>0</v>
      </c>
      <c r="H205" s="33">
        <f t="shared" si="92"/>
        <v>0</v>
      </c>
      <c r="I205" s="33">
        <f t="shared" si="92"/>
        <v>0</v>
      </c>
      <c r="J205" s="33">
        <f t="shared" si="92"/>
        <v>0</v>
      </c>
      <c r="K205" s="33">
        <f t="shared" si="92"/>
        <v>0</v>
      </c>
    </row>
    <row r="206" spans="1:43" hidden="1" outlineLevel="1" x14ac:dyDescent="0.2">
      <c r="C206" s="487"/>
      <c r="D206" s="78" t="s">
        <v>831</v>
      </c>
      <c r="E206" s="34">
        <f t="shared" ref="E206:K206" si="93">IF(E200="","",E203*E202*E200)</f>
        <v>0</v>
      </c>
      <c r="F206" s="34">
        <f t="shared" si="93"/>
        <v>0</v>
      </c>
      <c r="G206" s="34">
        <f t="shared" si="93"/>
        <v>0</v>
      </c>
      <c r="H206" s="34">
        <f t="shared" si="93"/>
        <v>0</v>
      </c>
      <c r="I206" s="34">
        <f t="shared" si="93"/>
        <v>0</v>
      </c>
      <c r="J206" s="34">
        <f t="shared" si="93"/>
        <v>0</v>
      </c>
      <c r="K206" s="34">
        <f t="shared" si="93"/>
        <v>0</v>
      </c>
    </row>
    <row r="207" spans="1:43" hidden="1" outlineLevel="1" x14ac:dyDescent="0.2">
      <c r="C207" s="487"/>
      <c r="G207" s="489"/>
      <c r="H207" s="489"/>
      <c r="I207" s="489"/>
    </row>
    <row r="208" spans="1:43" collapsed="1" x14ac:dyDescent="0.2">
      <c r="C208" s="487"/>
    </row>
    <row r="209" spans="1:43" ht="15" x14ac:dyDescent="0.2">
      <c r="C209" s="246">
        <v>3</v>
      </c>
      <c r="D209" s="129" t="str">
        <f>INDEX(NamesMSAdditional,C209,1)</f>
        <v>** NOT USED **</v>
      </c>
      <c r="E209" s="123"/>
      <c r="F209" s="123"/>
      <c r="G209" s="123"/>
      <c r="H209" s="123"/>
      <c r="I209" s="588" t="str">
        <f>IF(D209&lt;&gt;MsgNotUsed,"Co-payment group " &amp; INDEX(CoPayBandMSAdditional,C209),"")</f>
        <v/>
      </c>
      <c r="J209" s="588"/>
      <c r="K209" s="123"/>
      <c r="L209" s="123"/>
      <c r="M209" s="123"/>
      <c r="N209" s="123"/>
      <c r="O209" s="123"/>
      <c r="P209" s="123"/>
      <c r="Q209" s="123"/>
      <c r="R209" s="123"/>
      <c r="S209" s="123"/>
      <c r="T209" s="123"/>
      <c r="U209" s="123"/>
      <c r="V209" s="123"/>
      <c r="W209" s="123"/>
      <c r="X209" s="123"/>
      <c r="Y209" s="123"/>
      <c r="Z209" s="123"/>
      <c r="AA209" s="123"/>
      <c r="AB209" s="123"/>
      <c r="AC209" s="123"/>
      <c r="AD209" s="123"/>
      <c r="AE209" s="123"/>
      <c r="AF209" s="123"/>
      <c r="AG209" s="123"/>
      <c r="AH209" s="123"/>
      <c r="AI209" s="123"/>
      <c r="AJ209" s="123"/>
      <c r="AK209" s="123"/>
      <c r="AL209" s="123"/>
      <c r="AM209" s="123"/>
      <c r="AN209" s="123"/>
      <c r="AO209" s="123"/>
      <c r="AP209" s="123"/>
      <c r="AQ209" s="123"/>
    </row>
    <row r="210" spans="1:43" ht="15.75" hidden="1" outlineLevel="1" x14ac:dyDescent="0.2">
      <c r="A210" s="22"/>
      <c r="B210" s="22"/>
      <c r="C210" s="486"/>
      <c r="D210" s="454"/>
      <c r="E210" s="22"/>
      <c r="F210" s="22"/>
      <c r="G210" s="22"/>
      <c r="H210" s="22"/>
      <c r="I210" s="22"/>
      <c r="J210" s="22"/>
      <c r="K210" s="22"/>
      <c r="L210" s="22"/>
      <c r="M210" s="22"/>
      <c r="N210" s="22"/>
      <c r="O210" s="22"/>
      <c r="P210" s="22"/>
      <c r="Q210" s="22"/>
      <c r="R210" s="22"/>
      <c r="S210" s="22"/>
      <c r="T210" s="22"/>
      <c r="U210" s="22"/>
      <c r="V210" s="22"/>
      <c r="W210" s="22"/>
      <c r="X210" s="22"/>
      <c r="Y210" s="22"/>
      <c r="Z210" s="22"/>
      <c r="AA210" s="22"/>
      <c r="AB210" s="22"/>
      <c r="AC210" s="22"/>
      <c r="AD210" s="22"/>
      <c r="AE210" s="22"/>
      <c r="AF210" s="22"/>
      <c r="AG210" s="22"/>
      <c r="AH210" s="22"/>
      <c r="AI210" s="22"/>
      <c r="AJ210" s="22"/>
      <c r="AK210" s="22"/>
      <c r="AL210" s="22"/>
      <c r="AM210" s="22"/>
      <c r="AN210" s="22"/>
      <c r="AO210" s="22"/>
      <c r="AP210" s="22"/>
      <c r="AQ210" s="22"/>
    </row>
    <row r="211" spans="1:43" ht="14.25" hidden="1" customHeight="1" outlineLevel="1" x14ac:dyDescent="0.2">
      <c r="C211" s="487"/>
      <c r="D211" s="488"/>
      <c r="E211" s="58">
        <f>F211-1</f>
        <v>2025</v>
      </c>
      <c r="F211" s="58">
        <f>FirstYear</f>
        <v>2026</v>
      </c>
      <c r="G211" s="58">
        <f>F211+1</f>
        <v>2027</v>
      </c>
      <c r="H211" s="58">
        <f>G211+1</f>
        <v>2028</v>
      </c>
      <c r="I211" s="58">
        <f>H211+1</f>
        <v>2029</v>
      </c>
      <c r="J211" s="58">
        <f>I211+1</f>
        <v>2030</v>
      </c>
      <c r="K211" s="58">
        <f>J211+1</f>
        <v>2031</v>
      </c>
      <c r="M211" s="260"/>
      <c r="P211" s="260"/>
    </row>
    <row r="212" spans="1:43" hidden="1" outlineLevel="1" x14ac:dyDescent="0.2">
      <c r="C212" s="487"/>
      <c r="D212" s="2" t="s">
        <v>111</v>
      </c>
      <c r="E212" s="33">
        <f>INDEX(ScriptsMSAdditional,$C209) * INDEX(NamesMSAdditional,$C209,3)</f>
        <v>0</v>
      </c>
      <c r="F212" s="33">
        <f t="shared" ref="F212:K212" si="94">IF(E212="","",E212*(1+E213))</f>
        <v>0</v>
      </c>
      <c r="G212" s="33">
        <f t="shared" si="94"/>
        <v>0</v>
      </c>
      <c r="H212" s="33">
        <f t="shared" si="94"/>
        <v>0</v>
      </c>
      <c r="I212" s="33">
        <f t="shared" si="94"/>
        <v>0</v>
      </c>
      <c r="J212" s="33">
        <f>IF(I212="","",I212*(1+I213))</f>
        <v>0</v>
      </c>
      <c r="K212" s="33">
        <f t="shared" si="94"/>
        <v>0</v>
      </c>
      <c r="M212" s="31" t="s">
        <v>249</v>
      </c>
      <c r="O212" s="260"/>
      <c r="R212" s="260"/>
    </row>
    <row r="213" spans="1:43" hidden="1" outlineLevel="1" x14ac:dyDescent="0.2">
      <c r="C213" s="487"/>
      <c r="D213" s="7" t="s">
        <v>26</v>
      </c>
      <c r="E213" s="29"/>
      <c r="F213" s="29"/>
      <c r="G213" s="29"/>
      <c r="H213" s="29"/>
      <c r="I213" s="29"/>
      <c r="J213" s="29"/>
      <c r="K213" s="28"/>
      <c r="M213" s="629"/>
      <c r="N213" s="629"/>
      <c r="O213" s="629"/>
      <c r="P213" s="629"/>
      <c r="Q213" s="629"/>
      <c r="R213" s="629"/>
      <c r="S213" s="629"/>
      <c r="T213" s="629"/>
    </row>
    <row r="214" spans="1:43" hidden="1" outlineLevel="1" x14ac:dyDescent="0.2">
      <c r="C214" s="487"/>
      <c r="D214" s="7" t="s">
        <v>33</v>
      </c>
      <c r="E214" s="29"/>
      <c r="F214" s="29"/>
      <c r="G214" s="29"/>
      <c r="H214" s="29"/>
      <c r="I214" s="29"/>
      <c r="J214" s="29"/>
      <c r="K214" s="29"/>
      <c r="M214" s="629"/>
      <c r="N214" s="629"/>
      <c r="O214" s="629"/>
      <c r="P214" s="629"/>
      <c r="Q214" s="629"/>
      <c r="R214" s="629"/>
      <c r="S214" s="629"/>
      <c r="T214" s="629"/>
    </row>
    <row r="215" spans="1:43" hidden="1" outlineLevel="1" x14ac:dyDescent="0.2">
      <c r="C215" s="487"/>
      <c r="D215" s="7" t="s">
        <v>836</v>
      </c>
      <c r="E215" s="29"/>
      <c r="F215" s="29"/>
      <c r="G215" s="29"/>
      <c r="H215" s="29"/>
      <c r="I215" s="29"/>
      <c r="J215" s="29"/>
      <c r="K215" s="29"/>
      <c r="M215" s="629"/>
      <c r="N215" s="629"/>
      <c r="O215" s="629"/>
      <c r="P215" s="629"/>
      <c r="Q215" s="629"/>
      <c r="R215" s="629"/>
      <c r="S215" s="629"/>
      <c r="T215" s="629"/>
    </row>
    <row r="216" spans="1:43" hidden="1" outlineLevel="1" x14ac:dyDescent="0.2">
      <c r="C216" s="487"/>
      <c r="D216" s="9" t="s">
        <v>104</v>
      </c>
      <c r="E216" s="33">
        <f t="shared" ref="E216:K216" si="95">E218-E217</f>
        <v>0</v>
      </c>
      <c r="F216" s="33">
        <f t="shared" si="95"/>
        <v>0</v>
      </c>
      <c r="G216" s="33">
        <f t="shared" si="95"/>
        <v>0</v>
      </c>
      <c r="H216" s="33">
        <f t="shared" si="95"/>
        <v>0</v>
      </c>
      <c r="I216" s="33">
        <f t="shared" si="95"/>
        <v>0</v>
      </c>
      <c r="J216" s="33">
        <f t="shared" si="95"/>
        <v>0</v>
      </c>
      <c r="K216" s="33">
        <f t="shared" si="95"/>
        <v>0</v>
      </c>
    </row>
    <row r="217" spans="1:43" hidden="1" outlineLevel="1" x14ac:dyDescent="0.2">
      <c r="C217" s="487"/>
      <c r="D217" s="9" t="s">
        <v>105</v>
      </c>
      <c r="E217" s="33">
        <f t="shared" ref="E217:K217" si="96">ROUND(E218*$T$160,0)</f>
        <v>0</v>
      </c>
      <c r="F217" s="33">
        <f t="shared" si="96"/>
        <v>0</v>
      </c>
      <c r="G217" s="33">
        <f t="shared" si="96"/>
        <v>0</v>
      </c>
      <c r="H217" s="33">
        <f t="shared" si="96"/>
        <v>0</v>
      </c>
      <c r="I217" s="33">
        <f t="shared" si="96"/>
        <v>0</v>
      </c>
      <c r="J217" s="33">
        <f t="shared" si="96"/>
        <v>0</v>
      </c>
      <c r="K217" s="33">
        <f t="shared" si="96"/>
        <v>0</v>
      </c>
    </row>
    <row r="218" spans="1:43" hidden="1" outlineLevel="1" x14ac:dyDescent="0.2">
      <c r="C218" s="487"/>
      <c r="D218" s="78" t="s">
        <v>831</v>
      </c>
      <c r="E218" s="34">
        <f t="shared" ref="E218:K218" si="97">IF(E212="","",E215*E214*E212)</f>
        <v>0</v>
      </c>
      <c r="F218" s="34">
        <f t="shared" si="97"/>
        <v>0</v>
      </c>
      <c r="G218" s="34">
        <f t="shared" si="97"/>
        <v>0</v>
      </c>
      <c r="H218" s="34">
        <f t="shared" si="97"/>
        <v>0</v>
      </c>
      <c r="I218" s="34">
        <f t="shared" si="97"/>
        <v>0</v>
      </c>
      <c r="J218" s="34">
        <f t="shared" si="97"/>
        <v>0</v>
      </c>
      <c r="K218" s="34">
        <f t="shared" si="97"/>
        <v>0</v>
      </c>
    </row>
    <row r="219" spans="1:43" hidden="1" outlineLevel="1" x14ac:dyDescent="0.2">
      <c r="C219" s="487"/>
      <c r="G219" s="489"/>
      <c r="H219" s="489"/>
      <c r="I219" s="489"/>
    </row>
    <row r="220" spans="1:43" collapsed="1" x14ac:dyDescent="0.2">
      <c r="C220" s="487"/>
    </row>
    <row r="221" spans="1:43" ht="15" x14ac:dyDescent="0.2">
      <c r="C221" s="246">
        <v>4</v>
      </c>
      <c r="D221" s="129" t="str">
        <f>INDEX(NamesMSAdditional,C221,1)</f>
        <v>** NOT USED **</v>
      </c>
      <c r="E221" s="123"/>
      <c r="F221" s="123"/>
      <c r="G221" s="123"/>
      <c r="H221" s="123"/>
      <c r="I221" s="588" t="str">
        <f>IF(D221&lt;&gt;MsgNotUsed,"Co-payment group " &amp; INDEX(CoPayBandMSAdditional,C221),"")</f>
        <v/>
      </c>
      <c r="J221" s="588"/>
      <c r="K221" s="123"/>
      <c r="L221" s="123"/>
      <c r="M221" s="123"/>
      <c r="N221" s="123"/>
      <c r="O221" s="123"/>
      <c r="P221" s="123"/>
      <c r="Q221" s="123"/>
      <c r="R221" s="123"/>
      <c r="S221" s="123"/>
      <c r="T221" s="123"/>
      <c r="U221" s="123"/>
      <c r="V221" s="123"/>
      <c r="W221" s="123"/>
      <c r="X221" s="123"/>
      <c r="Y221" s="123"/>
      <c r="Z221" s="123"/>
      <c r="AA221" s="123"/>
      <c r="AB221" s="123"/>
      <c r="AC221" s="123"/>
      <c r="AD221" s="123"/>
      <c r="AE221" s="123"/>
      <c r="AF221" s="123"/>
      <c r="AG221" s="123"/>
      <c r="AH221" s="123"/>
      <c r="AI221" s="123"/>
      <c r="AJ221" s="123"/>
      <c r="AK221" s="123"/>
      <c r="AL221" s="123"/>
      <c r="AM221" s="123"/>
      <c r="AN221" s="123"/>
      <c r="AO221" s="123"/>
      <c r="AP221" s="123"/>
      <c r="AQ221" s="123"/>
    </row>
    <row r="222" spans="1:43" ht="15.75" hidden="1" outlineLevel="1" x14ac:dyDescent="0.2">
      <c r="A222" s="22"/>
      <c r="B222" s="22"/>
      <c r="C222" s="486"/>
      <c r="D222" s="454"/>
      <c r="E222" s="22"/>
      <c r="F222" s="22"/>
      <c r="G222" s="22"/>
      <c r="H222" s="22"/>
      <c r="I222" s="22"/>
      <c r="J222" s="22"/>
      <c r="K222" s="22"/>
      <c r="L222" s="22"/>
      <c r="M222" s="22"/>
      <c r="N222" s="22"/>
      <c r="O222" s="22"/>
      <c r="P222" s="22"/>
      <c r="Q222" s="22"/>
      <c r="R222" s="22"/>
      <c r="S222" s="22"/>
      <c r="T222" s="22"/>
      <c r="U222" s="22"/>
      <c r="V222" s="22"/>
      <c r="W222" s="22"/>
      <c r="X222" s="22"/>
      <c r="Y222" s="22"/>
      <c r="Z222" s="22"/>
      <c r="AA222" s="22"/>
      <c r="AB222" s="22"/>
      <c r="AC222" s="22"/>
      <c r="AD222" s="22"/>
      <c r="AE222" s="22"/>
      <c r="AF222" s="22"/>
      <c r="AG222" s="22"/>
      <c r="AH222" s="22"/>
      <c r="AI222" s="22"/>
      <c r="AJ222" s="22"/>
      <c r="AK222" s="22"/>
      <c r="AL222" s="22"/>
      <c r="AM222" s="22"/>
      <c r="AN222" s="22"/>
      <c r="AO222" s="22"/>
      <c r="AP222" s="22"/>
      <c r="AQ222" s="22"/>
    </row>
    <row r="223" spans="1:43" ht="14.25" hidden="1" customHeight="1" outlineLevel="1" x14ac:dyDescent="0.2">
      <c r="C223" s="487"/>
      <c r="D223" s="488"/>
      <c r="E223" s="58">
        <f>F223-1</f>
        <v>2025</v>
      </c>
      <c r="F223" s="58">
        <f>FirstYear</f>
        <v>2026</v>
      </c>
      <c r="G223" s="58">
        <f>F223+1</f>
        <v>2027</v>
      </c>
      <c r="H223" s="58">
        <f>G223+1</f>
        <v>2028</v>
      </c>
      <c r="I223" s="58">
        <f>H223+1</f>
        <v>2029</v>
      </c>
      <c r="J223" s="58">
        <f>I223+1</f>
        <v>2030</v>
      </c>
      <c r="K223" s="58">
        <f>J223+1</f>
        <v>2031</v>
      </c>
      <c r="M223" s="260"/>
      <c r="P223" s="260"/>
    </row>
    <row r="224" spans="1:43" hidden="1" outlineLevel="1" x14ac:dyDescent="0.2">
      <c r="C224" s="487"/>
      <c r="D224" s="2" t="s">
        <v>111</v>
      </c>
      <c r="E224" s="33">
        <f>INDEX(ScriptsMSAdditional,$C221) * INDEX(NamesMSAdditional,$C221,3)</f>
        <v>0</v>
      </c>
      <c r="F224" s="33">
        <f t="shared" ref="F224:K224" si="98">IF(E224="","",E224*(1+E225))</f>
        <v>0</v>
      </c>
      <c r="G224" s="33">
        <f t="shared" si="98"/>
        <v>0</v>
      </c>
      <c r="H224" s="33">
        <f t="shared" si="98"/>
        <v>0</v>
      </c>
      <c r="I224" s="33">
        <f t="shared" si="98"/>
        <v>0</v>
      </c>
      <c r="J224" s="33">
        <f>IF(I224="","",I224*(1+I225))</f>
        <v>0</v>
      </c>
      <c r="K224" s="33">
        <f t="shared" si="98"/>
        <v>0</v>
      </c>
      <c r="M224" s="31" t="s">
        <v>249</v>
      </c>
      <c r="O224" s="260"/>
      <c r="R224" s="260"/>
    </row>
    <row r="225" spans="1:43" hidden="1" outlineLevel="1" x14ac:dyDescent="0.2">
      <c r="C225" s="487"/>
      <c r="D225" s="7" t="s">
        <v>26</v>
      </c>
      <c r="E225" s="29"/>
      <c r="F225" s="29"/>
      <c r="G225" s="29"/>
      <c r="H225" s="29"/>
      <c r="I225" s="29"/>
      <c r="J225" s="29"/>
      <c r="K225" s="28"/>
      <c r="M225" s="629"/>
      <c r="N225" s="629"/>
      <c r="O225" s="629"/>
      <c r="P225" s="629"/>
      <c r="Q225" s="629"/>
      <c r="R225" s="629"/>
      <c r="S225" s="629"/>
      <c r="T225" s="629"/>
    </row>
    <row r="226" spans="1:43" hidden="1" outlineLevel="1" x14ac:dyDescent="0.2">
      <c r="C226" s="487"/>
      <c r="D226" s="7" t="s">
        <v>33</v>
      </c>
      <c r="E226" s="29"/>
      <c r="F226" s="29"/>
      <c r="G226" s="29"/>
      <c r="H226" s="29"/>
      <c r="I226" s="29"/>
      <c r="J226" s="29"/>
      <c r="K226" s="29"/>
      <c r="M226" s="629"/>
      <c r="N226" s="629"/>
      <c r="O226" s="629"/>
      <c r="P226" s="629"/>
      <c r="Q226" s="629"/>
      <c r="R226" s="629"/>
      <c r="S226" s="629"/>
      <c r="T226" s="629"/>
    </row>
    <row r="227" spans="1:43" hidden="1" outlineLevel="1" x14ac:dyDescent="0.2">
      <c r="C227" s="487"/>
      <c r="D227" s="7" t="s">
        <v>836</v>
      </c>
      <c r="E227" s="29"/>
      <c r="F227" s="29"/>
      <c r="G227" s="29"/>
      <c r="H227" s="29"/>
      <c r="I227" s="29"/>
      <c r="J227" s="29"/>
      <c r="K227" s="29"/>
      <c r="M227" s="629"/>
      <c r="N227" s="629"/>
      <c r="O227" s="629"/>
      <c r="P227" s="629"/>
      <c r="Q227" s="629"/>
      <c r="R227" s="629"/>
      <c r="S227" s="629"/>
      <c r="T227" s="629"/>
    </row>
    <row r="228" spans="1:43" hidden="1" outlineLevel="1" x14ac:dyDescent="0.2">
      <c r="C228" s="487"/>
      <c r="D228" s="9" t="s">
        <v>104</v>
      </c>
      <c r="E228" s="33">
        <f t="shared" ref="E228:K228" si="99">E230-E229</f>
        <v>0</v>
      </c>
      <c r="F228" s="33">
        <f t="shared" si="99"/>
        <v>0</v>
      </c>
      <c r="G228" s="33">
        <f t="shared" si="99"/>
        <v>0</v>
      </c>
      <c r="H228" s="33">
        <f t="shared" si="99"/>
        <v>0</v>
      </c>
      <c r="I228" s="33">
        <f t="shared" si="99"/>
        <v>0</v>
      </c>
      <c r="J228" s="33">
        <f t="shared" si="99"/>
        <v>0</v>
      </c>
      <c r="K228" s="33">
        <f t="shared" si="99"/>
        <v>0</v>
      </c>
    </row>
    <row r="229" spans="1:43" hidden="1" outlineLevel="1" x14ac:dyDescent="0.2">
      <c r="C229" s="487"/>
      <c r="D229" s="9" t="s">
        <v>105</v>
      </c>
      <c r="E229" s="33">
        <f t="shared" ref="E229:K229" si="100">ROUND(E230*$T$161,0)</f>
        <v>0</v>
      </c>
      <c r="F229" s="33">
        <f t="shared" si="100"/>
        <v>0</v>
      </c>
      <c r="G229" s="33">
        <f t="shared" si="100"/>
        <v>0</v>
      </c>
      <c r="H229" s="33">
        <f t="shared" si="100"/>
        <v>0</v>
      </c>
      <c r="I229" s="33">
        <f t="shared" si="100"/>
        <v>0</v>
      </c>
      <c r="J229" s="33">
        <f t="shared" si="100"/>
        <v>0</v>
      </c>
      <c r="K229" s="33">
        <f t="shared" si="100"/>
        <v>0</v>
      </c>
    </row>
    <row r="230" spans="1:43" hidden="1" outlineLevel="1" x14ac:dyDescent="0.2">
      <c r="C230" s="487"/>
      <c r="D230" s="78" t="s">
        <v>831</v>
      </c>
      <c r="E230" s="34">
        <f t="shared" ref="E230:K230" si="101">IF(E224="","",E227*E226*E224)</f>
        <v>0</v>
      </c>
      <c r="F230" s="34">
        <f t="shared" si="101"/>
        <v>0</v>
      </c>
      <c r="G230" s="34">
        <f t="shared" si="101"/>
        <v>0</v>
      </c>
      <c r="H230" s="34">
        <f t="shared" si="101"/>
        <v>0</v>
      </c>
      <c r="I230" s="34">
        <f t="shared" si="101"/>
        <v>0</v>
      </c>
      <c r="J230" s="34">
        <f t="shared" si="101"/>
        <v>0</v>
      </c>
      <c r="K230" s="34">
        <f t="shared" si="101"/>
        <v>0</v>
      </c>
    </row>
    <row r="231" spans="1:43" hidden="1" outlineLevel="1" x14ac:dyDescent="0.2">
      <c r="C231" s="487"/>
      <c r="G231" s="489"/>
      <c r="H231" s="489"/>
      <c r="I231" s="489"/>
    </row>
    <row r="232" spans="1:43" collapsed="1" x14ac:dyDescent="0.2">
      <c r="C232" s="487"/>
    </row>
    <row r="233" spans="1:43" ht="15" x14ac:dyDescent="0.2">
      <c r="C233" s="246">
        <v>5</v>
      </c>
      <c r="D233" s="129" t="str">
        <f>INDEX(NamesMSAdditional,C233,1)</f>
        <v>** NOT USED **</v>
      </c>
      <c r="E233" s="123"/>
      <c r="F233" s="123"/>
      <c r="G233" s="123"/>
      <c r="H233" s="123"/>
      <c r="I233" s="588" t="str">
        <f>IF(D233&lt;&gt;MsgNotUsed,"Co-payment group " &amp; INDEX(CoPayBandMSAdditional,C233),"")</f>
        <v/>
      </c>
      <c r="J233" s="588"/>
      <c r="K233" s="123"/>
      <c r="L233" s="123"/>
      <c r="M233" s="123"/>
      <c r="N233" s="123"/>
      <c r="O233" s="123"/>
      <c r="P233" s="123"/>
      <c r="Q233" s="123"/>
      <c r="R233" s="123"/>
      <c r="S233" s="123"/>
      <c r="T233" s="123"/>
      <c r="U233" s="123"/>
      <c r="V233" s="123"/>
      <c r="W233" s="123"/>
      <c r="X233" s="123"/>
      <c r="Y233" s="123"/>
      <c r="Z233" s="123"/>
      <c r="AA233" s="123"/>
      <c r="AB233" s="123"/>
      <c r="AC233" s="123"/>
      <c r="AD233" s="123"/>
      <c r="AE233" s="123"/>
      <c r="AF233" s="123"/>
      <c r="AG233" s="123"/>
      <c r="AH233" s="123"/>
      <c r="AI233" s="123"/>
      <c r="AJ233" s="123"/>
      <c r="AK233" s="123"/>
      <c r="AL233" s="123"/>
      <c r="AM233" s="123"/>
      <c r="AN233" s="123"/>
      <c r="AO233" s="123"/>
      <c r="AP233" s="123"/>
      <c r="AQ233" s="123"/>
    </row>
    <row r="234" spans="1:43" ht="15.75" hidden="1" outlineLevel="1" x14ac:dyDescent="0.2">
      <c r="A234" s="22"/>
      <c r="B234" s="22"/>
      <c r="C234" s="486"/>
      <c r="D234" s="454"/>
      <c r="E234" s="22"/>
      <c r="F234" s="22"/>
      <c r="G234" s="22"/>
      <c r="H234" s="22"/>
      <c r="I234" s="22"/>
      <c r="J234" s="22"/>
      <c r="K234" s="22"/>
      <c r="L234" s="22"/>
      <c r="M234" s="22"/>
      <c r="N234" s="22"/>
      <c r="O234" s="22"/>
      <c r="P234" s="22"/>
      <c r="Q234" s="22"/>
      <c r="R234" s="22"/>
      <c r="S234" s="22"/>
      <c r="T234" s="22"/>
      <c r="U234" s="22"/>
      <c r="V234" s="22"/>
      <c r="W234" s="22"/>
      <c r="X234" s="22"/>
      <c r="Y234" s="22"/>
      <c r="Z234" s="22"/>
      <c r="AA234" s="22"/>
      <c r="AB234" s="22"/>
      <c r="AC234" s="22"/>
      <c r="AD234" s="22"/>
      <c r="AE234" s="22"/>
      <c r="AF234" s="22"/>
      <c r="AG234" s="22"/>
      <c r="AH234" s="22"/>
      <c r="AI234" s="22"/>
      <c r="AJ234" s="22"/>
      <c r="AK234" s="22"/>
      <c r="AL234" s="22"/>
      <c r="AM234" s="22"/>
      <c r="AN234" s="22"/>
      <c r="AO234" s="22"/>
      <c r="AP234" s="22"/>
      <c r="AQ234" s="22"/>
    </row>
    <row r="235" spans="1:43" ht="14.25" hidden="1" customHeight="1" outlineLevel="1" x14ac:dyDescent="0.2">
      <c r="C235" s="487"/>
      <c r="D235" s="488"/>
      <c r="E235" s="58">
        <f>F235-1</f>
        <v>2025</v>
      </c>
      <c r="F235" s="58">
        <f>FirstYear</f>
        <v>2026</v>
      </c>
      <c r="G235" s="58">
        <f>F235+1</f>
        <v>2027</v>
      </c>
      <c r="H235" s="58">
        <f>G235+1</f>
        <v>2028</v>
      </c>
      <c r="I235" s="58">
        <f>H235+1</f>
        <v>2029</v>
      </c>
      <c r="J235" s="58">
        <f>I235+1</f>
        <v>2030</v>
      </c>
      <c r="K235" s="58">
        <f>J235+1</f>
        <v>2031</v>
      </c>
      <c r="M235" s="260"/>
      <c r="P235" s="260"/>
    </row>
    <row r="236" spans="1:43" hidden="1" outlineLevel="1" x14ac:dyDescent="0.2">
      <c r="C236" s="487"/>
      <c r="D236" s="2" t="s">
        <v>111</v>
      </c>
      <c r="E236" s="33">
        <f>INDEX(ScriptsMSAdditional,$C233) * INDEX(NamesMSAdditional,$C233,3)</f>
        <v>0</v>
      </c>
      <c r="F236" s="33">
        <f t="shared" ref="F236:K236" si="102">IF(E236="","",E236*(1+E237))</f>
        <v>0</v>
      </c>
      <c r="G236" s="33">
        <f t="shared" si="102"/>
        <v>0</v>
      </c>
      <c r="H236" s="33">
        <f t="shared" si="102"/>
        <v>0</v>
      </c>
      <c r="I236" s="33">
        <f t="shared" si="102"/>
        <v>0</v>
      </c>
      <c r="J236" s="33">
        <f>IF(I236="","",I236*(1+I237))</f>
        <v>0</v>
      </c>
      <c r="K236" s="33">
        <f t="shared" si="102"/>
        <v>0</v>
      </c>
      <c r="M236" s="31" t="s">
        <v>249</v>
      </c>
      <c r="O236" s="260"/>
      <c r="R236" s="260"/>
    </row>
    <row r="237" spans="1:43" hidden="1" outlineLevel="1" x14ac:dyDescent="0.2">
      <c r="C237" s="487"/>
      <c r="D237" s="7" t="s">
        <v>26</v>
      </c>
      <c r="E237" s="29"/>
      <c r="F237" s="29"/>
      <c r="G237" s="29"/>
      <c r="H237" s="29"/>
      <c r="I237" s="29"/>
      <c r="J237" s="29"/>
      <c r="K237" s="28"/>
      <c r="M237" s="629"/>
      <c r="N237" s="629"/>
      <c r="O237" s="629"/>
      <c r="P237" s="629"/>
      <c r="Q237" s="629"/>
      <c r="R237" s="629"/>
      <c r="S237" s="629"/>
      <c r="T237" s="629"/>
    </row>
    <row r="238" spans="1:43" hidden="1" outlineLevel="1" x14ac:dyDescent="0.2">
      <c r="C238" s="487"/>
      <c r="D238" s="7" t="s">
        <v>33</v>
      </c>
      <c r="E238" s="29"/>
      <c r="F238" s="29"/>
      <c r="G238" s="29"/>
      <c r="H238" s="29"/>
      <c r="I238" s="29"/>
      <c r="J238" s="29"/>
      <c r="K238" s="29"/>
      <c r="M238" s="629"/>
      <c r="N238" s="629"/>
      <c r="O238" s="629"/>
      <c r="P238" s="629"/>
      <c r="Q238" s="629"/>
      <c r="R238" s="629"/>
      <c r="S238" s="629"/>
      <c r="T238" s="629"/>
    </row>
    <row r="239" spans="1:43" hidden="1" outlineLevel="1" x14ac:dyDescent="0.2">
      <c r="C239" s="487"/>
      <c r="D239" s="7" t="s">
        <v>836</v>
      </c>
      <c r="E239" s="29"/>
      <c r="F239" s="29"/>
      <c r="G239" s="29"/>
      <c r="H239" s="29"/>
      <c r="I239" s="29"/>
      <c r="J239" s="29"/>
      <c r="K239" s="29"/>
      <c r="M239" s="629"/>
      <c r="N239" s="629"/>
      <c r="O239" s="629"/>
      <c r="P239" s="629"/>
      <c r="Q239" s="629"/>
      <c r="R239" s="629"/>
      <c r="S239" s="629"/>
      <c r="T239" s="629"/>
    </row>
    <row r="240" spans="1:43" hidden="1" outlineLevel="1" x14ac:dyDescent="0.2">
      <c r="C240" s="487"/>
      <c r="D240" s="9" t="s">
        <v>104</v>
      </c>
      <c r="E240" s="33">
        <f t="shared" ref="E240:K240" si="103">E242-E241</f>
        <v>0</v>
      </c>
      <c r="F240" s="33">
        <f t="shared" si="103"/>
        <v>0</v>
      </c>
      <c r="G240" s="33">
        <f t="shared" si="103"/>
        <v>0</v>
      </c>
      <c r="H240" s="33">
        <f t="shared" si="103"/>
        <v>0</v>
      </c>
      <c r="I240" s="33">
        <f t="shared" si="103"/>
        <v>0</v>
      </c>
      <c r="J240" s="33">
        <f t="shared" si="103"/>
        <v>0</v>
      </c>
      <c r="K240" s="33">
        <f t="shared" si="103"/>
        <v>0</v>
      </c>
    </row>
    <row r="241" spans="1:43" hidden="1" outlineLevel="1" x14ac:dyDescent="0.2">
      <c r="C241" s="487"/>
      <c r="D241" s="9" t="s">
        <v>105</v>
      </c>
      <c r="E241" s="33">
        <f t="shared" ref="E241:K241" si="104">ROUND(E242*$T$162,0)</f>
        <v>0</v>
      </c>
      <c r="F241" s="33">
        <f t="shared" si="104"/>
        <v>0</v>
      </c>
      <c r="G241" s="33">
        <f t="shared" si="104"/>
        <v>0</v>
      </c>
      <c r="H241" s="33">
        <f t="shared" si="104"/>
        <v>0</v>
      </c>
      <c r="I241" s="33">
        <f t="shared" si="104"/>
        <v>0</v>
      </c>
      <c r="J241" s="33">
        <f t="shared" si="104"/>
        <v>0</v>
      </c>
      <c r="K241" s="33">
        <f t="shared" si="104"/>
        <v>0</v>
      </c>
    </row>
    <row r="242" spans="1:43" hidden="1" outlineLevel="1" x14ac:dyDescent="0.2">
      <c r="C242" s="487"/>
      <c r="D242" s="78" t="s">
        <v>831</v>
      </c>
      <c r="E242" s="34">
        <f t="shared" ref="E242:K242" si="105">IF(E236="","",E239*E238*E236)</f>
        <v>0</v>
      </c>
      <c r="F242" s="34">
        <f t="shared" si="105"/>
        <v>0</v>
      </c>
      <c r="G242" s="34">
        <f t="shared" si="105"/>
        <v>0</v>
      </c>
      <c r="H242" s="34">
        <f t="shared" si="105"/>
        <v>0</v>
      </c>
      <c r="I242" s="34">
        <f t="shared" si="105"/>
        <v>0</v>
      </c>
      <c r="J242" s="34">
        <f t="shared" si="105"/>
        <v>0</v>
      </c>
      <c r="K242" s="34">
        <f t="shared" si="105"/>
        <v>0</v>
      </c>
    </row>
    <row r="243" spans="1:43" hidden="1" outlineLevel="1" x14ac:dyDescent="0.2">
      <c r="C243" s="487"/>
      <c r="G243" s="489"/>
      <c r="H243" s="489"/>
      <c r="I243" s="489"/>
    </row>
    <row r="244" spans="1:43" collapsed="1" x14ac:dyDescent="0.2">
      <c r="C244" s="487"/>
    </row>
    <row r="245" spans="1:43" ht="15" x14ac:dyDescent="0.2">
      <c r="C245" s="246">
        <v>6</v>
      </c>
      <c r="D245" s="129" t="str">
        <f>INDEX(NamesMSAdditional,C245,1)</f>
        <v>** NOT USED **</v>
      </c>
      <c r="E245" s="123"/>
      <c r="F245" s="123"/>
      <c r="G245" s="123"/>
      <c r="H245" s="123"/>
      <c r="I245" s="588" t="str">
        <f>IF(D245&lt;&gt;MsgNotUsed,"Co-payment group " &amp; INDEX(CoPayBandMSAdditional,C245),"")</f>
        <v/>
      </c>
      <c r="J245" s="588"/>
      <c r="K245" s="123"/>
      <c r="L245" s="123"/>
      <c r="M245" s="123"/>
      <c r="N245" s="123"/>
      <c r="O245" s="123"/>
      <c r="P245" s="123"/>
      <c r="Q245" s="123"/>
      <c r="R245" s="123"/>
      <c r="S245" s="123"/>
      <c r="T245" s="123"/>
      <c r="U245" s="123"/>
      <c r="V245" s="123"/>
      <c r="W245" s="123"/>
      <c r="X245" s="123"/>
      <c r="Y245" s="123"/>
      <c r="Z245" s="123"/>
      <c r="AA245" s="123"/>
      <c r="AB245" s="123"/>
      <c r="AC245" s="123"/>
      <c r="AD245" s="123"/>
      <c r="AE245" s="123"/>
      <c r="AF245" s="123"/>
      <c r="AG245" s="123"/>
      <c r="AH245" s="123"/>
      <c r="AI245" s="123"/>
      <c r="AJ245" s="123"/>
      <c r="AK245" s="123"/>
      <c r="AL245" s="123"/>
      <c r="AM245" s="123"/>
      <c r="AN245" s="123"/>
      <c r="AO245" s="123"/>
      <c r="AP245" s="123"/>
      <c r="AQ245" s="123"/>
    </row>
    <row r="246" spans="1:43" ht="15.75" hidden="1" outlineLevel="1" x14ac:dyDescent="0.2">
      <c r="A246" s="22"/>
      <c r="B246" s="22"/>
      <c r="C246" s="486"/>
      <c r="D246" s="454"/>
      <c r="E246" s="22"/>
      <c r="F246" s="22"/>
      <c r="G246" s="22"/>
      <c r="H246" s="22"/>
      <c r="I246" s="22"/>
      <c r="J246" s="22"/>
      <c r="K246" s="22"/>
      <c r="L246" s="22"/>
      <c r="M246" s="22"/>
      <c r="N246" s="22"/>
      <c r="O246" s="22"/>
      <c r="P246" s="22"/>
      <c r="Q246" s="22"/>
      <c r="R246" s="22"/>
      <c r="S246" s="22"/>
      <c r="T246" s="22"/>
      <c r="U246" s="22"/>
      <c r="V246" s="22"/>
      <c r="W246" s="22"/>
      <c r="X246" s="22"/>
      <c r="Y246" s="22"/>
      <c r="Z246" s="22"/>
      <c r="AA246" s="22"/>
      <c r="AB246" s="22"/>
      <c r="AC246" s="22"/>
      <c r="AD246" s="22"/>
      <c r="AE246" s="22"/>
      <c r="AF246" s="22"/>
      <c r="AG246" s="22"/>
      <c r="AH246" s="22"/>
      <c r="AI246" s="22"/>
      <c r="AJ246" s="22"/>
      <c r="AK246" s="22"/>
      <c r="AL246" s="22"/>
      <c r="AM246" s="22"/>
      <c r="AN246" s="22"/>
      <c r="AO246" s="22"/>
      <c r="AP246" s="22"/>
      <c r="AQ246" s="22"/>
    </row>
    <row r="247" spans="1:43" ht="14.25" hidden="1" customHeight="1" outlineLevel="1" x14ac:dyDescent="0.2">
      <c r="C247" s="487"/>
      <c r="D247" s="488"/>
      <c r="E247" s="58">
        <f>F247-1</f>
        <v>2025</v>
      </c>
      <c r="F247" s="58">
        <f>FirstYear</f>
        <v>2026</v>
      </c>
      <c r="G247" s="58">
        <f>F247+1</f>
        <v>2027</v>
      </c>
      <c r="H247" s="58">
        <f>G247+1</f>
        <v>2028</v>
      </c>
      <c r="I247" s="58">
        <f>H247+1</f>
        <v>2029</v>
      </c>
      <c r="J247" s="58">
        <f>I247+1</f>
        <v>2030</v>
      </c>
      <c r="K247" s="58">
        <f>J247+1</f>
        <v>2031</v>
      </c>
      <c r="M247" s="260"/>
      <c r="P247" s="260"/>
    </row>
    <row r="248" spans="1:43" hidden="1" outlineLevel="1" x14ac:dyDescent="0.2">
      <c r="C248" s="487"/>
      <c r="D248" s="2" t="s">
        <v>111</v>
      </c>
      <c r="E248" s="33">
        <f>INDEX(ScriptsMSAdditional,$C245) * INDEX(NamesMSAdditional,$C245,3)</f>
        <v>0</v>
      </c>
      <c r="F248" s="33">
        <f t="shared" ref="F248:K248" si="106">IF(E248="","",E248*(1+E249))</f>
        <v>0</v>
      </c>
      <c r="G248" s="33">
        <f t="shared" si="106"/>
        <v>0</v>
      </c>
      <c r="H248" s="33">
        <f t="shared" si="106"/>
        <v>0</v>
      </c>
      <c r="I248" s="33">
        <f t="shared" si="106"/>
        <v>0</v>
      </c>
      <c r="J248" s="33">
        <f>IF(I248="","",I248*(1+I249))</f>
        <v>0</v>
      </c>
      <c r="K248" s="33">
        <f t="shared" si="106"/>
        <v>0</v>
      </c>
      <c r="M248" s="31" t="s">
        <v>249</v>
      </c>
      <c r="O248" s="260"/>
      <c r="R248" s="260"/>
    </row>
    <row r="249" spans="1:43" hidden="1" outlineLevel="1" x14ac:dyDescent="0.2">
      <c r="C249" s="487"/>
      <c r="D249" s="7" t="s">
        <v>26</v>
      </c>
      <c r="E249" s="29"/>
      <c r="F249" s="29"/>
      <c r="G249" s="29"/>
      <c r="H249" s="29"/>
      <c r="I249" s="29"/>
      <c r="J249" s="29"/>
      <c r="K249" s="28"/>
      <c r="M249" s="629"/>
      <c r="N249" s="629"/>
      <c r="O249" s="629"/>
      <c r="P249" s="629"/>
      <c r="Q249" s="629"/>
      <c r="R249" s="629"/>
      <c r="S249" s="629"/>
      <c r="T249" s="629"/>
    </row>
    <row r="250" spans="1:43" hidden="1" outlineLevel="1" x14ac:dyDescent="0.2">
      <c r="C250" s="487"/>
      <c r="D250" s="7" t="s">
        <v>33</v>
      </c>
      <c r="E250" s="29"/>
      <c r="F250" s="29"/>
      <c r="G250" s="29"/>
      <c r="H250" s="29"/>
      <c r="I250" s="29"/>
      <c r="J250" s="29"/>
      <c r="K250" s="29"/>
      <c r="M250" s="629"/>
      <c r="N250" s="629"/>
      <c r="O250" s="629"/>
      <c r="P250" s="629"/>
      <c r="Q250" s="629"/>
      <c r="R250" s="629"/>
      <c r="S250" s="629"/>
      <c r="T250" s="629"/>
    </row>
    <row r="251" spans="1:43" hidden="1" outlineLevel="1" x14ac:dyDescent="0.2">
      <c r="C251" s="487"/>
      <c r="D251" s="7" t="s">
        <v>836</v>
      </c>
      <c r="E251" s="29"/>
      <c r="F251" s="29"/>
      <c r="G251" s="29"/>
      <c r="H251" s="29"/>
      <c r="I251" s="29"/>
      <c r="J251" s="29"/>
      <c r="K251" s="29"/>
      <c r="M251" s="629"/>
      <c r="N251" s="629"/>
      <c r="O251" s="629"/>
      <c r="P251" s="629"/>
      <c r="Q251" s="629"/>
      <c r="R251" s="629"/>
      <c r="S251" s="629"/>
      <c r="T251" s="629"/>
    </row>
    <row r="252" spans="1:43" hidden="1" outlineLevel="1" x14ac:dyDescent="0.2">
      <c r="C252" s="487"/>
      <c r="D252" s="9" t="s">
        <v>104</v>
      </c>
      <c r="E252" s="33">
        <f t="shared" ref="E252:K252" si="107">E254-E253</f>
        <v>0</v>
      </c>
      <c r="F252" s="33">
        <f t="shared" si="107"/>
        <v>0</v>
      </c>
      <c r="G252" s="33">
        <f t="shared" si="107"/>
        <v>0</v>
      </c>
      <c r="H252" s="33">
        <f t="shared" si="107"/>
        <v>0</v>
      </c>
      <c r="I252" s="33">
        <f t="shared" si="107"/>
        <v>0</v>
      </c>
      <c r="J252" s="33">
        <f t="shared" si="107"/>
        <v>0</v>
      </c>
      <c r="K252" s="33">
        <f t="shared" si="107"/>
        <v>0</v>
      </c>
    </row>
    <row r="253" spans="1:43" hidden="1" outlineLevel="1" x14ac:dyDescent="0.2">
      <c r="C253" s="487"/>
      <c r="D253" s="9" t="s">
        <v>105</v>
      </c>
      <c r="E253" s="33">
        <f t="shared" ref="E253:K253" si="108">ROUND(E254*$T$163,0)</f>
        <v>0</v>
      </c>
      <c r="F253" s="33">
        <f t="shared" si="108"/>
        <v>0</v>
      </c>
      <c r="G253" s="33">
        <f t="shared" si="108"/>
        <v>0</v>
      </c>
      <c r="H253" s="33">
        <f t="shared" si="108"/>
        <v>0</v>
      </c>
      <c r="I253" s="33">
        <f t="shared" si="108"/>
        <v>0</v>
      </c>
      <c r="J253" s="33">
        <f t="shared" si="108"/>
        <v>0</v>
      </c>
      <c r="K253" s="33">
        <f t="shared" si="108"/>
        <v>0</v>
      </c>
    </row>
    <row r="254" spans="1:43" hidden="1" outlineLevel="1" x14ac:dyDescent="0.2">
      <c r="C254" s="487"/>
      <c r="D254" s="78" t="s">
        <v>831</v>
      </c>
      <c r="E254" s="34">
        <f t="shared" ref="E254:K254" si="109">IF(E248="","",E251*E250*E248)</f>
        <v>0</v>
      </c>
      <c r="F254" s="34">
        <f t="shared" si="109"/>
        <v>0</v>
      </c>
      <c r="G254" s="34">
        <f t="shared" si="109"/>
        <v>0</v>
      </c>
      <c r="H254" s="34">
        <f t="shared" si="109"/>
        <v>0</v>
      </c>
      <c r="I254" s="34">
        <f t="shared" si="109"/>
        <v>0</v>
      </c>
      <c r="J254" s="34">
        <f t="shared" si="109"/>
        <v>0</v>
      </c>
      <c r="K254" s="34">
        <f t="shared" si="109"/>
        <v>0</v>
      </c>
    </row>
    <row r="255" spans="1:43" hidden="1" outlineLevel="1" x14ac:dyDescent="0.2">
      <c r="C255" s="487"/>
      <c r="G255" s="489"/>
      <c r="H255" s="489"/>
      <c r="I255" s="489"/>
    </row>
    <row r="256" spans="1:43" collapsed="1" x14ac:dyDescent="0.2">
      <c r="C256" s="487"/>
    </row>
    <row r="257" spans="1:43" ht="15" x14ac:dyDescent="0.2">
      <c r="C257" s="246">
        <v>7</v>
      </c>
      <c r="D257" s="129" t="str">
        <f>INDEX(NamesMSAdditional,C257,1)</f>
        <v>** NOT USED **</v>
      </c>
      <c r="E257" s="123"/>
      <c r="F257" s="123"/>
      <c r="G257" s="123"/>
      <c r="H257" s="123"/>
      <c r="I257" s="588" t="str">
        <f>IF(D257&lt;&gt;MsgNotUsed,"Co-payment group " &amp; INDEX(CoPayBandMSAdditional,C257),"")</f>
        <v/>
      </c>
      <c r="J257" s="588"/>
      <c r="K257" s="123"/>
      <c r="L257" s="123"/>
      <c r="M257" s="123"/>
      <c r="N257" s="123"/>
      <c r="O257" s="123"/>
      <c r="P257" s="123"/>
      <c r="Q257" s="123"/>
      <c r="R257" s="123"/>
      <c r="S257" s="123"/>
      <c r="T257" s="123"/>
      <c r="U257" s="123"/>
      <c r="V257" s="123"/>
      <c r="W257" s="123"/>
      <c r="X257" s="123"/>
      <c r="Y257" s="123"/>
      <c r="Z257" s="123"/>
      <c r="AA257" s="123"/>
      <c r="AB257" s="123"/>
      <c r="AC257" s="123"/>
      <c r="AD257" s="123"/>
      <c r="AE257" s="123"/>
      <c r="AF257" s="123"/>
      <c r="AG257" s="123"/>
      <c r="AH257" s="123"/>
      <c r="AI257" s="123"/>
      <c r="AJ257" s="123"/>
      <c r="AK257" s="123"/>
      <c r="AL257" s="123"/>
      <c r="AM257" s="123"/>
      <c r="AN257" s="123"/>
      <c r="AO257" s="123"/>
      <c r="AP257" s="123"/>
      <c r="AQ257" s="123"/>
    </row>
    <row r="258" spans="1:43" ht="15.75" hidden="1" outlineLevel="1" x14ac:dyDescent="0.2">
      <c r="A258" s="22"/>
      <c r="B258" s="22"/>
      <c r="C258" s="486"/>
      <c r="D258" s="454"/>
      <c r="E258" s="22"/>
      <c r="F258" s="22"/>
      <c r="G258" s="22"/>
      <c r="H258" s="22"/>
      <c r="I258" s="22"/>
      <c r="J258" s="22"/>
      <c r="K258" s="22"/>
      <c r="L258" s="22"/>
      <c r="M258" s="22"/>
      <c r="N258" s="22"/>
      <c r="O258" s="22"/>
      <c r="P258" s="22"/>
      <c r="Q258" s="22"/>
      <c r="R258" s="22"/>
      <c r="S258" s="22"/>
      <c r="T258" s="22"/>
      <c r="U258" s="22"/>
      <c r="V258" s="22"/>
      <c r="W258" s="22"/>
      <c r="X258" s="22"/>
      <c r="Y258" s="22"/>
      <c r="Z258" s="22"/>
      <c r="AA258" s="22"/>
      <c r="AB258" s="22"/>
      <c r="AC258" s="22"/>
      <c r="AD258" s="22"/>
      <c r="AE258" s="22"/>
      <c r="AF258" s="22"/>
      <c r="AG258" s="22"/>
      <c r="AH258" s="22"/>
      <c r="AI258" s="22"/>
      <c r="AJ258" s="22"/>
      <c r="AK258" s="22"/>
      <c r="AL258" s="22"/>
      <c r="AM258" s="22"/>
      <c r="AN258" s="22"/>
      <c r="AO258" s="22"/>
      <c r="AP258" s="22"/>
      <c r="AQ258" s="22"/>
    </row>
    <row r="259" spans="1:43" ht="14.25" hidden="1" customHeight="1" outlineLevel="1" x14ac:dyDescent="0.2">
      <c r="C259" s="487"/>
      <c r="D259" s="488"/>
      <c r="E259" s="58">
        <f>F259-1</f>
        <v>2025</v>
      </c>
      <c r="F259" s="58">
        <f>FirstYear</f>
        <v>2026</v>
      </c>
      <c r="G259" s="58">
        <f>F259+1</f>
        <v>2027</v>
      </c>
      <c r="H259" s="58">
        <f>G259+1</f>
        <v>2028</v>
      </c>
      <c r="I259" s="58">
        <f>H259+1</f>
        <v>2029</v>
      </c>
      <c r="J259" s="58">
        <f>I259+1</f>
        <v>2030</v>
      </c>
      <c r="K259" s="58">
        <f>J259+1</f>
        <v>2031</v>
      </c>
      <c r="M259" s="260"/>
      <c r="P259" s="260"/>
    </row>
    <row r="260" spans="1:43" hidden="1" outlineLevel="1" x14ac:dyDescent="0.2">
      <c r="C260" s="487"/>
      <c r="D260" s="2" t="s">
        <v>111</v>
      </c>
      <c r="E260" s="33">
        <f>INDEX(ScriptsMSAdditional,$C257) * INDEX(NamesMSAdditional,$C257,3)</f>
        <v>0</v>
      </c>
      <c r="F260" s="33">
        <f t="shared" ref="F260:K260" si="110">IF(E260="","",E260*(1+E261))</f>
        <v>0</v>
      </c>
      <c r="G260" s="33">
        <f t="shared" si="110"/>
        <v>0</v>
      </c>
      <c r="H260" s="33">
        <f t="shared" si="110"/>
        <v>0</v>
      </c>
      <c r="I260" s="33">
        <f t="shared" si="110"/>
        <v>0</v>
      </c>
      <c r="J260" s="33">
        <f>IF(I260="","",I260*(1+I261))</f>
        <v>0</v>
      </c>
      <c r="K260" s="33">
        <f t="shared" si="110"/>
        <v>0</v>
      </c>
      <c r="M260" s="31" t="s">
        <v>249</v>
      </c>
      <c r="O260" s="260"/>
      <c r="R260" s="260"/>
    </row>
    <row r="261" spans="1:43" hidden="1" outlineLevel="1" x14ac:dyDescent="0.2">
      <c r="C261" s="487"/>
      <c r="D261" s="7" t="s">
        <v>26</v>
      </c>
      <c r="E261" s="29"/>
      <c r="F261" s="29"/>
      <c r="G261" s="29"/>
      <c r="H261" s="29"/>
      <c r="I261" s="29"/>
      <c r="J261" s="29"/>
      <c r="K261" s="28"/>
      <c r="M261" s="629"/>
      <c r="N261" s="629"/>
      <c r="O261" s="629"/>
      <c r="P261" s="629"/>
      <c r="Q261" s="629"/>
      <c r="R261" s="629"/>
      <c r="S261" s="629"/>
      <c r="T261" s="629"/>
    </row>
    <row r="262" spans="1:43" hidden="1" outlineLevel="1" x14ac:dyDescent="0.2">
      <c r="C262" s="487"/>
      <c r="D262" s="7" t="s">
        <v>33</v>
      </c>
      <c r="E262" s="29"/>
      <c r="F262" s="29"/>
      <c r="G262" s="29"/>
      <c r="H262" s="29"/>
      <c r="I262" s="29"/>
      <c r="J262" s="29"/>
      <c r="K262" s="29"/>
      <c r="M262" s="629"/>
      <c r="N262" s="629"/>
      <c r="O262" s="629"/>
      <c r="P262" s="629"/>
      <c r="Q262" s="629"/>
      <c r="R262" s="629"/>
      <c r="S262" s="629"/>
      <c r="T262" s="629"/>
    </row>
    <row r="263" spans="1:43" hidden="1" outlineLevel="1" x14ac:dyDescent="0.2">
      <c r="C263" s="487"/>
      <c r="D263" s="7" t="s">
        <v>836</v>
      </c>
      <c r="E263" s="29"/>
      <c r="F263" s="29"/>
      <c r="G263" s="29"/>
      <c r="H263" s="29"/>
      <c r="I263" s="29"/>
      <c r="J263" s="29"/>
      <c r="K263" s="29"/>
      <c r="M263" s="629"/>
      <c r="N263" s="629"/>
      <c r="O263" s="629"/>
      <c r="P263" s="629"/>
      <c r="Q263" s="629"/>
      <c r="R263" s="629"/>
      <c r="S263" s="629"/>
      <c r="T263" s="629"/>
    </row>
    <row r="264" spans="1:43" hidden="1" outlineLevel="1" x14ac:dyDescent="0.2">
      <c r="C264" s="487"/>
      <c r="D264" s="9" t="s">
        <v>104</v>
      </c>
      <c r="E264" s="33">
        <f t="shared" ref="E264:K264" si="111">E266-E265</f>
        <v>0</v>
      </c>
      <c r="F264" s="33">
        <f t="shared" si="111"/>
        <v>0</v>
      </c>
      <c r="G264" s="33">
        <f t="shared" si="111"/>
        <v>0</v>
      </c>
      <c r="H264" s="33">
        <f t="shared" si="111"/>
        <v>0</v>
      </c>
      <c r="I264" s="33">
        <f t="shared" si="111"/>
        <v>0</v>
      </c>
      <c r="J264" s="33">
        <f t="shared" si="111"/>
        <v>0</v>
      </c>
      <c r="K264" s="33">
        <f t="shared" si="111"/>
        <v>0</v>
      </c>
    </row>
    <row r="265" spans="1:43" hidden="1" outlineLevel="1" x14ac:dyDescent="0.2">
      <c r="C265" s="487"/>
      <c r="D265" s="9" t="s">
        <v>105</v>
      </c>
      <c r="E265" s="33">
        <f t="shared" ref="E265:K265" si="112">ROUND(E266*$T$164,0)</f>
        <v>0</v>
      </c>
      <c r="F265" s="33">
        <f t="shared" si="112"/>
        <v>0</v>
      </c>
      <c r="G265" s="33">
        <f t="shared" si="112"/>
        <v>0</v>
      </c>
      <c r="H265" s="33">
        <f t="shared" si="112"/>
        <v>0</v>
      </c>
      <c r="I265" s="33">
        <f t="shared" si="112"/>
        <v>0</v>
      </c>
      <c r="J265" s="33">
        <f t="shared" si="112"/>
        <v>0</v>
      </c>
      <c r="K265" s="33">
        <f t="shared" si="112"/>
        <v>0</v>
      </c>
    </row>
    <row r="266" spans="1:43" hidden="1" outlineLevel="1" x14ac:dyDescent="0.2">
      <c r="C266" s="487"/>
      <c r="D266" s="78" t="s">
        <v>831</v>
      </c>
      <c r="E266" s="34">
        <f t="shared" ref="E266:K266" si="113">IF(E260="","",E263*E262*E260)</f>
        <v>0</v>
      </c>
      <c r="F266" s="34">
        <f t="shared" si="113"/>
        <v>0</v>
      </c>
      <c r="G266" s="34">
        <f t="shared" si="113"/>
        <v>0</v>
      </c>
      <c r="H266" s="34">
        <f t="shared" si="113"/>
        <v>0</v>
      </c>
      <c r="I266" s="34">
        <f t="shared" si="113"/>
        <v>0</v>
      </c>
      <c r="J266" s="34">
        <f t="shared" si="113"/>
        <v>0</v>
      </c>
      <c r="K266" s="34">
        <f t="shared" si="113"/>
        <v>0</v>
      </c>
    </row>
    <row r="267" spans="1:43" hidden="1" outlineLevel="1" x14ac:dyDescent="0.2">
      <c r="C267" s="487"/>
      <c r="G267" s="489"/>
      <c r="H267" s="489"/>
      <c r="I267" s="489"/>
    </row>
    <row r="268" spans="1:43" collapsed="1" x14ac:dyDescent="0.2">
      <c r="C268" s="487"/>
    </row>
    <row r="269" spans="1:43" ht="15" x14ac:dyDescent="0.2">
      <c r="C269" s="246">
        <v>8</v>
      </c>
      <c r="D269" s="129" t="str">
        <f>INDEX(NamesMSAdditional,C269,1)</f>
        <v>** NOT USED **</v>
      </c>
      <c r="E269" s="123"/>
      <c r="F269" s="123"/>
      <c r="G269" s="123"/>
      <c r="H269" s="123"/>
      <c r="I269" s="588" t="str">
        <f>IF(D269&lt;&gt;MsgNotUsed,"Co-payment group " &amp; INDEX(CoPayBandMSAdditional,C269),"")</f>
        <v/>
      </c>
      <c r="J269" s="588"/>
      <c r="K269" s="123"/>
      <c r="L269" s="123"/>
      <c r="M269" s="123"/>
      <c r="N269" s="123"/>
      <c r="O269" s="123"/>
      <c r="P269" s="123"/>
      <c r="Q269" s="123"/>
      <c r="R269" s="123"/>
      <c r="S269" s="123"/>
      <c r="T269" s="123"/>
      <c r="U269" s="123"/>
      <c r="V269" s="123"/>
      <c r="W269" s="123"/>
      <c r="X269" s="123"/>
      <c r="Y269" s="123"/>
      <c r="Z269" s="123"/>
      <c r="AA269" s="123"/>
      <c r="AB269" s="123"/>
      <c r="AC269" s="123"/>
      <c r="AD269" s="123"/>
      <c r="AE269" s="123"/>
      <c r="AF269" s="123"/>
      <c r="AG269" s="123"/>
      <c r="AH269" s="123"/>
      <c r="AI269" s="123"/>
      <c r="AJ269" s="123"/>
      <c r="AK269" s="123"/>
      <c r="AL269" s="123"/>
      <c r="AM269" s="123"/>
      <c r="AN269" s="123"/>
      <c r="AO269" s="123"/>
      <c r="AP269" s="123"/>
      <c r="AQ269" s="123"/>
    </row>
    <row r="270" spans="1:43" ht="15.75" hidden="1" outlineLevel="1" x14ac:dyDescent="0.2">
      <c r="A270" s="22"/>
      <c r="B270" s="22"/>
      <c r="C270" s="486"/>
      <c r="D270" s="454"/>
      <c r="E270" s="22"/>
      <c r="F270" s="22"/>
      <c r="G270" s="22"/>
      <c r="H270" s="22"/>
      <c r="I270" s="22"/>
      <c r="J270" s="22"/>
      <c r="K270" s="22"/>
      <c r="L270" s="22"/>
      <c r="M270" s="22"/>
      <c r="N270" s="22"/>
      <c r="O270" s="22"/>
      <c r="P270" s="22"/>
      <c r="Q270" s="22"/>
      <c r="R270" s="22"/>
      <c r="S270" s="22"/>
      <c r="T270" s="22"/>
      <c r="U270" s="22"/>
      <c r="V270" s="22"/>
      <c r="W270" s="22"/>
      <c r="X270" s="22"/>
      <c r="Y270" s="22"/>
      <c r="Z270" s="22"/>
      <c r="AA270" s="22"/>
      <c r="AB270" s="22"/>
      <c r="AC270" s="22"/>
      <c r="AD270" s="22"/>
      <c r="AE270" s="22"/>
      <c r="AF270" s="22"/>
      <c r="AG270" s="22"/>
      <c r="AH270" s="22"/>
      <c r="AI270" s="22"/>
      <c r="AJ270" s="22"/>
      <c r="AK270" s="22"/>
      <c r="AL270" s="22"/>
      <c r="AM270" s="22"/>
      <c r="AN270" s="22"/>
      <c r="AO270" s="22"/>
      <c r="AP270" s="22"/>
      <c r="AQ270" s="22"/>
    </row>
    <row r="271" spans="1:43" ht="14.25" hidden="1" customHeight="1" outlineLevel="1" x14ac:dyDescent="0.2">
      <c r="C271" s="487"/>
      <c r="D271" s="488"/>
      <c r="E271" s="58">
        <f>F271-1</f>
        <v>2025</v>
      </c>
      <c r="F271" s="58">
        <f>FirstYear</f>
        <v>2026</v>
      </c>
      <c r="G271" s="58">
        <f>F271+1</f>
        <v>2027</v>
      </c>
      <c r="H271" s="58">
        <f>G271+1</f>
        <v>2028</v>
      </c>
      <c r="I271" s="58">
        <f>H271+1</f>
        <v>2029</v>
      </c>
      <c r="J271" s="58">
        <f>I271+1</f>
        <v>2030</v>
      </c>
      <c r="K271" s="58">
        <f>J271+1</f>
        <v>2031</v>
      </c>
      <c r="M271" s="260"/>
      <c r="P271" s="260"/>
    </row>
    <row r="272" spans="1:43" hidden="1" outlineLevel="1" x14ac:dyDescent="0.2">
      <c r="C272" s="487"/>
      <c r="D272" s="2" t="s">
        <v>111</v>
      </c>
      <c r="E272" s="33">
        <f>INDEX(ScriptsMSAdditional,$C269) * INDEX(NamesMSAdditional,$C269,3)</f>
        <v>0</v>
      </c>
      <c r="F272" s="33">
        <f t="shared" ref="F272:K272" si="114">IF(E272="","",E272*(1+E273))</f>
        <v>0</v>
      </c>
      <c r="G272" s="33">
        <f t="shared" si="114"/>
        <v>0</v>
      </c>
      <c r="H272" s="33">
        <f t="shared" si="114"/>
        <v>0</v>
      </c>
      <c r="I272" s="33">
        <f t="shared" si="114"/>
        <v>0</v>
      </c>
      <c r="J272" s="33">
        <f>IF(I272="","",I272*(1+I273))</f>
        <v>0</v>
      </c>
      <c r="K272" s="33">
        <f t="shared" si="114"/>
        <v>0</v>
      </c>
      <c r="M272" s="31" t="s">
        <v>249</v>
      </c>
      <c r="O272" s="260"/>
      <c r="R272" s="260"/>
    </row>
    <row r="273" spans="1:43" hidden="1" outlineLevel="1" x14ac:dyDescent="0.2">
      <c r="C273" s="487"/>
      <c r="D273" s="7" t="s">
        <v>26</v>
      </c>
      <c r="E273" s="29"/>
      <c r="F273" s="29"/>
      <c r="G273" s="29"/>
      <c r="H273" s="29"/>
      <c r="I273" s="29"/>
      <c r="J273" s="29"/>
      <c r="K273" s="28"/>
      <c r="M273" s="629"/>
      <c r="N273" s="629"/>
      <c r="O273" s="629"/>
      <c r="P273" s="629"/>
      <c r="Q273" s="629"/>
      <c r="R273" s="629"/>
      <c r="S273" s="629"/>
      <c r="T273" s="629"/>
    </row>
    <row r="274" spans="1:43" hidden="1" outlineLevel="1" x14ac:dyDescent="0.2">
      <c r="C274" s="487"/>
      <c r="D274" s="7" t="s">
        <v>33</v>
      </c>
      <c r="E274" s="29"/>
      <c r="F274" s="29"/>
      <c r="G274" s="29"/>
      <c r="H274" s="29"/>
      <c r="I274" s="29"/>
      <c r="J274" s="29"/>
      <c r="K274" s="29"/>
      <c r="M274" s="629"/>
      <c r="N274" s="629"/>
      <c r="O274" s="629"/>
      <c r="P274" s="629"/>
      <c r="Q274" s="629"/>
      <c r="R274" s="629"/>
      <c r="S274" s="629"/>
      <c r="T274" s="629"/>
    </row>
    <row r="275" spans="1:43" hidden="1" outlineLevel="1" x14ac:dyDescent="0.2">
      <c r="C275" s="487"/>
      <c r="D275" s="7" t="s">
        <v>836</v>
      </c>
      <c r="E275" s="29"/>
      <c r="F275" s="29"/>
      <c r="G275" s="29"/>
      <c r="H275" s="29"/>
      <c r="I275" s="29"/>
      <c r="J275" s="29"/>
      <c r="K275" s="29"/>
      <c r="M275" s="629"/>
      <c r="N275" s="629"/>
      <c r="O275" s="629"/>
      <c r="P275" s="629"/>
      <c r="Q275" s="629"/>
      <c r="R275" s="629"/>
      <c r="S275" s="629"/>
      <c r="T275" s="629"/>
    </row>
    <row r="276" spans="1:43" hidden="1" outlineLevel="1" x14ac:dyDescent="0.2">
      <c r="C276" s="487"/>
      <c r="D276" s="9" t="s">
        <v>104</v>
      </c>
      <c r="E276" s="33">
        <f t="shared" ref="E276:K276" si="115">E278-E277</f>
        <v>0</v>
      </c>
      <c r="F276" s="33">
        <f t="shared" si="115"/>
        <v>0</v>
      </c>
      <c r="G276" s="33">
        <f t="shared" si="115"/>
        <v>0</v>
      </c>
      <c r="H276" s="33">
        <f t="shared" si="115"/>
        <v>0</v>
      </c>
      <c r="I276" s="33">
        <f t="shared" si="115"/>
        <v>0</v>
      </c>
      <c r="J276" s="33">
        <f t="shared" si="115"/>
        <v>0</v>
      </c>
      <c r="K276" s="33">
        <f t="shared" si="115"/>
        <v>0</v>
      </c>
    </row>
    <row r="277" spans="1:43" hidden="1" outlineLevel="1" x14ac:dyDescent="0.2">
      <c r="C277" s="487"/>
      <c r="D277" s="9" t="s">
        <v>105</v>
      </c>
      <c r="E277" s="33">
        <f t="shared" ref="E277:K277" si="116">ROUND(E278*$T$165,0)</f>
        <v>0</v>
      </c>
      <c r="F277" s="33">
        <f t="shared" si="116"/>
        <v>0</v>
      </c>
      <c r="G277" s="33">
        <f t="shared" si="116"/>
        <v>0</v>
      </c>
      <c r="H277" s="33">
        <f t="shared" si="116"/>
        <v>0</v>
      </c>
      <c r="I277" s="33">
        <f t="shared" si="116"/>
        <v>0</v>
      </c>
      <c r="J277" s="33">
        <f t="shared" si="116"/>
        <v>0</v>
      </c>
      <c r="K277" s="33">
        <f t="shared" si="116"/>
        <v>0</v>
      </c>
    </row>
    <row r="278" spans="1:43" hidden="1" outlineLevel="1" x14ac:dyDescent="0.2">
      <c r="C278" s="487"/>
      <c r="D278" s="78" t="s">
        <v>831</v>
      </c>
      <c r="E278" s="34">
        <f t="shared" ref="E278:K278" si="117">IF(E272="","",E275*E274*E272)</f>
        <v>0</v>
      </c>
      <c r="F278" s="34">
        <f t="shared" si="117"/>
        <v>0</v>
      </c>
      <c r="G278" s="34">
        <f t="shared" si="117"/>
        <v>0</v>
      </c>
      <c r="H278" s="34">
        <f t="shared" si="117"/>
        <v>0</v>
      </c>
      <c r="I278" s="34">
        <f t="shared" si="117"/>
        <v>0</v>
      </c>
      <c r="J278" s="34">
        <f t="shared" si="117"/>
        <v>0</v>
      </c>
      <c r="K278" s="34">
        <f t="shared" si="117"/>
        <v>0</v>
      </c>
    </row>
    <row r="279" spans="1:43" hidden="1" outlineLevel="1" x14ac:dyDescent="0.2">
      <c r="C279" s="487"/>
      <c r="G279" s="489"/>
      <c r="H279" s="489"/>
      <c r="I279" s="489"/>
    </row>
    <row r="280" spans="1:43" collapsed="1" x14ac:dyDescent="0.2">
      <c r="C280" s="487"/>
    </row>
    <row r="281" spans="1:43" ht="15" x14ac:dyDescent="0.2">
      <c r="C281" s="246">
        <v>9</v>
      </c>
      <c r="D281" s="129" t="str">
        <f>INDEX(NamesMSAdditional,C281,1)</f>
        <v>** NOT USED **</v>
      </c>
      <c r="E281" s="123"/>
      <c r="F281" s="123"/>
      <c r="G281" s="123"/>
      <c r="H281" s="123"/>
      <c r="I281" s="588" t="str">
        <f>IF(D281&lt;&gt;MsgNotUsed,"Co-payment group " &amp; INDEX(CoPayBandMSAdditional,C281),"")</f>
        <v/>
      </c>
      <c r="J281" s="588"/>
      <c r="K281" s="123"/>
      <c r="L281" s="123"/>
      <c r="M281" s="123"/>
      <c r="N281" s="123"/>
      <c r="O281" s="123"/>
      <c r="P281" s="123"/>
      <c r="Q281" s="123"/>
      <c r="R281" s="123"/>
      <c r="S281" s="123"/>
      <c r="T281" s="123"/>
      <c r="U281" s="123"/>
      <c r="V281" s="123"/>
      <c r="W281" s="123"/>
      <c r="X281" s="123"/>
      <c r="Y281" s="123"/>
      <c r="Z281" s="123"/>
      <c r="AA281" s="123"/>
      <c r="AB281" s="123"/>
      <c r="AC281" s="123"/>
      <c r="AD281" s="123"/>
      <c r="AE281" s="123"/>
      <c r="AF281" s="123"/>
      <c r="AG281" s="123"/>
      <c r="AH281" s="123"/>
      <c r="AI281" s="123"/>
      <c r="AJ281" s="123"/>
      <c r="AK281" s="123"/>
      <c r="AL281" s="123"/>
      <c r="AM281" s="123"/>
      <c r="AN281" s="123"/>
      <c r="AO281" s="123"/>
      <c r="AP281" s="123"/>
      <c r="AQ281" s="123"/>
    </row>
    <row r="282" spans="1:43" ht="15.75" hidden="1" outlineLevel="1" x14ac:dyDescent="0.2">
      <c r="A282" s="22"/>
      <c r="B282" s="22"/>
      <c r="C282" s="486"/>
      <c r="D282" s="454"/>
      <c r="E282" s="22"/>
      <c r="F282" s="22"/>
      <c r="G282" s="22"/>
      <c r="H282" s="22"/>
      <c r="I282" s="22"/>
      <c r="J282" s="22"/>
      <c r="K282" s="22"/>
      <c r="L282" s="22"/>
      <c r="M282" s="22"/>
      <c r="N282" s="22"/>
      <c r="O282" s="22"/>
      <c r="P282" s="22"/>
      <c r="Q282" s="22"/>
      <c r="R282" s="22"/>
      <c r="S282" s="22"/>
      <c r="T282" s="22"/>
      <c r="U282" s="22"/>
      <c r="V282" s="22"/>
      <c r="W282" s="22"/>
      <c r="X282" s="22"/>
      <c r="Y282" s="22"/>
      <c r="Z282" s="22"/>
      <c r="AA282" s="22"/>
      <c r="AB282" s="22"/>
      <c r="AC282" s="22"/>
      <c r="AD282" s="22"/>
      <c r="AE282" s="22"/>
      <c r="AF282" s="22"/>
      <c r="AG282" s="22"/>
      <c r="AH282" s="22"/>
      <c r="AI282" s="22"/>
      <c r="AJ282" s="22"/>
      <c r="AK282" s="22"/>
      <c r="AL282" s="22"/>
      <c r="AM282" s="22"/>
      <c r="AN282" s="22"/>
      <c r="AO282" s="22"/>
      <c r="AP282" s="22"/>
      <c r="AQ282" s="22"/>
    </row>
    <row r="283" spans="1:43" ht="14.25" hidden="1" customHeight="1" outlineLevel="1" x14ac:dyDescent="0.2">
      <c r="C283" s="487"/>
      <c r="D283" s="488"/>
      <c r="E283" s="58">
        <f>F283-1</f>
        <v>2025</v>
      </c>
      <c r="F283" s="58">
        <f>FirstYear</f>
        <v>2026</v>
      </c>
      <c r="G283" s="58">
        <f>F283+1</f>
        <v>2027</v>
      </c>
      <c r="H283" s="58">
        <f>G283+1</f>
        <v>2028</v>
      </c>
      <c r="I283" s="58">
        <f>H283+1</f>
        <v>2029</v>
      </c>
      <c r="J283" s="58">
        <f>I283+1</f>
        <v>2030</v>
      </c>
      <c r="K283" s="58">
        <f>J283+1</f>
        <v>2031</v>
      </c>
      <c r="M283" s="260"/>
      <c r="P283" s="260"/>
    </row>
    <row r="284" spans="1:43" hidden="1" outlineLevel="1" x14ac:dyDescent="0.2">
      <c r="C284" s="487"/>
      <c r="D284" s="2" t="s">
        <v>111</v>
      </c>
      <c r="E284" s="33">
        <f>INDEX(ScriptsMSAdditional,$C281) * INDEX(NamesMSAdditional,$C281,3)</f>
        <v>0</v>
      </c>
      <c r="F284" s="33">
        <f t="shared" ref="F284:K284" si="118">IF(E284="","",E284*(1+E285))</f>
        <v>0</v>
      </c>
      <c r="G284" s="33">
        <f t="shared" si="118"/>
        <v>0</v>
      </c>
      <c r="H284" s="33">
        <f t="shared" si="118"/>
        <v>0</v>
      </c>
      <c r="I284" s="33">
        <f t="shared" si="118"/>
        <v>0</v>
      </c>
      <c r="J284" s="33">
        <f>IF(I284="","",I284*(1+I285))</f>
        <v>0</v>
      </c>
      <c r="K284" s="33">
        <f t="shared" si="118"/>
        <v>0</v>
      </c>
      <c r="M284" s="31" t="s">
        <v>249</v>
      </c>
      <c r="O284" s="260"/>
      <c r="R284" s="260"/>
    </row>
    <row r="285" spans="1:43" hidden="1" outlineLevel="1" x14ac:dyDescent="0.2">
      <c r="C285" s="487"/>
      <c r="D285" s="7" t="s">
        <v>26</v>
      </c>
      <c r="E285" s="29"/>
      <c r="F285" s="29"/>
      <c r="G285" s="29"/>
      <c r="H285" s="29"/>
      <c r="I285" s="29"/>
      <c r="J285" s="29"/>
      <c r="K285" s="28"/>
      <c r="M285" s="629"/>
      <c r="N285" s="629"/>
      <c r="O285" s="629"/>
      <c r="P285" s="629"/>
      <c r="Q285" s="629"/>
      <c r="R285" s="629"/>
      <c r="S285" s="629"/>
      <c r="T285" s="629"/>
    </row>
    <row r="286" spans="1:43" hidden="1" outlineLevel="1" x14ac:dyDescent="0.2">
      <c r="C286" s="487"/>
      <c r="D286" s="7" t="s">
        <v>33</v>
      </c>
      <c r="E286" s="29"/>
      <c r="F286" s="29"/>
      <c r="G286" s="29"/>
      <c r="H286" s="29"/>
      <c r="I286" s="29"/>
      <c r="J286" s="29"/>
      <c r="K286" s="29"/>
      <c r="M286" s="629"/>
      <c r="N286" s="629"/>
      <c r="O286" s="629"/>
      <c r="P286" s="629"/>
      <c r="Q286" s="629"/>
      <c r="R286" s="629"/>
      <c r="S286" s="629"/>
      <c r="T286" s="629"/>
    </row>
    <row r="287" spans="1:43" hidden="1" outlineLevel="1" x14ac:dyDescent="0.2">
      <c r="C287" s="487"/>
      <c r="D287" s="7" t="s">
        <v>836</v>
      </c>
      <c r="E287" s="29"/>
      <c r="F287" s="29"/>
      <c r="G287" s="29"/>
      <c r="H287" s="29"/>
      <c r="I287" s="29"/>
      <c r="J287" s="29"/>
      <c r="K287" s="29"/>
      <c r="M287" s="629"/>
      <c r="N287" s="629"/>
      <c r="O287" s="629"/>
      <c r="P287" s="629"/>
      <c r="Q287" s="629"/>
      <c r="R287" s="629"/>
      <c r="S287" s="629"/>
      <c r="T287" s="629"/>
    </row>
    <row r="288" spans="1:43" hidden="1" outlineLevel="1" x14ac:dyDescent="0.2">
      <c r="C288" s="487"/>
      <c r="D288" s="9" t="s">
        <v>104</v>
      </c>
      <c r="E288" s="33">
        <f t="shared" ref="E288:K288" si="119">E290-E289</f>
        <v>0</v>
      </c>
      <c r="F288" s="33">
        <f t="shared" si="119"/>
        <v>0</v>
      </c>
      <c r="G288" s="33">
        <f t="shared" si="119"/>
        <v>0</v>
      </c>
      <c r="H288" s="33">
        <f t="shared" si="119"/>
        <v>0</v>
      </c>
      <c r="I288" s="33">
        <f t="shared" si="119"/>
        <v>0</v>
      </c>
      <c r="J288" s="33">
        <f t="shared" si="119"/>
        <v>0</v>
      </c>
      <c r="K288" s="33">
        <f t="shared" si="119"/>
        <v>0</v>
      </c>
    </row>
    <row r="289" spans="1:43" hidden="1" outlineLevel="1" x14ac:dyDescent="0.2">
      <c r="C289" s="487"/>
      <c r="D289" s="9" t="s">
        <v>105</v>
      </c>
      <c r="E289" s="33">
        <f t="shared" ref="E289:K289" si="120">ROUND(E290*$T$166,0)</f>
        <v>0</v>
      </c>
      <c r="F289" s="33">
        <f t="shared" si="120"/>
        <v>0</v>
      </c>
      <c r="G289" s="33">
        <f t="shared" si="120"/>
        <v>0</v>
      </c>
      <c r="H289" s="33">
        <f t="shared" si="120"/>
        <v>0</v>
      </c>
      <c r="I289" s="33">
        <f t="shared" si="120"/>
        <v>0</v>
      </c>
      <c r="J289" s="33">
        <f t="shared" si="120"/>
        <v>0</v>
      </c>
      <c r="K289" s="33">
        <f t="shared" si="120"/>
        <v>0</v>
      </c>
    </row>
    <row r="290" spans="1:43" hidden="1" outlineLevel="1" x14ac:dyDescent="0.2">
      <c r="C290" s="487"/>
      <c r="D290" s="78" t="s">
        <v>831</v>
      </c>
      <c r="E290" s="34">
        <f t="shared" ref="E290:K290" si="121">IF(E284="","",E287*E286*E284)</f>
        <v>0</v>
      </c>
      <c r="F290" s="34">
        <f t="shared" si="121"/>
        <v>0</v>
      </c>
      <c r="G290" s="34">
        <f t="shared" si="121"/>
        <v>0</v>
      </c>
      <c r="H290" s="34">
        <f t="shared" si="121"/>
        <v>0</v>
      </c>
      <c r="I290" s="34">
        <f t="shared" si="121"/>
        <v>0</v>
      </c>
      <c r="J290" s="34">
        <f t="shared" si="121"/>
        <v>0</v>
      </c>
      <c r="K290" s="34">
        <f t="shared" si="121"/>
        <v>0</v>
      </c>
    </row>
    <row r="291" spans="1:43" hidden="1" outlineLevel="1" x14ac:dyDescent="0.2">
      <c r="C291" s="487"/>
      <c r="G291" s="489"/>
      <c r="H291" s="489"/>
      <c r="I291" s="489"/>
    </row>
    <row r="292" spans="1:43" collapsed="1" x14ac:dyDescent="0.2">
      <c r="C292" s="487"/>
    </row>
    <row r="293" spans="1:43" ht="15" x14ac:dyDescent="0.2">
      <c r="C293" s="246">
        <v>10</v>
      </c>
      <c r="D293" s="129" t="str">
        <f>INDEX(NamesMSAdditional,C293,1)</f>
        <v>** NOT USED **</v>
      </c>
      <c r="E293" s="123"/>
      <c r="F293" s="123"/>
      <c r="G293" s="123"/>
      <c r="H293" s="123"/>
      <c r="I293" s="588" t="str">
        <f>IF(D293&lt;&gt;MsgNotUsed,"Co-payment group " &amp; INDEX(CoPayBandMSAdditional,C293),"")</f>
        <v/>
      </c>
      <c r="J293" s="588"/>
      <c r="K293" s="123"/>
      <c r="L293" s="123"/>
      <c r="M293" s="123"/>
      <c r="N293" s="123"/>
      <c r="O293" s="123"/>
      <c r="P293" s="123"/>
      <c r="Q293" s="123"/>
      <c r="R293" s="123"/>
      <c r="S293" s="123"/>
      <c r="T293" s="123"/>
      <c r="U293" s="123"/>
      <c r="V293" s="123"/>
      <c r="W293" s="123"/>
      <c r="X293" s="123"/>
      <c r="Y293" s="123"/>
      <c r="Z293" s="123"/>
      <c r="AA293" s="123"/>
      <c r="AB293" s="123"/>
      <c r="AC293" s="123"/>
      <c r="AD293" s="123"/>
      <c r="AE293" s="123"/>
      <c r="AF293" s="123"/>
      <c r="AG293" s="123"/>
      <c r="AH293" s="123"/>
      <c r="AI293" s="123"/>
      <c r="AJ293" s="123"/>
      <c r="AK293" s="123"/>
      <c r="AL293" s="123"/>
      <c r="AM293" s="123"/>
      <c r="AN293" s="123"/>
      <c r="AO293" s="123"/>
      <c r="AP293" s="123"/>
      <c r="AQ293" s="123"/>
    </row>
    <row r="294" spans="1:43" ht="15.75" hidden="1" outlineLevel="1" x14ac:dyDescent="0.2">
      <c r="A294" s="22"/>
      <c r="B294" s="22"/>
      <c r="C294" s="486"/>
      <c r="D294" s="454"/>
      <c r="E294" s="22"/>
      <c r="F294" s="22"/>
      <c r="G294" s="22"/>
      <c r="H294" s="22"/>
      <c r="I294" s="22"/>
      <c r="J294" s="22"/>
      <c r="K294" s="22"/>
      <c r="L294" s="22"/>
      <c r="M294" s="22"/>
      <c r="N294" s="22"/>
      <c r="O294" s="22"/>
      <c r="P294" s="22"/>
      <c r="Q294" s="22"/>
      <c r="R294" s="22"/>
      <c r="S294" s="22"/>
      <c r="T294" s="22"/>
      <c r="U294" s="22"/>
      <c r="V294" s="22"/>
      <c r="W294" s="22"/>
      <c r="X294" s="22"/>
      <c r="Y294" s="22"/>
      <c r="Z294" s="22"/>
      <c r="AA294" s="22"/>
      <c r="AB294" s="22"/>
      <c r="AC294" s="22"/>
      <c r="AD294" s="22"/>
      <c r="AE294" s="22"/>
      <c r="AF294" s="22"/>
      <c r="AG294" s="22"/>
      <c r="AH294" s="22"/>
      <c r="AI294" s="22"/>
      <c r="AJ294" s="22"/>
      <c r="AK294" s="22"/>
      <c r="AL294" s="22"/>
      <c r="AM294" s="22"/>
      <c r="AN294" s="22"/>
      <c r="AO294" s="22"/>
      <c r="AP294" s="22"/>
      <c r="AQ294" s="22"/>
    </row>
    <row r="295" spans="1:43" ht="14.25" hidden="1" customHeight="1" outlineLevel="1" x14ac:dyDescent="0.2">
      <c r="C295" s="487"/>
      <c r="D295" s="488"/>
      <c r="E295" s="58">
        <f>F295-1</f>
        <v>2025</v>
      </c>
      <c r="F295" s="58">
        <f>FirstYear</f>
        <v>2026</v>
      </c>
      <c r="G295" s="58">
        <f>F295+1</f>
        <v>2027</v>
      </c>
      <c r="H295" s="58">
        <f>G295+1</f>
        <v>2028</v>
      </c>
      <c r="I295" s="58">
        <f>H295+1</f>
        <v>2029</v>
      </c>
      <c r="J295" s="58">
        <f>I295+1</f>
        <v>2030</v>
      </c>
      <c r="K295" s="58">
        <f>J295+1</f>
        <v>2031</v>
      </c>
      <c r="M295" s="260"/>
      <c r="P295" s="260"/>
    </row>
    <row r="296" spans="1:43" hidden="1" outlineLevel="1" x14ac:dyDescent="0.2">
      <c r="C296" s="487"/>
      <c r="D296" s="2" t="s">
        <v>111</v>
      </c>
      <c r="E296" s="33">
        <f>INDEX(ScriptsMSAdditional,$C293) * INDEX(NamesMSAdditional,$C293,3)</f>
        <v>0</v>
      </c>
      <c r="F296" s="33">
        <f t="shared" ref="F296:K296" si="122">IF(E296="","",E296*(1+E297))</f>
        <v>0</v>
      </c>
      <c r="G296" s="33">
        <f t="shared" si="122"/>
        <v>0</v>
      </c>
      <c r="H296" s="33">
        <f t="shared" si="122"/>
        <v>0</v>
      </c>
      <c r="I296" s="33">
        <f t="shared" si="122"/>
        <v>0</v>
      </c>
      <c r="J296" s="33">
        <f>IF(I296="","",I296*(1+I297))</f>
        <v>0</v>
      </c>
      <c r="K296" s="33">
        <f t="shared" si="122"/>
        <v>0</v>
      </c>
      <c r="M296" s="31" t="s">
        <v>249</v>
      </c>
      <c r="O296" s="260"/>
      <c r="R296" s="260"/>
    </row>
    <row r="297" spans="1:43" hidden="1" outlineLevel="1" x14ac:dyDescent="0.2">
      <c r="C297" s="487"/>
      <c r="D297" s="7" t="s">
        <v>26</v>
      </c>
      <c r="E297" s="29"/>
      <c r="F297" s="29"/>
      <c r="G297" s="29"/>
      <c r="H297" s="29"/>
      <c r="I297" s="29"/>
      <c r="J297" s="29"/>
      <c r="K297" s="28"/>
      <c r="M297" s="629"/>
      <c r="N297" s="629"/>
      <c r="O297" s="629"/>
      <c r="P297" s="629"/>
      <c r="Q297" s="629"/>
      <c r="R297" s="629"/>
      <c r="S297" s="629"/>
      <c r="T297" s="629"/>
    </row>
    <row r="298" spans="1:43" hidden="1" outlineLevel="1" x14ac:dyDescent="0.2">
      <c r="C298" s="487"/>
      <c r="D298" s="7" t="s">
        <v>33</v>
      </c>
      <c r="E298" s="29"/>
      <c r="F298" s="29"/>
      <c r="G298" s="29"/>
      <c r="H298" s="29"/>
      <c r="I298" s="29"/>
      <c r="J298" s="29"/>
      <c r="K298" s="29"/>
      <c r="M298" s="629"/>
      <c r="N298" s="629"/>
      <c r="O298" s="629"/>
      <c r="P298" s="629"/>
      <c r="Q298" s="629"/>
      <c r="R298" s="629"/>
      <c r="S298" s="629"/>
      <c r="T298" s="629"/>
    </row>
    <row r="299" spans="1:43" hidden="1" outlineLevel="1" x14ac:dyDescent="0.2">
      <c r="C299" s="487"/>
      <c r="D299" s="7" t="s">
        <v>836</v>
      </c>
      <c r="E299" s="29"/>
      <c r="F299" s="29"/>
      <c r="G299" s="29"/>
      <c r="H299" s="29"/>
      <c r="I299" s="29"/>
      <c r="J299" s="29"/>
      <c r="K299" s="29"/>
      <c r="M299" s="629"/>
      <c r="N299" s="629"/>
      <c r="O299" s="629"/>
      <c r="P299" s="629"/>
      <c r="Q299" s="629"/>
      <c r="R299" s="629"/>
      <c r="S299" s="629"/>
      <c r="T299" s="629"/>
    </row>
    <row r="300" spans="1:43" hidden="1" outlineLevel="1" x14ac:dyDescent="0.2">
      <c r="C300" s="487"/>
      <c r="D300" s="9" t="s">
        <v>104</v>
      </c>
      <c r="E300" s="33">
        <f t="shared" ref="E300:K300" si="123">E302-E301</f>
        <v>0</v>
      </c>
      <c r="F300" s="33">
        <f t="shared" si="123"/>
        <v>0</v>
      </c>
      <c r="G300" s="33">
        <f t="shared" si="123"/>
        <v>0</v>
      </c>
      <c r="H300" s="33">
        <f t="shared" si="123"/>
        <v>0</v>
      </c>
      <c r="I300" s="33">
        <f t="shared" si="123"/>
        <v>0</v>
      </c>
      <c r="J300" s="33">
        <f t="shared" si="123"/>
        <v>0</v>
      </c>
      <c r="K300" s="33">
        <f t="shared" si="123"/>
        <v>0</v>
      </c>
    </row>
    <row r="301" spans="1:43" hidden="1" outlineLevel="1" x14ac:dyDescent="0.2">
      <c r="C301" s="487"/>
      <c r="D301" s="9" t="s">
        <v>105</v>
      </c>
      <c r="E301" s="33">
        <f t="shared" ref="E301:K301" si="124">ROUND(E302*$T$167,0)</f>
        <v>0</v>
      </c>
      <c r="F301" s="33">
        <f t="shared" si="124"/>
        <v>0</v>
      </c>
      <c r="G301" s="33">
        <f t="shared" si="124"/>
        <v>0</v>
      </c>
      <c r="H301" s="33">
        <f t="shared" si="124"/>
        <v>0</v>
      </c>
      <c r="I301" s="33">
        <f t="shared" si="124"/>
        <v>0</v>
      </c>
      <c r="J301" s="33">
        <f t="shared" si="124"/>
        <v>0</v>
      </c>
      <c r="K301" s="33">
        <f t="shared" si="124"/>
        <v>0</v>
      </c>
    </row>
    <row r="302" spans="1:43" hidden="1" outlineLevel="1" x14ac:dyDescent="0.2">
      <c r="C302" s="487"/>
      <c r="D302" s="78" t="s">
        <v>831</v>
      </c>
      <c r="E302" s="34">
        <f t="shared" ref="E302:K302" si="125">IF(E296="","",E299*E298*E296)</f>
        <v>0</v>
      </c>
      <c r="F302" s="34">
        <f t="shared" si="125"/>
        <v>0</v>
      </c>
      <c r="G302" s="34">
        <f t="shared" si="125"/>
        <v>0</v>
      </c>
      <c r="H302" s="34">
        <f t="shared" si="125"/>
        <v>0</v>
      </c>
      <c r="I302" s="34">
        <f t="shared" si="125"/>
        <v>0</v>
      </c>
      <c r="J302" s="34">
        <f t="shared" si="125"/>
        <v>0</v>
      </c>
      <c r="K302" s="34">
        <f t="shared" si="125"/>
        <v>0</v>
      </c>
    </row>
    <row r="303" spans="1:43" hidden="1" outlineLevel="1" x14ac:dyDescent="0.2">
      <c r="C303" s="487"/>
      <c r="G303" s="489"/>
      <c r="H303" s="489"/>
      <c r="I303" s="489"/>
    </row>
    <row r="304" spans="1:43" collapsed="1" x14ac:dyDescent="0.2">
      <c r="C304" s="487"/>
    </row>
    <row r="305" spans="1:43" ht="15" x14ac:dyDescent="0.2">
      <c r="C305" s="246">
        <v>11</v>
      </c>
      <c r="D305" s="129" t="str">
        <f>INDEX(NamesMSAdditional,C305,1)</f>
        <v>** NOT USED **</v>
      </c>
      <c r="E305" s="123"/>
      <c r="F305" s="123"/>
      <c r="G305" s="123"/>
      <c r="H305" s="123"/>
      <c r="I305" s="588" t="str">
        <f>IF(D305&lt;&gt;MsgNotUsed,"Co-payment group " &amp; INDEX(CoPayBandMSAdditional,C305),"")</f>
        <v/>
      </c>
      <c r="J305" s="588"/>
      <c r="K305" s="123"/>
      <c r="L305" s="123"/>
      <c r="M305" s="123"/>
      <c r="N305" s="123"/>
      <c r="O305" s="123"/>
      <c r="P305" s="123"/>
      <c r="Q305" s="123"/>
      <c r="R305" s="123"/>
      <c r="S305" s="123"/>
      <c r="T305" s="123"/>
      <c r="U305" s="123"/>
      <c r="V305" s="123"/>
      <c r="W305" s="123"/>
      <c r="X305" s="123"/>
      <c r="Y305" s="123"/>
      <c r="Z305" s="123"/>
      <c r="AA305" s="123"/>
      <c r="AB305" s="123"/>
      <c r="AC305" s="123"/>
      <c r="AD305" s="123"/>
      <c r="AE305" s="123"/>
      <c r="AF305" s="123"/>
      <c r="AG305" s="123"/>
      <c r="AH305" s="123"/>
      <c r="AI305" s="123"/>
      <c r="AJ305" s="123"/>
      <c r="AK305" s="123"/>
      <c r="AL305" s="123"/>
      <c r="AM305" s="123"/>
      <c r="AN305" s="123"/>
      <c r="AO305" s="123"/>
      <c r="AP305" s="123"/>
      <c r="AQ305" s="123"/>
    </row>
    <row r="306" spans="1:43" ht="15.75" hidden="1" outlineLevel="1" x14ac:dyDescent="0.2">
      <c r="A306" s="22"/>
      <c r="B306" s="22"/>
      <c r="C306" s="486"/>
      <c r="D306" s="454"/>
      <c r="E306" s="22"/>
      <c r="F306" s="22"/>
      <c r="G306" s="22"/>
      <c r="H306" s="22"/>
      <c r="I306" s="22"/>
      <c r="J306" s="22"/>
      <c r="K306" s="22"/>
      <c r="L306" s="22"/>
      <c r="M306" s="22"/>
      <c r="N306" s="22"/>
      <c r="O306" s="22"/>
      <c r="P306" s="22"/>
      <c r="Q306" s="22"/>
      <c r="R306" s="22"/>
      <c r="S306" s="22"/>
      <c r="T306" s="22"/>
      <c r="U306" s="22"/>
      <c r="V306" s="22"/>
      <c r="W306" s="22"/>
      <c r="X306" s="22"/>
      <c r="Y306" s="22"/>
      <c r="Z306" s="22"/>
      <c r="AA306" s="22"/>
      <c r="AB306" s="22"/>
      <c r="AC306" s="22"/>
      <c r="AD306" s="22"/>
      <c r="AE306" s="22"/>
      <c r="AF306" s="22"/>
      <c r="AG306" s="22"/>
      <c r="AH306" s="22"/>
      <c r="AI306" s="22"/>
      <c r="AJ306" s="22"/>
      <c r="AK306" s="22"/>
      <c r="AL306" s="22"/>
      <c r="AM306" s="22"/>
      <c r="AN306" s="22"/>
      <c r="AO306" s="22"/>
      <c r="AP306" s="22"/>
      <c r="AQ306" s="22"/>
    </row>
    <row r="307" spans="1:43" ht="14.25" hidden="1" customHeight="1" outlineLevel="1" x14ac:dyDescent="0.2">
      <c r="C307" s="487"/>
      <c r="D307" s="488"/>
      <c r="E307" s="58">
        <f>F307-1</f>
        <v>2025</v>
      </c>
      <c r="F307" s="58">
        <f>FirstYear</f>
        <v>2026</v>
      </c>
      <c r="G307" s="58">
        <f>F307+1</f>
        <v>2027</v>
      </c>
      <c r="H307" s="58">
        <f>G307+1</f>
        <v>2028</v>
      </c>
      <c r="I307" s="58">
        <f>H307+1</f>
        <v>2029</v>
      </c>
      <c r="J307" s="58">
        <f>I307+1</f>
        <v>2030</v>
      </c>
      <c r="K307" s="58">
        <f>J307+1</f>
        <v>2031</v>
      </c>
      <c r="M307" s="260"/>
      <c r="P307" s="260"/>
    </row>
    <row r="308" spans="1:43" hidden="1" outlineLevel="1" x14ac:dyDescent="0.2">
      <c r="C308" s="487"/>
      <c r="D308" s="2" t="s">
        <v>111</v>
      </c>
      <c r="E308" s="33">
        <f>INDEX(ScriptsMSAdditional,$C305) * INDEX(NamesMSAdditional,$C305,3)</f>
        <v>0</v>
      </c>
      <c r="F308" s="33">
        <f t="shared" ref="F308:K308" si="126">IF(E308="","",E308*(1+E309))</f>
        <v>0</v>
      </c>
      <c r="G308" s="33">
        <f t="shared" si="126"/>
        <v>0</v>
      </c>
      <c r="H308" s="33">
        <f t="shared" si="126"/>
        <v>0</v>
      </c>
      <c r="I308" s="33">
        <f t="shared" si="126"/>
        <v>0</v>
      </c>
      <c r="J308" s="33">
        <f t="shared" si="126"/>
        <v>0</v>
      </c>
      <c r="K308" s="33">
        <f t="shared" si="126"/>
        <v>0</v>
      </c>
      <c r="M308" s="31" t="s">
        <v>249</v>
      </c>
      <c r="O308" s="260"/>
      <c r="R308" s="260"/>
    </row>
    <row r="309" spans="1:43" hidden="1" outlineLevel="1" x14ac:dyDescent="0.2">
      <c r="C309" s="487"/>
      <c r="D309" s="7" t="s">
        <v>26</v>
      </c>
      <c r="E309" s="29"/>
      <c r="F309" s="29"/>
      <c r="G309" s="29"/>
      <c r="H309" s="29"/>
      <c r="I309" s="29"/>
      <c r="J309" s="29"/>
      <c r="K309" s="28"/>
      <c r="M309" s="629"/>
      <c r="N309" s="629"/>
      <c r="O309" s="629"/>
      <c r="P309" s="629"/>
      <c r="Q309" s="629"/>
      <c r="R309" s="629"/>
      <c r="S309" s="629"/>
      <c r="T309" s="629"/>
    </row>
    <row r="310" spans="1:43" hidden="1" outlineLevel="1" x14ac:dyDescent="0.2">
      <c r="C310" s="487"/>
      <c r="D310" s="7" t="s">
        <v>33</v>
      </c>
      <c r="E310" s="29"/>
      <c r="F310" s="29"/>
      <c r="G310" s="29"/>
      <c r="H310" s="29"/>
      <c r="I310" s="29"/>
      <c r="J310" s="29"/>
      <c r="K310" s="29"/>
      <c r="M310" s="629"/>
      <c r="N310" s="629"/>
      <c r="O310" s="629"/>
      <c r="P310" s="629"/>
      <c r="Q310" s="629"/>
      <c r="R310" s="629"/>
      <c r="S310" s="629"/>
      <c r="T310" s="629"/>
    </row>
    <row r="311" spans="1:43" hidden="1" outlineLevel="1" x14ac:dyDescent="0.2">
      <c r="C311" s="487"/>
      <c r="D311" s="7" t="s">
        <v>836</v>
      </c>
      <c r="E311" s="29"/>
      <c r="F311" s="29"/>
      <c r="G311" s="29"/>
      <c r="H311" s="29"/>
      <c r="I311" s="29"/>
      <c r="J311" s="29"/>
      <c r="K311" s="29"/>
      <c r="M311" s="629"/>
      <c r="N311" s="629"/>
      <c r="O311" s="629"/>
      <c r="P311" s="629"/>
      <c r="Q311" s="629"/>
      <c r="R311" s="629"/>
      <c r="S311" s="629"/>
      <c r="T311" s="629"/>
    </row>
    <row r="312" spans="1:43" hidden="1" outlineLevel="1" x14ac:dyDescent="0.2">
      <c r="C312" s="487"/>
      <c r="D312" s="9" t="s">
        <v>104</v>
      </c>
      <c r="E312" s="33">
        <f t="shared" ref="E312:K312" si="127">E314-E313</f>
        <v>0</v>
      </c>
      <c r="F312" s="33">
        <f t="shared" si="127"/>
        <v>0</v>
      </c>
      <c r="G312" s="33">
        <f t="shared" si="127"/>
        <v>0</v>
      </c>
      <c r="H312" s="33">
        <f t="shared" si="127"/>
        <v>0</v>
      </c>
      <c r="I312" s="33">
        <f t="shared" si="127"/>
        <v>0</v>
      </c>
      <c r="J312" s="33">
        <f t="shared" si="127"/>
        <v>0</v>
      </c>
      <c r="K312" s="33">
        <f t="shared" si="127"/>
        <v>0</v>
      </c>
    </row>
    <row r="313" spans="1:43" hidden="1" outlineLevel="1" x14ac:dyDescent="0.2">
      <c r="C313" s="487"/>
      <c r="D313" s="9" t="s">
        <v>105</v>
      </c>
      <c r="E313" s="33">
        <f t="shared" ref="E313:K313" si="128">ROUND(E314*$T$167,0)</f>
        <v>0</v>
      </c>
      <c r="F313" s="33">
        <f t="shared" si="128"/>
        <v>0</v>
      </c>
      <c r="G313" s="33">
        <f t="shared" si="128"/>
        <v>0</v>
      </c>
      <c r="H313" s="33">
        <f t="shared" si="128"/>
        <v>0</v>
      </c>
      <c r="I313" s="33">
        <f t="shared" si="128"/>
        <v>0</v>
      </c>
      <c r="J313" s="33">
        <f t="shared" si="128"/>
        <v>0</v>
      </c>
      <c r="K313" s="33">
        <f t="shared" si="128"/>
        <v>0</v>
      </c>
    </row>
    <row r="314" spans="1:43" hidden="1" outlineLevel="1" x14ac:dyDescent="0.2">
      <c r="C314" s="487"/>
      <c r="D314" s="78" t="s">
        <v>831</v>
      </c>
      <c r="E314" s="34">
        <f t="shared" ref="E314:K314" si="129">IF(E308="","",E311*E310*E308)</f>
        <v>0</v>
      </c>
      <c r="F314" s="34">
        <f t="shared" si="129"/>
        <v>0</v>
      </c>
      <c r="G314" s="34">
        <f t="shared" si="129"/>
        <v>0</v>
      </c>
      <c r="H314" s="34">
        <f t="shared" si="129"/>
        <v>0</v>
      </c>
      <c r="I314" s="34">
        <f t="shared" si="129"/>
        <v>0</v>
      </c>
      <c r="J314" s="34">
        <f t="shared" si="129"/>
        <v>0</v>
      </c>
      <c r="K314" s="34">
        <f t="shared" si="129"/>
        <v>0</v>
      </c>
    </row>
    <row r="315" spans="1:43" hidden="1" outlineLevel="1" x14ac:dyDescent="0.2">
      <c r="C315" s="487"/>
      <c r="G315" s="489"/>
      <c r="H315" s="489"/>
      <c r="I315" s="489"/>
    </row>
    <row r="316" spans="1:43" collapsed="1" x14ac:dyDescent="0.2">
      <c r="C316" s="487"/>
    </row>
    <row r="317" spans="1:43" ht="15" x14ac:dyDescent="0.2">
      <c r="C317" s="246">
        <v>12</v>
      </c>
      <c r="D317" s="129" t="str">
        <f>INDEX(NamesMSAdditional,C317,1)</f>
        <v>** NOT USED **</v>
      </c>
      <c r="E317" s="123"/>
      <c r="F317" s="123"/>
      <c r="G317" s="123"/>
      <c r="H317" s="123"/>
      <c r="I317" s="588" t="str">
        <f>IF(D317&lt;&gt;MsgNotUsed,"Co-payment group " &amp; INDEX(CoPayBandMSAdditional,C317),"")</f>
        <v/>
      </c>
      <c r="J317" s="588"/>
      <c r="K317" s="123"/>
      <c r="L317" s="123"/>
      <c r="M317" s="123"/>
      <c r="N317" s="123"/>
      <c r="O317" s="123"/>
      <c r="P317" s="123"/>
      <c r="Q317" s="123"/>
      <c r="R317" s="123"/>
      <c r="S317" s="123"/>
      <c r="T317" s="123"/>
      <c r="U317" s="123"/>
      <c r="V317" s="123"/>
      <c r="W317" s="123"/>
      <c r="X317" s="123"/>
      <c r="Y317" s="123"/>
      <c r="Z317" s="123"/>
      <c r="AA317" s="123"/>
      <c r="AB317" s="123"/>
      <c r="AC317" s="123"/>
      <c r="AD317" s="123"/>
      <c r="AE317" s="123"/>
      <c r="AF317" s="123"/>
      <c r="AG317" s="123"/>
      <c r="AH317" s="123"/>
      <c r="AI317" s="123"/>
      <c r="AJ317" s="123"/>
      <c r="AK317" s="123"/>
      <c r="AL317" s="123"/>
      <c r="AM317" s="123"/>
      <c r="AN317" s="123"/>
      <c r="AO317" s="123"/>
      <c r="AP317" s="123"/>
      <c r="AQ317" s="123"/>
    </row>
    <row r="318" spans="1:43" ht="15.75" hidden="1" outlineLevel="1" x14ac:dyDescent="0.2">
      <c r="A318" s="22"/>
      <c r="B318" s="22"/>
      <c r="C318" s="486"/>
      <c r="D318" s="454"/>
      <c r="E318" s="22"/>
      <c r="F318" s="22"/>
      <c r="G318" s="22"/>
      <c r="H318" s="22"/>
      <c r="I318" s="22"/>
      <c r="J318" s="22"/>
      <c r="K318" s="22"/>
      <c r="L318" s="22"/>
      <c r="M318" s="22"/>
      <c r="N318" s="22"/>
      <c r="O318" s="22"/>
      <c r="P318" s="22"/>
      <c r="Q318" s="22"/>
      <c r="R318" s="22"/>
      <c r="S318" s="22"/>
      <c r="T318" s="22"/>
      <c r="U318" s="22"/>
      <c r="V318" s="22"/>
      <c r="W318" s="22"/>
      <c r="X318" s="22"/>
      <c r="Y318" s="22"/>
      <c r="Z318" s="22"/>
      <c r="AA318" s="22"/>
      <c r="AB318" s="22"/>
      <c r="AC318" s="22"/>
      <c r="AD318" s="22"/>
      <c r="AE318" s="22"/>
      <c r="AF318" s="22"/>
      <c r="AG318" s="22"/>
      <c r="AH318" s="22"/>
      <c r="AI318" s="22"/>
      <c r="AJ318" s="22"/>
      <c r="AK318" s="22"/>
      <c r="AL318" s="22"/>
      <c r="AM318" s="22"/>
      <c r="AN318" s="22"/>
      <c r="AO318" s="22"/>
      <c r="AP318" s="22"/>
      <c r="AQ318" s="22"/>
    </row>
    <row r="319" spans="1:43" ht="14.25" hidden="1" customHeight="1" outlineLevel="1" x14ac:dyDescent="0.2">
      <c r="C319" s="487"/>
      <c r="D319" s="488"/>
      <c r="E319" s="58">
        <f>F319-1</f>
        <v>2025</v>
      </c>
      <c r="F319" s="58">
        <f>FirstYear</f>
        <v>2026</v>
      </c>
      <c r="G319" s="58">
        <f>F319+1</f>
        <v>2027</v>
      </c>
      <c r="H319" s="58">
        <f>G319+1</f>
        <v>2028</v>
      </c>
      <c r="I319" s="58">
        <f>H319+1</f>
        <v>2029</v>
      </c>
      <c r="J319" s="58">
        <f>I319+1</f>
        <v>2030</v>
      </c>
      <c r="K319" s="58">
        <f>J319+1</f>
        <v>2031</v>
      </c>
      <c r="M319" s="260"/>
      <c r="P319" s="260"/>
    </row>
    <row r="320" spans="1:43" hidden="1" outlineLevel="1" x14ac:dyDescent="0.2">
      <c r="C320" s="487"/>
      <c r="D320" s="2" t="s">
        <v>111</v>
      </c>
      <c r="E320" s="33">
        <f>INDEX(ScriptsMSAdditional,$C317) * INDEX(NamesMSAdditional,$C317,3)</f>
        <v>0</v>
      </c>
      <c r="F320" s="33">
        <f t="shared" ref="F320:K320" si="130">IF(E320="","",E320*(1+E321))</f>
        <v>0</v>
      </c>
      <c r="G320" s="33">
        <f t="shared" si="130"/>
        <v>0</v>
      </c>
      <c r="H320" s="33">
        <f t="shared" si="130"/>
        <v>0</v>
      </c>
      <c r="I320" s="33">
        <f t="shared" si="130"/>
        <v>0</v>
      </c>
      <c r="J320" s="33">
        <f t="shared" si="130"/>
        <v>0</v>
      </c>
      <c r="K320" s="33">
        <f t="shared" si="130"/>
        <v>0</v>
      </c>
      <c r="M320" s="31" t="s">
        <v>249</v>
      </c>
      <c r="O320" s="260"/>
      <c r="R320" s="260"/>
    </row>
    <row r="321" spans="1:43" hidden="1" outlineLevel="1" x14ac:dyDescent="0.2">
      <c r="C321" s="487"/>
      <c r="D321" s="7" t="s">
        <v>26</v>
      </c>
      <c r="E321" s="29"/>
      <c r="F321" s="29"/>
      <c r="G321" s="29"/>
      <c r="H321" s="29"/>
      <c r="I321" s="29"/>
      <c r="J321" s="29"/>
      <c r="K321" s="28"/>
      <c r="M321" s="629"/>
      <c r="N321" s="629"/>
      <c r="O321" s="629"/>
      <c r="P321" s="629"/>
      <c r="Q321" s="629"/>
      <c r="R321" s="629"/>
      <c r="S321" s="629"/>
      <c r="T321" s="629"/>
    </row>
    <row r="322" spans="1:43" hidden="1" outlineLevel="1" x14ac:dyDescent="0.2">
      <c r="C322" s="487"/>
      <c r="D322" s="7" t="s">
        <v>33</v>
      </c>
      <c r="E322" s="29"/>
      <c r="F322" s="29"/>
      <c r="G322" s="29"/>
      <c r="H322" s="29"/>
      <c r="I322" s="29"/>
      <c r="J322" s="29"/>
      <c r="K322" s="29"/>
      <c r="M322" s="629"/>
      <c r="N322" s="629"/>
      <c r="O322" s="629"/>
      <c r="P322" s="629"/>
      <c r="Q322" s="629"/>
      <c r="R322" s="629"/>
      <c r="S322" s="629"/>
      <c r="T322" s="629"/>
    </row>
    <row r="323" spans="1:43" hidden="1" outlineLevel="1" x14ac:dyDescent="0.2">
      <c r="C323" s="487"/>
      <c r="D323" s="7" t="s">
        <v>836</v>
      </c>
      <c r="E323" s="29"/>
      <c r="F323" s="29"/>
      <c r="G323" s="29"/>
      <c r="H323" s="29"/>
      <c r="I323" s="29"/>
      <c r="J323" s="29"/>
      <c r="K323" s="29"/>
      <c r="M323" s="629"/>
      <c r="N323" s="629"/>
      <c r="O323" s="629"/>
      <c r="P323" s="629"/>
      <c r="Q323" s="629"/>
      <c r="R323" s="629"/>
      <c r="S323" s="629"/>
      <c r="T323" s="629"/>
    </row>
    <row r="324" spans="1:43" hidden="1" outlineLevel="1" x14ac:dyDescent="0.2">
      <c r="C324" s="487"/>
      <c r="D324" s="9" t="s">
        <v>104</v>
      </c>
      <c r="E324" s="33">
        <f t="shared" ref="E324:K324" si="131">E326-E325</f>
        <v>0</v>
      </c>
      <c r="F324" s="33">
        <f t="shared" si="131"/>
        <v>0</v>
      </c>
      <c r="G324" s="33">
        <f t="shared" si="131"/>
        <v>0</v>
      </c>
      <c r="H324" s="33">
        <f t="shared" si="131"/>
        <v>0</v>
      </c>
      <c r="I324" s="33">
        <f t="shared" si="131"/>
        <v>0</v>
      </c>
      <c r="J324" s="33">
        <f t="shared" si="131"/>
        <v>0</v>
      </c>
      <c r="K324" s="33">
        <f t="shared" si="131"/>
        <v>0</v>
      </c>
    </row>
    <row r="325" spans="1:43" hidden="1" outlineLevel="1" x14ac:dyDescent="0.2">
      <c r="C325" s="487"/>
      <c r="D325" s="9" t="s">
        <v>105</v>
      </c>
      <c r="E325" s="33">
        <f t="shared" ref="E325:K325" si="132">ROUND(E326*$T$167,0)</f>
        <v>0</v>
      </c>
      <c r="F325" s="33">
        <f t="shared" si="132"/>
        <v>0</v>
      </c>
      <c r="G325" s="33">
        <f t="shared" si="132"/>
        <v>0</v>
      </c>
      <c r="H325" s="33">
        <f t="shared" si="132"/>
        <v>0</v>
      </c>
      <c r="I325" s="33">
        <f t="shared" si="132"/>
        <v>0</v>
      </c>
      <c r="J325" s="33">
        <f t="shared" si="132"/>
        <v>0</v>
      </c>
      <c r="K325" s="33">
        <f t="shared" si="132"/>
        <v>0</v>
      </c>
    </row>
    <row r="326" spans="1:43" hidden="1" outlineLevel="1" x14ac:dyDescent="0.2">
      <c r="C326" s="487"/>
      <c r="D326" s="78" t="s">
        <v>831</v>
      </c>
      <c r="E326" s="34">
        <f t="shared" ref="E326:K326" si="133">IF(E320="","",E323*E322*E320)</f>
        <v>0</v>
      </c>
      <c r="F326" s="34">
        <f t="shared" si="133"/>
        <v>0</v>
      </c>
      <c r="G326" s="34">
        <f t="shared" si="133"/>
        <v>0</v>
      </c>
      <c r="H326" s="34">
        <f t="shared" si="133"/>
        <v>0</v>
      </c>
      <c r="I326" s="34">
        <f t="shared" si="133"/>
        <v>0</v>
      </c>
      <c r="J326" s="34">
        <f t="shared" si="133"/>
        <v>0</v>
      </c>
      <c r="K326" s="34">
        <f t="shared" si="133"/>
        <v>0</v>
      </c>
    </row>
    <row r="327" spans="1:43" hidden="1" outlineLevel="1" x14ac:dyDescent="0.2">
      <c r="C327" s="487"/>
      <c r="G327" s="489"/>
      <c r="H327" s="489"/>
      <c r="I327" s="489"/>
    </row>
    <row r="328" spans="1:43" collapsed="1" x14ac:dyDescent="0.2">
      <c r="C328" s="487"/>
    </row>
    <row r="329" spans="1:43" ht="15" x14ac:dyDescent="0.2">
      <c r="C329" s="246">
        <v>13</v>
      </c>
      <c r="D329" s="129" t="str">
        <f>INDEX(NamesMSAdditional,C329,1)</f>
        <v>** NOT USED **</v>
      </c>
      <c r="E329" s="123"/>
      <c r="F329" s="123"/>
      <c r="G329" s="123"/>
      <c r="H329" s="123"/>
      <c r="I329" s="588" t="str">
        <f>IF(D329&lt;&gt;MsgNotUsed,"Co-payment group " &amp; INDEX(CoPayBandMSAdditional,C329),"")</f>
        <v/>
      </c>
      <c r="J329" s="588"/>
      <c r="K329" s="123"/>
      <c r="L329" s="123"/>
      <c r="M329" s="123"/>
      <c r="N329" s="123"/>
      <c r="O329" s="123"/>
      <c r="P329" s="123"/>
      <c r="Q329" s="123"/>
      <c r="R329" s="123"/>
      <c r="S329" s="123"/>
      <c r="T329" s="123"/>
      <c r="U329" s="123"/>
      <c r="V329" s="123"/>
      <c r="W329" s="123"/>
      <c r="X329" s="123"/>
      <c r="Y329" s="123"/>
      <c r="Z329" s="123"/>
      <c r="AA329" s="123"/>
      <c r="AB329" s="123"/>
      <c r="AC329" s="123"/>
      <c r="AD329" s="123"/>
      <c r="AE329" s="123"/>
      <c r="AF329" s="123"/>
      <c r="AG329" s="123"/>
      <c r="AH329" s="123"/>
      <c r="AI329" s="123"/>
      <c r="AJ329" s="123"/>
      <c r="AK329" s="123"/>
      <c r="AL329" s="123"/>
      <c r="AM329" s="123"/>
      <c r="AN329" s="123"/>
      <c r="AO329" s="123"/>
      <c r="AP329" s="123"/>
      <c r="AQ329" s="123"/>
    </row>
    <row r="330" spans="1:43" ht="15.75" hidden="1" outlineLevel="1" x14ac:dyDescent="0.2">
      <c r="A330" s="22"/>
      <c r="B330" s="22"/>
      <c r="C330" s="486"/>
      <c r="D330" s="454"/>
      <c r="E330" s="22"/>
      <c r="F330" s="22"/>
      <c r="G330" s="22"/>
      <c r="H330" s="22"/>
      <c r="I330" s="22"/>
      <c r="J330" s="22"/>
      <c r="K330" s="22"/>
      <c r="L330" s="22"/>
      <c r="M330" s="22"/>
      <c r="N330" s="22"/>
      <c r="O330" s="22"/>
      <c r="P330" s="22"/>
      <c r="Q330" s="22"/>
      <c r="R330" s="22"/>
      <c r="S330" s="22"/>
      <c r="T330" s="22"/>
      <c r="U330" s="22"/>
      <c r="V330" s="22"/>
      <c r="W330" s="22"/>
      <c r="X330" s="22"/>
      <c r="Y330" s="22"/>
      <c r="Z330" s="22"/>
      <c r="AA330" s="22"/>
      <c r="AB330" s="22"/>
      <c r="AC330" s="22"/>
      <c r="AD330" s="22"/>
      <c r="AE330" s="22"/>
      <c r="AF330" s="22"/>
      <c r="AG330" s="22"/>
      <c r="AH330" s="22"/>
      <c r="AI330" s="22"/>
      <c r="AJ330" s="22"/>
      <c r="AK330" s="22"/>
      <c r="AL330" s="22"/>
      <c r="AM330" s="22"/>
      <c r="AN330" s="22"/>
      <c r="AO330" s="22"/>
      <c r="AP330" s="22"/>
      <c r="AQ330" s="22"/>
    </row>
    <row r="331" spans="1:43" ht="14.25" hidden="1" customHeight="1" outlineLevel="1" x14ac:dyDescent="0.2">
      <c r="C331" s="487"/>
      <c r="D331" s="488"/>
      <c r="E331" s="58">
        <f>F331-1</f>
        <v>2025</v>
      </c>
      <c r="F331" s="58">
        <f>FirstYear</f>
        <v>2026</v>
      </c>
      <c r="G331" s="58">
        <f>F331+1</f>
        <v>2027</v>
      </c>
      <c r="H331" s="58">
        <f>G331+1</f>
        <v>2028</v>
      </c>
      <c r="I331" s="58">
        <f>H331+1</f>
        <v>2029</v>
      </c>
      <c r="J331" s="58">
        <f>I331+1</f>
        <v>2030</v>
      </c>
      <c r="K331" s="58">
        <f>J331+1</f>
        <v>2031</v>
      </c>
      <c r="M331" s="260"/>
      <c r="P331" s="260"/>
    </row>
    <row r="332" spans="1:43" hidden="1" outlineLevel="1" x14ac:dyDescent="0.2">
      <c r="C332" s="487"/>
      <c r="D332" s="2" t="s">
        <v>111</v>
      </c>
      <c r="E332" s="33">
        <f>INDEX(ScriptsMSAdditional,$C329) * INDEX(NamesMSAdditional,$C329,3)</f>
        <v>0</v>
      </c>
      <c r="F332" s="33">
        <f t="shared" ref="F332:K332" si="134">IF(E332="","",E332*(1+E333))</f>
        <v>0</v>
      </c>
      <c r="G332" s="33">
        <f t="shared" si="134"/>
        <v>0</v>
      </c>
      <c r="H332" s="33">
        <f t="shared" si="134"/>
        <v>0</v>
      </c>
      <c r="I332" s="33">
        <f t="shared" si="134"/>
        <v>0</v>
      </c>
      <c r="J332" s="33">
        <f t="shared" si="134"/>
        <v>0</v>
      </c>
      <c r="K332" s="33">
        <f t="shared" si="134"/>
        <v>0</v>
      </c>
      <c r="M332" s="31" t="s">
        <v>249</v>
      </c>
      <c r="O332" s="260"/>
      <c r="R332" s="260"/>
    </row>
    <row r="333" spans="1:43" hidden="1" outlineLevel="1" x14ac:dyDescent="0.2">
      <c r="C333" s="487"/>
      <c r="D333" s="7" t="s">
        <v>26</v>
      </c>
      <c r="E333" s="29"/>
      <c r="F333" s="29"/>
      <c r="G333" s="29"/>
      <c r="H333" s="29"/>
      <c r="I333" s="29"/>
      <c r="J333" s="29"/>
      <c r="K333" s="28"/>
      <c r="M333" s="629"/>
      <c r="N333" s="629"/>
      <c r="O333" s="629"/>
      <c r="P333" s="629"/>
      <c r="Q333" s="629"/>
      <c r="R333" s="629"/>
      <c r="S333" s="629"/>
      <c r="T333" s="629"/>
    </row>
    <row r="334" spans="1:43" hidden="1" outlineLevel="1" x14ac:dyDescent="0.2">
      <c r="C334" s="487"/>
      <c r="D334" s="7" t="s">
        <v>33</v>
      </c>
      <c r="E334" s="29"/>
      <c r="F334" s="29"/>
      <c r="G334" s="29"/>
      <c r="H334" s="29"/>
      <c r="I334" s="29"/>
      <c r="J334" s="29"/>
      <c r="K334" s="29"/>
      <c r="M334" s="629"/>
      <c r="N334" s="629"/>
      <c r="O334" s="629"/>
      <c r="P334" s="629"/>
      <c r="Q334" s="629"/>
      <c r="R334" s="629"/>
      <c r="S334" s="629"/>
      <c r="T334" s="629"/>
    </row>
    <row r="335" spans="1:43" hidden="1" outlineLevel="1" x14ac:dyDescent="0.2">
      <c r="C335" s="487"/>
      <c r="D335" s="7" t="s">
        <v>836</v>
      </c>
      <c r="E335" s="29"/>
      <c r="F335" s="29"/>
      <c r="G335" s="29"/>
      <c r="H335" s="29"/>
      <c r="I335" s="29"/>
      <c r="J335" s="29"/>
      <c r="K335" s="29"/>
      <c r="M335" s="629"/>
      <c r="N335" s="629"/>
      <c r="O335" s="629"/>
      <c r="P335" s="629"/>
      <c r="Q335" s="629"/>
      <c r="R335" s="629"/>
      <c r="S335" s="629"/>
      <c r="T335" s="629"/>
    </row>
    <row r="336" spans="1:43" hidden="1" outlineLevel="1" x14ac:dyDescent="0.2">
      <c r="C336" s="487"/>
      <c r="D336" s="9" t="s">
        <v>104</v>
      </c>
      <c r="E336" s="33">
        <f t="shared" ref="E336:K336" si="135">E338-E337</f>
        <v>0</v>
      </c>
      <c r="F336" s="33">
        <f t="shared" si="135"/>
        <v>0</v>
      </c>
      <c r="G336" s="33">
        <f t="shared" si="135"/>
        <v>0</v>
      </c>
      <c r="H336" s="33">
        <f t="shared" si="135"/>
        <v>0</v>
      </c>
      <c r="I336" s="33">
        <f t="shared" si="135"/>
        <v>0</v>
      </c>
      <c r="J336" s="33">
        <f t="shared" si="135"/>
        <v>0</v>
      </c>
      <c r="K336" s="33">
        <f t="shared" si="135"/>
        <v>0</v>
      </c>
    </row>
    <row r="337" spans="1:43" hidden="1" outlineLevel="1" x14ac:dyDescent="0.2">
      <c r="C337" s="487"/>
      <c r="D337" s="9" t="s">
        <v>105</v>
      </c>
      <c r="E337" s="33">
        <f t="shared" ref="E337:K337" si="136">ROUND(E338*$T$167,0)</f>
        <v>0</v>
      </c>
      <c r="F337" s="33">
        <f t="shared" si="136"/>
        <v>0</v>
      </c>
      <c r="G337" s="33">
        <f t="shared" si="136"/>
        <v>0</v>
      </c>
      <c r="H337" s="33">
        <f t="shared" si="136"/>
        <v>0</v>
      </c>
      <c r="I337" s="33">
        <f t="shared" si="136"/>
        <v>0</v>
      </c>
      <c r="J337" s="33">
        <f t="shared" si="136"/>
        <v>0</v>
      </c>
      <c r="K337" s="33">
        <f t="shared" si="136"/>
        <v>0</v>
      </c>
    </row>
    <row r="338" spans="1:43" hidden="1" outlineLevel="1" x14ac:dyDescent="0.2">
      <c r="C338" s="487"/>
      <c r="D338" s="78" t="s">
        <v>831</v>
      </c>
      <c r="E338" s="34">
        <f t="shared" ref="E338:K338" si="137">IF(E332="","",E335*E334*E332)</f>
        <v>0</v>
      </c>
      <c r="F338" s="34">
        <f t="shared" si="137"/>
        <v>0</v>
      </c>
      <c r="G338" s="34">
        <f t="shared" si="137"/>
        <v>0</v>
      </c>
      <c r="H338" s="34">
        <f t="shared" si="137"/>
        <v>0</v>
      </c>
      <c r="I338" s="34">
        <f t="shared" si="137"/>
        <v>0</v>
      </c>
      <c r="J338" s="34">
        <f t="shared" si="137"/>
        <v>0</v>
      </c>
      <c r="K338" s="34">
        <f t="shared" si="137"/>
        <v>0</v>
      </c>
    </row>
    <row r="339" spans="1:43" hidden="1" outlineLevel="1" x14ac:dyDescent="0.2">
      <c r="C339" s="487"/>
      <c r="G339" s="489"/>
      <c r="H339" s="489"/>
      <c r="I339" s="489"/>
    </row>
    <row r="340" spans="1:43" collapsed="1" x14ac:dyDescent="0.2">
      <c r="C340" s="487"/>
    </row>
    <row r="341" spans="1:43" ht="15" x14ac:dyDescent="0.2">
      <c r="C341" s="246">
        <v>14</v>
      </c>
      <c r="D341" s="129" t="str">
        <f>INDEX(NamesMSAdditional,C341,1)</f>
        <v>** NOT USED **</v>
      </c>
      <c r="E341" s="123"/>
      <c r="F341" s="123"/>
      <c r="G341" s="123"/>
      <c r="H341" s="123"/>
      <c r="I341" s="588" t="str">
        <f>IF(D341&lt;&gt;MsgNotUsed,"Co-payment group " &amp; INDEX(CoPayBandMSAdditional,C341),"")</f>
        <v/>
      </c>
      <c r="J341" s="588"/>
      <c r="K341" s="123"/>
      <c r="L341" s="123"/>
      <c r="M341" s="123"/>
      <c r="N341" s="123"/>
      <c r="O341" s="123"/>
      <c r="P341" s="123"/>
      <c r="Q341" s="123"/>
      <c r="R341" s="123"/>
      <c r="S341" s="123"/>
      <c r="T341" s="123"/>
      <c r="U341" s="123"/>
      <c r="V341" s="123"/>
      <c r="W341" s="123"/>
      <c r="X341" s="123"/>
      <c r="Y341" s="123"/>
      <c r="Z341" s="123"/>
      <c r="AA341" s="123"/>
      <c r="AB341" s="123"/>
      <c r="AC341" s="123"/>
      <c r="AD341" s="123"/>
      <c r="AE341" s="123"/>
      <c r="AF341" s="123"/>
      <c r="AG341" s="123"/>
      <c r="AH341" s="123"/>
      <c r="AI341" s="123"/>
      <c r="AJ341" s="123"/>
      <c r="AK341" s="123"/>
      <c r="AL341" s="123"/>
      <c r="AM341" s="123"/>
      <c r="AN341" s="123"/>
      <c r="AO341" s="123"/>
      <c r="AP341" s="123"/>
      <c r="AQ341" s="123"/>
    </row>
    <row r="342" spans="1:43" ht="15.75" hidden="1" outlineLevel="1" x14ac:dyDescent="0.2">
      <c r="A342" s="22"/>
      <c r="B342" s="22"/>
      <c r="C342" s="486"/>
      <c r="D342" s="454"/>
      <c r="E342" s="22"/>
      <c r="F342" s="22"/>
      <c r="G342" s="22"/>
      <c r="H342" s="22"/>
      <c r="I342" s="22"/>
      <c r="J342" s="22"/>
      <c r="K342" s="22"/>
      <c r="L342" s="22"/>
      <c r="M342" s="22"/>
      <c r="N342" s="22"/>
      <c r="O342" s="22"/>
      <c r="P342" s="22"/>
      <c r="Q342" s="22"/>
      <c r="R342" s="22"/>
      <c r="S342" s="22"/>
      <c r="T342" s="22"/>
      <c r="U342" s="22"/>
      <c r="V342" s="22"/>
      <c r="W342" s="22"/>
      <c r="X342" s="22"/>
      <c r="Y342" s="22"/>
      <c r="Z342" s="22"/>
      <c r="AA342" s="22"/>
      <c r="AB342" s="22"/>
      <c r="AC342" s="22"/>
      <c r="AD342" s="22"/>
      <c r="AE342" s="22"/>
      <c r="AF342" s="22"/>
      <c r="AG342" s="22"/>
      <c r="AH342" s="22"/>
      <c r="AI342" s="22"/>
      <c r="AJ342" s="22"/>
      <c r="AK342" s="22"/>
      <c r="AL342" s="22"/>
      <c r="AM342" s="22"/>
      <c r="AN342" s="22"/>
      <c r="AO342" s="22"/>
      <c r="AP342" s="22"/>
      <c r="AQ342" s="22"/>
    </row>
    <row r="343" spans="1:43" ht="14.25" hidden="1" customHeight="1" outlineLevel="1" x14ac:dyDescent="0.2">
      <c r="C343" s="487"/>
      <c r="D343" s="488"/>
      <c r="E343" s="58">
        <f>F343-1</f>
        <v>2025</v>
      </c>
      <c r="F343" s="58">
        <f>FirstYear</f>
        <v>2026</v>
      </c>
      <c r="G343" s="58">
        <f>F343+1</f>
        <v>2027</v>
      </c>
      <c r="H343" s="58">
        <f>G343+1</f>
        <v>2028</v>
      </c>
      <c r="I343" s="58">
        <f>H343+1</f>
        <v>2029</v>
      </c>
      <c r="J343" s="58">
        <f>I343+1</f>
        <v>2030</v>
      </c>
      <c r="K343" s="58">
        <f>J343+1</f>
        <v>2031</v>
      </c>
      <c r="M343" s="260"/>
      <c r="P343" s="260"/>
    </row>
    <row r="344" spans="1:43" hidden="1" outlineLevel="1" x14ac:dyDescent="0.2">
      <c r="C344" s="487"/>
      <c r="D344" s="2" t="s">
        <v>111</v>
      </c>
      <c r="E344" s="33">
        <f>INDEX(ScriptsMSAdditional,$C341) * INDEX(NamesMSAdditional,$C341,3)</f>
        <v>0</v>
      </c>
      <c r="F344" s="33">
        <f t="shared" ref="F344:K344" si="138">IF(E344="","",E344*(1+E345))</f>
        <v>0</v>
      </c>
      <c r="G344" s="33">
        <f t="shared" si="138"/>
        <v>0</v>
      </c>
      <c r="H344" s="33">
        <f t="shared" si="138"/>
        <v>0</v>
      </c>
      <c r="I344" s="33">
        <f t="shared" si="138"/>
        <v>0</v>
      </c>
      <c r="J344" s="33">
        <f t="shared" si="138"/>
        <v>0</v>
      </c>
      <c r="K344" s="33">
        <f t="shared" si="138"/>
        <v>0</v>
      </c>
      <c r="M344" s="31" t="s">
        <v>249</v>
      </c>
      <c r="O344" s="260"/>
      <c r="R344" s="260"/>
    </row>
    <row r="345" spans="1:43" hidden="1" outlineLevel="1" x14ac:dyDescent="0.2">
      <c r="C345" s="487"/>
      <c r="D345" s="7" t="s">
        <v>26</v>
      </c>
      <c r="E345" s="29"/>
      <c r="F345" s="29"/>
      <c r="G345" s="29"/>
      <c r="H345" s="29"/>
      <c r="I345" s="29"/>
      <c r="J345" s="29"/>
      <c r="K345" s="28"/>
      <c r="M345" s="629"/>
      <c r="N345" s="629"/>
      <c r="O345" s="629"/>
      <c r="P345" s="629"/>
      <c r="Q345" s="629"/>
      <c r="R345" s="629"/>
      <c r="S345" s="629"/>
      <c r="T345" s="629"/>
    </row>
    <row r="346" spans="1:43" hidden="1" outlineLevel="1" x14ac:dyDescent="0.2">
      <c r="C346" s="487"/>
      <c r="D346" s="7" t="s">
        <v>33</v>
      </c>
      <c r="E346" s="29"/>
      <c r="F346" s="29"/>
      <c r="G346" s="29"/>
      <c r="H346" s="29"/>
      <c r="I346" s="29"/>
      <c r="J346" s="29"/>
      <c r="K346" s="29"/>
      <c r="M346" s="629"/>
      <c r="N346" s="629"/>
      <c r="O346" s="629"/>
      <c r="P346" s="629"/>
      <c r="Q346" s="629"/>
      <c r="R346" s="629"/>
      <c r="S346" s="629"/>
      <c r="T346" s="629"/>
    </row>
    <row r="347" spans="1:43" hidden="1" outlineLevel="1" x14ac:dyDescent="0.2">
      <c r="C347" s="487"/>
      <c r="D347" s="7" t="s">
        <v>836</v>
      </c>
      <c r="E347" s="29"/>
      <c r="F347" s="29"/>
      <c r="G347" s="29"/>
      <c r="H347" s="29"/>
      <c r="I347" s="29"/>
      <c r="J347" s="29"/>
      <c r="K347" s="29"/>
      <c r="M347" s="629"/>
      <c r="N347" s="629"/>
      <c r="O347" s="629"/>
      <c r="P347" s="629"/>
      <c r="Q347" s="629"/>
      <c r="R347" s="629"/>
      <c r="S347" s="629"/>
      <c r="T347" s="629"/>
    </row>
    <row r="348" spans="1:43" hidden="1" outlineLevel="1" x14ac:dyDescent="0.2">
      <c r="C348" s="487"/>
      <c r="D348" s="9" t="s">
        <v>104</v>
      </c>
      <c r="E348" s="33">
        <f t="shared" ref="E348:K348" si="139">E350-E349</f>
        <v>0</v>
      </c>
      <c r="F348" s="33">
        <f t="shared" si="139"/>
        <v>0</v>
      </c>
      <c r="G348" s="33">
        <f t="shared" si="139"/>
        <v>0</v>
      </c>
      <c r="H348" s="33">
        <f t="shared" si="139"/>
        <v>0</v>
      </c>
      <c r="I348" s="33">
        <f t="shared" si="139"/>
        <v>0</v>
      </c>
      <c r="J348" s="33">
        <f t="shared" si="139"/>
        <v>0</v>
      </c>
      <c r="K348" s="33">
        <f t="shared" si="139"/>
        <v>0</v>
      </c>
    </row>
    <row r="349" spans="1:43" hidden="1" outlineLevel="1" x14ac:dyDescent="0.2">
      <c r="C349" s="487"/>
      <c r="D349" s="9" t="s">
        <v>105</v>
      </c>
      <c r="E349" s="33">
        <f t="shared" ref="E349:K349" si="140">ROUND(E350*$T$167,0)</f>
        <v>0</v>
      </c>
      <c r="F349" s="33">
        <f t="shared" si="140"/>
        <v>0</v>
      </c>
      <c r="G349" s="33">
        <f t="shared" si="140"/>
        <v>0</v>
      </c>
      <c r="H349" s="33">
        <f t="shared" si="140"/>
        <v>0</v>
      </c>
      <c r="I349" s="33">
        <f t="shared" si="140"/>
        <v>0</v>
      </c>
      <c r="J349" s="33">
        <f t="shared" si="140"/>
        <v>0</v>
      </c>
      <c r="K349" s="33">
        <f t="shared" si="140"/>
        <v>0</v>
      </c>
    </row>
    <row r="350" spans="1:43" hidden="1" outlineLevel="1" x14ac:dyDescent="0.2">
      <c r="C350" s="487"/>
      <c r="D350" s="78" t="s">
        <v>831</v>
      </c>
      <c r="E350" s="34">
        <f t="shared" ref="E350:K350" si="141">IF(E344="","",E347*E346*E344)</f>
        <v>0</v>
      </c>
      <c r="F350" s="34">
        <f t="shared" si="141"/>
        <v>0</v>
      </c>
      <c r="G350" s="34">
        <f t="shared" si="141"/>
        <v>0</v>
      </c>
      <c r="H350" s="34">
        <f t="shared" si="141"/>
        <v>0</v>
      </c>
      <c r="I350" s="34">
        <f t="shared" si="141"/>
        <v>0</v>
      </c>
      <c r="J350" s="34">
        <f t="shared" si="141"/>
        <v>0</v>
      </c>
      <c r="K350" s="34">
        <f t="shared" si="141"/>
        <v>0</v>
      </c>
    </row>
    <row r="351" spans="1:43" hidden="1" outlineLevel="1" x14ac:dyDescent="0.2">
      <c r="C351" s="487"/>
      <c r="G351" s="489"/>
      <c r="H351" s="489"/>
      <c r="I351" s="489"/>
    </row>
    <row r="352" spans="1:43" collapsed="1" x14ac:dyDescent="0.2">
      <c r="C352" s="487"/>
    </row>
    <row r="353" spans="1:43" ht="15" x14ac:dyDescent="0.2">
      <c r="C353" s="246">
        <v>15</v>
      </c>
      <c r="D353" s="129" t="str">
        <f>INDEX(NamesMSAdditional,C353,1)</f>
        <v>** NOT USED **</v>
      </c>
      <c r="E353" s="123"/>
      <c r="F353" s="123"/>
      <c r="G353" s="123"/>
      <c r="H353" s="123"/>
      <c r="I353" s="588" t="str">
        <f>IF(D353&lt;&gt;MsgNotUsed,"Co-payment group " &amp; INDEX(CoPayBandMSAdditional,C353),"")</f>
        <v/>
      </c>
      <c r="J353" s="588"/>
      <c r="K353" s="123"/>
      <c r="L353" s="123"/>
      <c r="M353" s="123"/>
      <c r="N353" s="123"/>
      <c r="O353" s="123"/>
      <c r="P353" s="123"/>
      <c r="Q353" s="123"/>
      <c r="R353" s="123"/>
      <c r="S353" s="123"/>
      <c r="T353" s="123"/>
      <c r="U353" s="123"/>
      <c r="V353" s="123"/>
      <c r="W353" s="123"/>
      <c r="X353" s="123"/>
      <c r="Y353" s="123"/>
      <c r="Z353" s="123"/>
      <c r="AA353" s="123"/>
      <c r="AB353" s="123"/>
      <c r="AC353" s="123"/>
      <c r="AD353" s="123"/>
      <c r="AE353" s="123"/>
      <c r="AF353" s="123"/>
      <c r="AG353" s="123"/>
      <c r="AH353" s="123"/>
      <c r="AI353" s="123"/>
      <c r="AJ353" s="123"/>
      <c r="AK353" s="123"/>
      <c r="AL353" s="123"/>
      <c r="AM353" s="123"/>
      <c r="AN353" s="123"/>
      <c r="AO353" s="123"/>
      <c r="AP353" s="123"/>
      <c r="AQ353" s="123"/>
    </row>
    <row r="354" spans="1:43" ht="15.75" hidden="1" outlineLevel="1" x14ac:dyDescent="0.2">
      <c r="A354" s="22"/>
      <c r="B354" s="22"/>
      <c r="C354" s="486"/>
      <c r="D354" s="454"/>
      <c r="E354" s="22"/>
      <c r="F354" s="22"/>
      <c r="G354" s="22"/>
      <c r="H354" s="22"/>
      <c r="I354" s="22"/>
      <c r="J354" s="22"/>
      <c r="K354" s="22"/>
      <c r="L354" s="22"/>
      <c r="M354" s="22"/>
      <c r="N354" s="22"/>
      <c r="O354" s="22"/>
      <c r="P354" s="22"/>
      <c r="Q354" s="22"/>
      <c r="R354" s="22"/>
      <c r="S354" s="22"/>
      <c r="T354" s="22"/>
      <c r="U354" s="22"/>
      <c r="V354" s="22"/>
      <c r="W354" s="22"/>
      <c r="X354" s="22"/>
      <c r="Y354" s="22"/>
      <c r="Z354" s="22"/>
      <c r="AA354" s="22"/>
      <c r="AB354" s="22"/>
      <c r="AC354" s="22"/>
      <c r="AD354" s="22"/>
      <c r="AE354" s="22"/>
      <c r="AF354" s="22"/>
      <c r="AG354" s="22"/>
      <c r="AH354" s="22"/>
      <c r="AI354" s="22"/>
      <c r="AJ354" s="22"/>
      <c r="AK354" s="22"/>
      <c r="AL354" s="22"/>
      <c r="AM354" s="22"/>
      <c r="AN354" s="22"/>
      <c r="AO354" s="22"/>
      <c r="AP354" s="22"/>
      <c r="AQ354" s="22"/>
    </row>
    <row r="355" spans="1:43" ht="14.25" hidden="1" customHeight="1" outlineLevel="1" x14ac:dyDescent="0.2">
      <c r="C355" s="487"/>
      <c r="D355" s="488"/>
      <c r="E355" s="58">
        <f>F355-1</f>
        <v>2025</v>
      </c>
      <c r="F355" s="58">
        <f>FirstYear</f>
        <v>2026</v>
      </c>
      <c r="G355" s="58">
        <f>F355+1</f>
        <v>2027</v>
      </c>
      <c r="H355" s="58">
        <f>G355+1</f>
        <v>2028</v>
      </c>
      <c r="I355" s="58">
        <f>H355+1</f>
        <v>2029</v>
      </c>
      <c r="J355" s="58">
        <f>I355+1</f>
        <v>2030</v>
      </c>
      <c r="K355" s="58">
        <f>J355+1</f>
        <v>2031</v>
      </c>
      <c r="M355" s="260"/>
      <c r="P355" s="260"/>
    </row>
    <row r="356" spans="1:43" hidden="1" outlineLevel="1" x14ac:dyDescent="0.2">
      <c r="C356" s="487"/>
      <c r="D356" s="2" t="s">
        <v>111</v>
      </c>
      <c r="E356" s="33">
        <f>INDEX(ScriptsMSAdditional,$C353) * INDEX(NamesMSAdditional,$C353,3)</f>
        <v>0</v>
      </c>
      <c r="F356" s="33">
        <f t="shared" ref="F356:K356" si="142">IF(E356="","",E356*(1+E357))</f>
        <v>0</v>
      </c>
      <c r="G356" s="33">
        <f t="shared" si="142"/>
        <v>0</v>
      </c>
      <c r="H356" s="33">
        <f t="shared" si="142"/>
        <v>0</v>
      </c>
      <c r="I356" s="33">
        <f t="shared" si="142"/>
        <v>0</v>
      </c>
      <c r="J356" s="33">
        <f t="shared" si="142"/>
        <v>0</v>
      </c>
      <c r="K356" s="33">
        <f t="shared" si="142"/>
        <v>0</v>
      </c>
      <c r="M356" s="31" t="s">
        <v>249</v>
      </c>
      <c r="O356" s="260"/>
      <c r="R356" s="260"/>
    </row>
    <row r="357" spans="1:43" hidden="1" outlineLevel="1" x14ac:dyDescent="0.2">
      <c r="C357" s="487"/>
      <c r="D357" s="7" t="s">
        <v>26</v>
      </c>
      <c r="E357" s="29"/>
      <c r="F357" s="29"/>
      <c r="G357" s="29"/>
      <c r="H357" s="29"/>
      <c r="I357" s="29"/>
      <c r="J357" s="29"/>
      <c r="K357" s="28"/>
      <c r="M357" s="629"/>
      <c r="N357" s="629"/>
      <c r="O357" s="629"/>
      <c r="P357" s="629"/>
      <c r="Q357" s="629"/>
      <c r="R357" s="629"/>
      <c r="S357" s="629"/>
      <c r="T357" s="629"/>
    </row>
    <row r="358" spans="1:43" hidden="1" outlineLevel="1" x14ac:dyDescent="0.2">
      <c r="C358" s="487"/>
      <c r="D358" s="7" t="s">
        <v>33</v>
      </c>
      <c r="E358" s="29"/>
      <c r="F358" s="29"/>
      <c r="G358" s="29"/>
      <c r="H358" s="29"/>
      <c r="I358" s="29"/>
      <c r="J358" s="29"/>
      <c r="K358" s="29"/>
      <c r="M358" s="629"/>
      <c r="N358" s="629"/>
      <c r="O358" s="629"/>
      <c r="P358" s="629"/>
      <c r="Q358" s="629"/>
      <c r="R358" s="629"/>
      <c r="S358" s="629"/>
      <c r="T358" s="629"/>
    </row>
    <row r="359" spans="1:43" hidden="1" outlineLevel="1" x14ac:dyDescent="0.2">
      <c r="C359" s="487"/>
      <c r="D359" s="7" t="s">
        <v>836</v>
      </c>
      <c r="E359" s="29"/>
      <c r="F359" s="29"/>
      <c r="G359" s="29"/>
      <c r="H359" s="29"/>
      <c r="I359" s="29"/>
      <c r="J359" s="29"/>
      <c r="K359" s="29"/>
      <c r="M359" s="629"/>
      <c r="N359" s="629"/>
      <c r="O359" s="629"/>
      <c r="P359" s="629"/>
      <c r="Q359" s="629"/>
      <c r="R359" s="629"/>
      <c r="S359" s="629"/>
      <c r="T359" s="629"/>
    </row>
    <row r="360" spans="1:43" hidden="1" outlineLevel="1" x14ac:dyDescent="0.2">
      <c r="C360" s="487"/>
      <c r="D360" s="9" t="s">
        <v>104</v>
      </c>
      <c r="E360" s="33">
        <f t="shared" ref="E360:K360" si="143">E362-E361</f>
        <v>0</v>
      </c>
      <c r="F360" s="33">
        <f t="shared" si="143"/>
        <v>0</v>
      </c>
      <c r="G360" s="33">
        <f t="shared" si="143"/>
        <v>0</v>
      </c>
      <c r="H360" s="33">
        <f t="shared" si="143"/>
        <v>0</v>
      </c>
      <c r="I360" s="33">
        <f t="shared" si="143"/>
        <v>0</v>
      </c>
      <c r="J360" s="33">
        <f t="shared" si="143"/>
        <v>0</v>
      </c>
      <c r="K360" s="33">
        <f t="shared" si="143"/>
        <v>0</v>
      </c>
    </row>
    <row r="361" spans="1:43" hidden="1" outlineLevel="1" x14ac:dyDescent="0.2">
      <c r="C361" s="487"/>
      <c r="D361" s="9" t="s">
        <v>105</v>
      </c>
      <c r="E361" s="33">
        <f t="shared" ref="E361:K361" si="144">ROUND(E362*$T$167,0)</f>
        <v>0</v>
      </c>
      <c r="F361" s="33">
        <f t="shared" si="144"/>
        <v>0</v>
      </c>
      <c r="G361" s="33">
        <f t="shared" si="144"/>
        <v>0</v>
      </c>
      <c r="H361" s="33">
        <f t="shared" si="144"/>
        <v>0</v>
      </c>
      <c r="I361" s="33">
        <f t="shared" si="144"/>
        <v>0</v>
      </c>
      <c r="J361" s="33">
        <f t="shared" si="144"/>
        <v>0</v>
      </c>
      <c r="K361" s="33">
        <f t="shared" si="144"/>
        <v>0</v>
      </c>
    </row>
    <row r="362" spans="1:43" hidden="1" outlineLevel="1" x14ac:dyDescent="0.2">
      <c r="C362" s="487"/>
      <c r="D362" s="78" t="s">
        <v>831</v>
      </c>
      <c r="E362" s="34">
        <f t="shared" ref="E362:K362" si="145">IF(E356="","",E359*E358*E356)</f>
        <v>0</v>
      </c>
      <c r="F362" s="34">
        <f t="shared" si="145"/>
        <v>0</v>
      </c>
      <c r="G362" s="34">
        <f t="shared" si="145"/>
        <v>0</v>
      </c>
      <c r="H362" s="34">
        <f t="shared" si="145"/>
        <v>0</v>
      </c>
      <c r="I362" s="34">
        <f t="shared" si="145"/>
        <v>0</v>
      </c>
      <c r="J362" s="34">
        <f t="shared" si="145"/>
        <v>0</v>
      </c>
      <c r="K362" s="34">
        <f t="shared" si="145"/>
        <v>0</v>
      </c>
    </row>
    <row r="363" spans="1:43" hidden="1" outlineLevel="1" x14ac:dyDescent="0.2">
      <c r="C363" s="487"/>
      <c r="G363" s="489"/>
      <c r="H363" s="489"/>
      <c r="I363" s="489"/>
    </row>
    <row r="364" spans="1:43" collapsed="1" x14ac:dyDescent="0.2">
      <c r="C364" s="487"/>
    </row>
    <row r="365" spans="1:43" ht="15" x14ac:dyDescent="0.2">
      <c r="C365" s="246">
        <v>16</v>
      </c>
      <c r="D365" s="129" t="str">
        <f>INDEX(NamesMSAdditional,C365,1)</f>
        <v>** NOT USED **</v>
      </c>
      <c r="E365" s="123"/>
      <c r="F365" s="123"/>
      <c r="G365" s="123"/>
      <c r="H365" s="123"/>
      <c r="I365" s="588" t="str">
        <f>IF(D365&lt;&gt;MsgNotUsed,"Co-payment group " &amp; INDEX(CoPayBandMSAdditional,C365),"")</f>
        <v/>
      </c>
      <c r="J365" s="588"/>
      <c r="K365" s="123"/>
      <c r="L365" s="123"/>
      <c r="M365" s="123"/>
      <c r="N365" s="123"/>
      <c r="O365" s="123"/>
      <c r="P365" s="123"/>
      <c r="Q365" s="123"/>
      <c r="R365" s="123"/>
      <c r="S365" s="123"/>
      <c r="T365" s="123"/>
      <c r="U365" s="123"/>
      <c r="V365" s="123"/>
      <c r="W365" s="123"/>
      <c r="X365" s="123"/>
      <c r="Y365" s="123"/>
      <c r="Z365" s="123"/>
      <c r="AA365" s="123"/>
      <c r="AB365" s="123"/>
      <c r="AC365" s="123"/>
      <c r="AD365" s="123"/>
      <c r="AE365" s="123"/>
      <c r="AF365" s="123"/>
      <c r="AG365" s="123"/>
      <c r="AH365" s="123"/>
      <c r="AI365" s="123"/>
      <c r="AJ365" s="123"/>
      <c r="AK365" s="123"/>
      <c r="AL365" s="123"/>
      <c r="AM365" s="123"/>
      <c r="AN365" s="123"/>
      <c r="AO365" s="123"/>
      <c r="AP365" s="123"/>
      <c r="AQ365" s="123"/>
    </row>
    <row r="366" spans="1:43" ht="15.75" hidden="1" outlineLevel="1" x14ac:dyDescent="0.2">
      <c r="A366" s="22"/>
      <c r="B366" s="22"/>
      <c r="C366" s="486"/>
      <c r="D366" s="454"/>
      <c r="E366" s="22"/>
      <c r="F366" s="22"/>
      <c r="G366" s="22"/>
      <c r="H366" s="22"/>
      <c r="I366" s="22"/>
      <c r="J366" s="22"/>
      <c r="K366" s="22"/>
      <c r="L366" s="22"/>
      <c r="M366" s="22"/>
      <c r="N366" s="22"/>
      <c r="O366" s="22"/>
      <c r="P366" s="22"/>
      <c r="Q366" s="22"/>
      <c r="R366" s="22"/>
      <c r="S366" s="22"/>
      <c r="T366" s="22"/>
      <c r="U366" s="22"/>
      <c r="V366" s="22"/>
      <c r="W366" s="22"/>
      <c r="X366" s="22"/>
      <c r="Y366" s="22"/>
      <c r="Z366" s="22"/>
      <c r="AA366" s="22"/>
      <c r="AB366" s="22"/>
      <c r="AC366" s="22"/>
      <c r="AD366" s="22"/>
      <c r="AE366" s="22"/>
      <c r="AF366" s="22"/>
      <c r="AG366" s="22"/>
      <c r="AH366" s="22"/>
      <c r="AI366" s="22"/>
      <c r="AJ366" s="22"/>
      <c r="AK366" s="22"/>
      <c r="AL366" s="22"/>
      <c r="AM366" s="22"/>
      <c r="AN366" s="22"/>
      <c r="AO366" s="22"/>
      <c r="AP366" s="22"/>
      <c r="AQ366" s="22"/>
    </row>
    <row r="367" spans="1:43" ht="14.25" hidden="1" customHeight="1" outlineLevel="1" x14ac:dyDescent="0.2">
      <c r="C367" s="487"/>
      <c r="D367" s="488"/>
      <c r="E367" s="58">
        <f>F367-1</f>
        <v>2025</v>
      </c>
      <c r="F367" s="58">
        <f>FirstYear</f>
        <v>2026</v>
      </c>
      <c r="G367" s="58">
        <f>F367+1</f>
        <v>2027</v>
      </c>
      <c r="H367" s="58">
        <f>G367+1</f>
        <v>2028</v>
      </c>
      <c r="I367" s="58">
        <f>H367+1</f>
        <v>2029</v>
      </c>
      <c r="J367" s="58">
        <f>I367+1</f>
        <v>2030</v>
      </c>
      <c r="K367" s="58">
        <f>J367+1</f>
        <v>2031</v>
      </c>
      <c r="M367" s="260"/>
      <c r="P367" s="260"/>
    </row>
    <row r="368" spans="1:43" hidden="1" outlineLevel="1" x14ac:dyDescent="0.2">
      <c r="C368" s="487"/>
      <c r="D368" s="2" t="s">
        <v>111</v>
      </c>
      <c r="E368" s="33">
        <f>INDEX(ScriptsMSAdditional,$C365) * INDEX(NamesMSAdditional,$C365,3)</f>
        <v>0</v>
      </c>
      <c r="F368" s="33">
        <f t="shared" ref="F368:K368" si="146">IF(E368="","",E368*(1+E369))</f>
        <v>0</v>
      </c>
      <c r="G368" s="33">
        <f t="shared" si="146"/>
        <v>0</v>
      </c>
      <c r="H368" s="33">
        <f t="shared" si="146"/>
        <v>0</v>
      </c>
      <c r="I368" s="33">
        <f t="shared" si="146"/>
        <v>0</v>
      </c>
      <c r="J368" s="33">
        <f t="shared" si="146"/>
        <v>0</v>
      </c>
      <c r="K368" s="33">
        <f t="shared" si="146"/>
        <v>0</v>
      </c>
      <c r="M368" s="31" t="s">
        <v>249</v>
      </c>
      <c r="O368" s="260"/>
      <c r="R368" s="260"/>
    </row>
    <row r="369" spans="1:43" hidden="1" outlineLevel="1" x14ac:dyDescent="0.2">
      <c r="C369" s="487"/>
      <c r="D369" s="7" t="s">
        <v>26</v>
      </c>
      <c r="E369" s="29"/>
      <c r="F369" s="29"/>
      <c r="G369" s="29"/>
      <c r="H369" s="29"/>
      <c r="I369" s="29"/>
      <c r="J369" s="29"/>
      <c r="K369" s="28"/>
      <c r="M369" s="629"/>
      <c r="N369" s="629"/>
      <c r="O369" s="629"/>
      <c r="P369" s="629"/>
      <c r="Q369" s="629"/>
      <c r="R369" s="629"/>
      <c r="S369" s="629"/>
      <c r="T369" s="629"/>
    </row>
    <row r="370" spans="1:43" hidden="1" outlineLevel="1" x14ac:dyDescent="0.2">
      <c r="C370" s="487"/>
      <c r="D370" s="7" t="s">
        <v>33</v>
      </c>
      <c r="E370" s="29"/>
      <c r="F370" s="29"/>
      <c r="G370" s="29"/>
      <c r="H370" s="29"/>
      <c r="I370" s="29"/>
      <c r="J370" s="29"/>
      <c r="K370" s="29"/>
      <c r="M370" s="629"/>
      <c r="N370" s="629"/>
      <c r="O370" s="629"/>
      <c r="P370" s="629"/>
      <c r="Q370" s="629"/>
      <c r="R370" s="629"/>
      <c r="S370" s="629"/>
      <c r="T370" s="629"/>
    </row>
    <row r="371" spans="1:43" hidden="1" outlineLevel="1" x14ac:dyDescent="0.2">
      <c r="C371" s="487"/>
      <c r="D371" s="7" t="s">
        <v>836</v>
      </c>
      <c r="E371" s="29"/>
      <c r="F371" s="29"/>
      <c r="G371" s="29"/>
      <c r="H371" s="29"/>
      <c r="I371" s="29"/>
      <c r="J371" s="29"/>
      <c r="K371" s="29"/>
      <c r="M371" s="629"/>
      <c r="N371" s="629"/>
      <c r="O371" s="629"/>
      <c r="P371" s="629"/>
      <c r="Q371" s="629"/>
      <c r="R371" s="629"/>
      <c r="S371" s="629"/>
      <c r="T371" s="629"/>
    </row>
    <row r="372" spans="1:43" hidden="1" outlineLevel="1" x14ac:dyDescent="0.2">
      <c r="C372" s="487"/>
      <c r="D372" s="9" t="s">
        <v>104</v>
      </c>
      <c r="E372" s="33">
        <f t="shared" ref="E372:K372" si="147">E374-E373</f>
        <v>0</v>
      </c>
      <c r="F372" s="33">
        <f t="shared" si="147"/>
        <v>0</v>
      </c>
      <c r="G372" s="33">
        <f t="shared" si="147"/>
        <v>0</v>
      </c>
      <c r="H372" s="33">
        <f t="shared" si="147"/>
        <v>0</v>
      </c>
      <c r="I372" s="33">
        <f t="shared" si="147"/>
        <v>0</v>
      </c>
      <c r="J372" s="33">
        <f t="shared" si="147"/>
        <v>0</v>
      </c>
      <c r="K372" s="33">
        <f t="shared" si="147"/>
        <v>0</v>
      </c>
    </row>
    <row r="373" spans="1:43" hidden="1" outlineLevel="1" x14ac:dyDescent="0.2">
      <c r="C373" s="487"/>
      <c r="D373" s="9" t="s">
        <v>105</v>
      </c>
      <c r="E373" s="33">
        <f t="shared" ref="E373:K373" si="148">ROUND(E374*$T$167,0)</f>
        <v>0</v>
      </c>
      <c r="F373" s="33">
        <f t="shared" si="148"/>
        <v>0</v>
      </c>
      <c r="G373" s="33">
        <f t="shared" si="148"/>
        <v>0</v>
      </c>
      <c r="H373" s="33">
        <f t="shared" si="148"/>
        <v>0</v>
      </c>
      <c r="I373" s="33">
        <f t="shared" si="148"/>
        <v>0</v>
      </c>
      <c r="J373" s="33">
        <f t="shared" si="148"/>
        <v>0</v>
      </c>
      <c r="K373" s="33">
        <f t="shared" si="148"/>
        <v>0</v>
      </c>
    </row>
    <row r="374" spans="1:43" hidden="1" outlineLevel="1" x14ac:dyDescent="0.2">
      <c r="C374" s="487"/>
      <c r="D374" s="78" t="s">
        <v>831</v>
      </c>
      <c r="E374" s="34">
        <f t="shared" ref="E374:K374" si="149">IF(E368="","",E371*E370*E368)</f>
        <v>0</v>
      </c>
      <c r="F374" s="34">
        <f t="shared" si="149"/>
        <v>0</v>
      </c>
      <c r="G374" s="34">
        <f t="shared" si="149"/>
        <v>0</v>
      </c>
      <c r="H374" s="34">
        <f t="shared" si="149"/>
        <v>0</v>
      </c>
      <c r="I374" s="34">
        <f t="shared" si="149"/>
        <v>0</v>
      </c>
      <c r="J374" s="34">
        <f t="shared" si="149"/>
        <v>0</v>
      </c>
      <c r="K374" s="34">
        <f t="shared" si="149"/>
        <v>0</v>
      </c>
    </row>
    <row r="375" spans="1:43" hidden="1" outlineLevel="1" x14ac:dyDescent="0.2">
      <c r="C375" s="487"/>
      <c r="G375" s="489"/>
      <c r="H375" s="489"/>
      <c r="I375" s="489"/>
    </row>
    <row r="376" spans="1:43" collapsed="1" x14ac:dyDescent="0.2">
      <c r="C376" s="487"/>
    </row>
    <row r="377" spans="1:43" ht="15" x14ac:dyDescent="0.2">
      <c r="C377" s="246">
        <v>17</v>
      </c>
      <c r="D377" s="129" t="str">
        <f>INDEX(NamesMSAdditional,C377,1)</f>
        <v>** NOT USED **</v>
      </c>
      <c r="E377" s="123"/>
      <c r="F377" s="123"/>
      <c r="G377" s="123"/>
      <c r="H377" s="123"/>
      <c r="I377" s="588" t="str">
        <f>IF(D377&lt;&gt;MsgNotUsed,"Co-payment group " &amp; INDEX(CoPayBandMSAdditional,C377),"")</f>
        <v/>
      </c>
      <c r="J377" s="588"/>
      <c r="K377" s="123"/>
      <c r="L377" s="123"/>
      <c r="M377" s="123"/>
      <c r="N377" s="123"/>
      <c r="O377" s="123"/>
      <c r="P377" s="123"/>
      <c r="Q377" s="123"/>
      <c r="R377" s="123"/>
      <c r="S377" s="123"/>
      <c r="T377" s="123"/>
      <c r="U377" s="123"/>
      <c r="V377" s="123"/>
      <c r="W377" s="123"/>
      <c r="X377" s="123"/>
      <c r="Y377" s="123"/>
      <c r="Z377" s="123"/>
      <c r="AA377" s="123"/>
      <c r="AB377" s="123"/>
      <c r="AC377" s="123"/>
      <c r="AD377" s="123"/>
      <c r="AE377" s="123"/>
      <c r="AF377" s="123"/>
      <c r="AG377" s="123"/>
      <c r="AH377" s="123"/>
      <c r="AI377" s="123"/>
      <c r="AJ377" s="123"/>
      <c r="AK377" s="123"/>
      <c r="AL377" s="123"/>
      <c r="AM377" s="123"/>
      <c r="AN377" s="123"/>
      <c r="AO377" s="123"/>
      <c r="AP377" s="123"/>
      <c r="AQ377" s="123"/>
    </row>
    <row r="378" spans="1:43" ht="15.75" hidden="1" outlineLevel="1" x14ac:dyDescent="0.2">
      <c r="A378" s="22"/>
      <c r="B378" s="22"/>
      <c r="C378" s="486"/>
      <c r="D378" s="454"/>
      <c r="E378" s="22"/>
      <c r="F378" s="22"/>
      <c r="G378" s="22"/>
      <c r="H378" s="22"/>
      <c r="I378" s="22"/>
      <c r="J378" s="22"/>
      <c r="K378" s="22"/>
      <c r="L378" s="22"/>
      <c r="M378" s="22"/>
      <c r="N378" s="22"/>
      <c r="O378" s="22"/>
      <c r="P378" s="22"/>
      <c r="Q378" s="22"/>
      <c r="R378" s="22"/>
      <c r="S378" s="22"/>
      <c r="T378" s="22"/>
      <c r="U378" s="22"/>
      <c r="V378" s="22"/>
      <c r="W378" s="22"/>
      <c r="X378" s="22"/>
      <c r="Y378" s="22"/>
      <c r="Z378" s="22"/>
      <c r="AA378" s="22"/>
      <c r="AB378" s="22"/>
      <c r="AC378" s="22"/>
      <c r="AD378" s="22"/>
      <c r="AE378" s="22"/>
      <c r="AF378" s="22"/>
      <c r="AG378" s="22"/>
      <c r="AH378" s="22"/>
      <c r="AI378" s="22"/>
      <c r="AJ378" s="22"/>
      <c r="AK378" s="22"/>
      <c r="AL378" s="22"/>
      <c r="AM378" s="22"/>
      <c r="AN378" s="22"/>
      <c r="AO378" s="22"/>
      <c r="AP378" s="22"/>
      <c r="AQ378" s="22"/>
    </row>
    <row r="379" spans="1:43" ht="14.25" hidden="1" customHeight="1" outlineLevel="1" x14ac:dyDescent="0.2">
      <c r="C379" s="487"/>
      <c r="D379" s="488"/>
      <c r="E379" s="58">
        <f>F379-1</f>
        <v>2025</v>
      </c>
      <c r="F379" s="58">
        <f>FirstYear</f>
        <v>2026</v>
      </c>
      <c r="G379" s="58">
        <f>F379+1</f>
        <v>2027</v>
      </c>
      <c r="H379" s="58">
        <f>G379+1</f>
        <v>2028</v>
      </c>
      <c r="I379" s="58">
        <f>H379+1</f>
        <v>2029</v>
      </c>
      <c r="J379" s="58">
        <f>I379+1</f>
        <v>2030</v>
      </c>
      <c r="K379" s="58">
        <f>J379+1</f>
        <v>2031</v>
      </c>
      <c r="M379" s="260"/>
      <c r="P379" s="260"/>
    </row>
    <row r="380" spans="1:43" hidden="1" outlineLevel="1" x14ac:dyDescent="0.2">
      <c r="C380" s="487"/>
      <c r="D380" s="2" t="s">
        <v>111</v>
      </c>
      <c r="E380" s="33">
        <f>INDEX(ScriptsMSAdditional,$C377) * INDEX(NamesMSAdditional,$C377,3)</f>
        <v>0</v>
      </c>
      <c r="F380" s="33">
        <f t="shared" ref="F380:K380" si="150">IF(E380="","",E380*(1+E381))</f>
        <v>0</v>
      </c>
      <c r="G380" s="33">
        <f t="shared" si="150"/>
        <v>0</v>
      </c>
      <c r="H380" s="33">
        <f t="shared" si="150"/>
        <v>0</v>
      </c>
      <c r="I380" s="33">
        <f t="shared" si="150"/>
        <v>0</v>
      </c>
      <c r="J380" s="33">
        <f t="shared" si="150"/>
        <v>0</v>
      </c>
      <c r="K380" s="33">
        <f t="shared" si="150"/>
        <v>0</v>
      </c>
      <c r="M380" s="31" t="s">
        <v>249</v>
      </c>
      <c r="O380" s="260"/>
      <c r="R380" s="260"/>
    </row>
    <row r="381" spans="1:43" hidden="1" outlineLevel="1" x14ac:dyDescent="0.2">
      <c r="C381" s="487"/>
      <c r="D381" s="7" t="s">
        <v>26</v>
      </c>
      <c r="E381" s="29"/>
      <c r="F381" s="29"/>
      <c r="G381" s="29"/>
      <c r="H381" s="29"/>
      <c r="I381" s="29"/>
      <c r="J381" s="29"/>
      <c r="K381" s="28"/>
      <c r="M381" s="629"/>
      <c r="N381" s="629"/>
      <c r="O381" s="629"/>
      <c r="P381" s="629"/>
      <c r="Q381" s="629"/>
      <c r="R381" s="629"/>
      <c r="S381" s="629"/>
      <c r="T381" s="629"/>
    </row>
    <row r="382" spans="1:43" hidden="1" outlineLevel="1" x14ac:dyDescent="0.2">
      <c r="C382" s="487"/>
      <c r="D382" s="7" t="s">
        <v>33</v>
      </c>
      <c r="E382" s="29"/>
      <c r="F382" s="29"/>
      <c r="G382" s="29"/>
      <c r="H382" s="29"/>
      <c r="I382" s="29"/>
      <c r="J382" s="29"/>
      <c r="K382" s="29"/>
      <c r="M382" s="629"/>
      <c r="N382" s="629"/>
      <c r="O382" s="629"/>
      <c r="P382" s="629"/>
      <c r="Q382" s="629"/>
      <c r="R382" s="629"/>
      <c r="S382" s="629"/>
      <c r="T382" s="629"/>
    </row>
    <row r="383" spans="1:43" hidden="1" outlineLevel="1" x14ac:dyDescent="0.2">
      <c r="C383" s="487"/>
      <c r="D383" s="7" t="s">
        <v>836</v>
      </c>
      <c r="E383" s="29"/>
      <c r="F383" s="29"/>
      <c r="G383" s="29"/>
      <c r="H383" s="29"/>
      <c r="I383" s="29"/>
      <c r="J383" s="29"/>
      <c r="K383" s="29"/>
      <c r="M383" s="629"/>
      <c r="N383" s="629"/>
      <c r="O383" s="629"/>
      <c r="P383" s="629"/>
      <c r="Q383" s="629"/>
      <c r="R383" s="629"/>
      <c r="S383" s="629"/>
      <c r="T383" s="629"/>
    </row>
    <row r="384" spans="1:43" hidden="1" outlineLevel="1" x14ac:dyDescent="0.2">
      <c r="C384" s="487"/>
      <c r="D384" s="9" t="s">
        <v>104</v>
      </c>
      <c r="E384" s="33">
        <f t="shared" ref="E384:K384" si="151">E386-E385</f>
        <v>0</v>
      </c>
      <c r="F384" s="33">
        <f t="shared" si="151"/>
        <v>0</v>
      </c>
      <c r="G384" s="33">
        <f t="shared" si="151"/>
        <v>0</v>
      </c>
      <c r="H384" s="33">
        <f t="shared" si="151"/>
        <v>0</v>
      </c>
      <c r="I384" s="33">
        <f t="shared" si="151"/>
        <v>0</v>
      </c>
      <c r="J384" s="33">
        <f t="shared" si="151"/>
        <v>0</v>
      </c>
      <c r="K384" s="33">
        <f t="shared" si="151"/>
        <v>0</v>
      </c>
    </row>
    <row r="385" spans="1:43" hidden="1" outlineLevel="1" x14ac:dyDescent="0.2">
      <c r="C385" s="487"/>
      <c r="D385" s="9" t="s">
        <v>105</v>
      </c>
      <c r="E385" s="33">
        <f t="shared" ref="E385:K385" si="152">ROUND(E386*$T$167,0)</f>
        <v>0</v>
      </c>
      <c r="F385" s="33">
        <f t="shared" si="152"/>
        <v>0</v>
      </c>
      <c r="G385" s="33">
        <f t="shared" si="152"/>
        <v>0</v>
      </c>
      <c r="H385" s="33">
        <f t="shared" si="152"/>
        <v>0</v>
      </c>
      <c r="I385" s="33">
        <f t="shared" si="152"/>
        <v>0</v>
      </c>
      <c r="J385" s="33">
        <f t="shared" si="152"/>
        <v>0</v>
      </c>
      <c r="K385" s="33">
        <f t="shared" si="152"/>
        <v>0</v>
      </c>
    </row>
    <row r="386" spans="1:43" hidden="1" outlineLevel="1" x14ac:dyDescent="0.2">
      <c r="C386" s="487"/>
      <c r="D386" s="78" t="s">
        <v>831</v>
      </c>
      <c r="E386" s="34">
        <f t="shared" ref="E386:K386" si="153">IF(E380="","",E383*E382*E380)</f>
        <v>0</v>
      </c>
      <c r="F386" s="34">
        <f t="shared" si="153"/>
        <v>0</v>
      </c>
      <c r="G386" s="34">
        <f t="shared" si="153"/>
        <v>0</v>
      </c>
      <c r="H386" s="34">
        <f t="shared" si="153"/>
        <v>0</v>
      </c>
      <c r="I386" s="34">
        <f t="shared" si="153"/>
        <v>0</v>
      </c>
      <c r="J386" s="34">
        <f t="shared" si="153"/>
        <v>0</v>
      </c>
      <c r="K386" s="34">
        <f t="shared" si="153"/>
        <v>0</v>
      </c>
    </row>
    <row r="387" spans="1:43" hidden="1" outlineLevel="1" x14ac:dyDescent="0.2">
      <c r="C387" s="487"/>
      <c r="G387" s="489"/>
      <c r="H387" s="489"/>
      <c r="I387" s="489"/>
    </row>
    <row r="388" spans="1:43" collapsed="1" x14ac:dyDescent="0.2">
      <c r="C388" s="487"/>
    </row>
    <row r="389" spans="1:43" ht="15" x14ac:dyDescent="0.2">
      <c r="C389" s="246">
        <v>18</v>
      </c>
      <c r="D389" s="129" t="str">
        <f>INDEX(NamesMSAdditional,C389,1)</f>
        <v>** NOT USED **</v>
      </c>
      <c r="E389" s="123"/>
      <c r="F389" s="123"/>
      <c r="G389" s="123"/>
      <c r="H389" s="123"/>
      <c r="I389" s="588" t="str">
        <f>IF(D389&lt;&gt;MsgNotUsed,"Co-payment group " &amp; INDEX(CoPayBandMSAdditional,C389),"")</f>
        <v/>
      </c>
      <c r="J389" s="588"/>
      <c r="K389" s="123"/>
      <c r="L389" s="123"/>
      <c r="M389" s="123"/>
      <c r="N389" s="123"/>
      <c r="O389" s="123"/>
      <c r="P389" s="123"/>
      <c r="Q389" s="123"/>
      <c r="R389" s="123"/>
      <c r="S389" s="123"/>
      <c r="T389" s="123"/>
      <c r="U389" s="123"/>
      <c r="V389" s="123"/>
      <c r="W389" s="123"/>
      <c r="X389" s="123"/>
      <c r="Y389" s="123"/>
      <c r="Z389" s="123"/>
      <c r="AA389" s="123"/>
      <c r="AB389" s="123"/>
      <c r="AC389" s="123"/>
      <c r="AD389" s="123"/>
      <c r="AE389" s="123"/>
      <c r="AF389" s="123"/>
      <c r="AG389" s="123"/>
      <c r="AH389" s="123"/>
      <c r="AI389" s="123"/>
      <c r="AJ389" s="123"/>
      <c r="AK389" s="123"/>
      <c r="AL389" s="123"/>
      <c r="AM389" s="123"/>
      <c r="AN389" s="123"/>
      <c r="AO389" s="123"/>
      <c r="AP389" s="123"/>
      <c r="AQ389" s="123"/>
    </row>
    <row r="390" spans="1:43" ht="15.75" hidden="1" outlineLevel="1" x14ac:dyDescent="0.2">
      <c r="A390" s="22"/>
      <c r="B390" s="22"/>
      <c r="C390" s="486"/>
      <c r="D390" s="454"/>
      <c r="E390" s="22"/>
      <c r="F390" s="22"/>
      <c r="G390" s="22"/>
      <c r="H390" s="22"/>
      <c r="I390" s="22"/>
      <c r="J390" s="22"/>
      <c r="K390" s="22"/>
      <c r="L390" s="22"/>
      <c r="M390" s="22"/>
      <c r="N390" s="22"/>
      <c r="O390" s="22"/>
      <c r="P390" s="22"/>
      <c r="Q390" s="22"/>
      <c r="R390" s="22"/>
      <c r="S390" s="22"/>
      <c r="T390" s="22"/>
      <c r="U390" s="22"/>
      <c r="V390" s="22"/>
      <c r="W390" s="22"/>
      <c r="X390" s="22"/>
      <c r="Y390" s="22"/>
      <c r="Z390" s="22"/>
      <c r="AA390" s="22"/>
      <c r="AB390" s="22"/>
      <c r="AC390" s="22"/>
      <c r="AD390" s="22"/>
      <c r="AE390" s="22"/>
      <c r="AF390" s="22"/>
      <c r="AG390" s="22"/>
      <c r="AH390" s="22"/>
      <c r="AI390" s="22"/>
      <c r="AJ390" s="22"/>
      <c r="AK390" s="22"/>
      <c r="AL390" s="22"/>
      <c r="AM390" s="22"/>
      <c r="AN390" s="22"/>
      <c r="AO390" s="22"/>
      <c r="AP390" s="22"/>
      <c r="AQ390" s="22"/>
    </row>
    <row r="391" spans="1:43" ht="14.25" hidden="1" customHeight="1" outlineLevel="1" x14ac:dyDescent="0.2">
      <c r="C391" s="487"/>
      <c r="D391" s="488"/>
      <c r="E391" s="58">
        <f>F391-1</f>
        <v>2025</v>
      </c>
      <c r="F391" s="58">
        <f>FirstYear</f>
        <v>2026</v>
      </c>
      <c r="G391" s="58">
        <f>F391+1</f>
        <v>2027</v>
      </c>
      <c r="H391" s="58">
        <f>G391+1</f>
        <v>2028</v>
      </c>
      <c r="I391" s="58">
        <f>H391+1</f>
        <v>2029</v>
      </c>
      <c r="J391" s="58">
        <f>I391+1</f>
        <v>2030</v>
      </c>
      <c r="K391" s="58">
        <f>J391+1</f>
        <v>2031</v>
      </c>
      <c r="M391" s="260"/>
      <c r="P391" s="260"/>
    </row>
    <row r="392" spans="1:43" hidden="1" outlineLevel="1" x14ac:dyDescent="0.2">
      <c r="C392" s="487"/>
      <c r="D392" s="2" t="s">
        <v>111</v>
      </c>
      <c r="E392" s="33">
        <f>INDEX(ScriptsMSAdditional,$C389) * INDEX(NamesMSAdditional,$C389,3)</f>
        <v>0</v>
      </c>
      <c r="F392" s="33">
        <f t="shared" ref="F392:K392" si="154">IF(E392="","",E392*(1+E393))</f>
        <v>0</v>
      </c>
      <c r="G392" s="33">
        <f t="shared" si="154"/>
        <v>0</v>
      </c>
      <c r="H392" s="33">
        <f t="shared" si="154"/>
        <v>0</v>
      </c>
      <c r="I392" s="33">
        <f t="shared" si="154"/>
        <v>0</v>
      </c>
      <c r="J392" s="33">
        <f t="shared" si="154"/>
        <v>0</v>
      </c>
      <c r="K392" s="33">
        <f t="shared" si="154"/>
        <v>0</v>
      </c>
      <c r="M392" s="31" t="s">
        <v>249</v>
      </c>
      <c r="O392" s="260"/>
      <c r="R392" s="260"/>
    </row>
    <row r="393" spans="1:43" hidden="1" outlineLevel="1" x14ac:dyDescent="0.2">
      <c r="C393" s="487"/>
      <c r="D393" s="7" t="s">
        <v>26</v>
      </c>
      <c r="E393" s="29"/>
      <c r="F393" s="29"/>
      <c r="G393" s="29"/>
      <c r="H393" s="29"/>
      <c r="I393" s="29"/>
      <c r="J393" s="29"/>
      <c r="K393" s="28"/>
      <c r="M393" s="629"/>
      <c r="N393" s="629"/>
      <c r="O393" s="629"/>
      <c r="P393" s="629"/>
      <c r="Q393" s="629"/>
      <c r="R393" s="629"/>
      <c r="S393" s="629"/>
      <c r="T393" s="629"/>
    </row>
    <row r="394" spans="1:43" hidden="1" outlineLevel="1" x14ac:dyDescent="0.2">
      <c r="C394" s="487"/>
      <c r="D394" s="7" t="s">
        <v>33</v>
      </c>
      <c r="E394" s="29"/>
      <c r="F394" s="29"/>
      <c r="G394" s="29"/>
      <c r="H394" s="29"/>
      <c r="I394" s="29"/>
      <c r="J394" s="29"/>
      <c r="K394" s="29"/>
      <c r="M394" s="629"/>
      <c r="N394" s="629"/>
      <c r="O394" s="629"/>
      <c r="P394" s="629"/>
      <c r="Q394" s="629"/>
      <c r="R394" s="629"/>
      <c r="S394" s="629"/>
      <c r="T394" s="629"/>
    </row>
    <row r="395" spans="1:43" hidden="1" outlineLevel="1" x14ac:dyDescent="0.2">
      <c r="C395" s="487"/>
      <c r="D395" s="7" t="s">
        <v>836</v>
      </c>
      <c r="E395" s="29"/>
      <c r="F395" s="29"/>
      <c r="G395" s="29"/>
      <c r="H395" s="29"/>
      <c r="I395" s="29"/>
      <c r="J395" s="29"/>
      <c r="K395" s="29"/>
      <c r="M395" s="629"/>
      <c r="N395" s="629"/>
      <c r="O395" s="629"/>
      <c r="P395" s="629"/>
      <c r="Q395" s="629"/>
      <c r="R395" s="629"/>
      <c r="S395" s="629"/>
      <c r="T395" s="629"/>
    </row>
    <row r="396" spans="1:43" hidden="1" outlineLevel="1" x14ac:dyDescent="0.2">
      <c r="C396" s="487"/>
      <c r="D396" s="9" t="s">
        <v>104</v>
      </c>
      <c r="E396" s="33">
        <f t="shared" ref="E396:K396" si="155">E398-E397</f>
        <v>0</v>
      </c>
      <c r="F396" s="33">
        <f t="shared" si="155"/>
        <v>0</v>
      </c>
      <c r="G396" s="33">
        <f t="shared" si="155"/>
        <v>0</v>
      </c>
      <c r="H396" s="33">
        <f t="shared" si="155"/>
        <v>0</v>
      </c>
      <c r="I396" s="33">
        <f t="shared" si="155"/>
        <v>0</v>
      </c>
      <c r="J396" s="33">
        <f t="shared" si="155"/>
        <v>0</v>
      </c>
      <c r="K396" s="33">
        <f t="shared" si="155"/>
        <v>0</v>
      </c>
    </row>
    <row r="397" spans="1:43" hidden="1" outlineLevel="1" x14ac:dyDescent="0.2">
      <c r="C397" s="487"/>
      <c r="D397" s="9" t="s">
        <v>105</v>
      </c>
      <c r="E397" s="33">
        <f t="shared" ref="E397:K397" si="156">ROUND(E398*$T$167,0)</f>
        <v>0</v>
      </c>
      <c r="F397" s="33">
        <f t="shared" si="156"/>
        <v>0</v>
      </c>
      <c r="G397" s="33">
        <f t="shared" si="156"/>
        <v>0</v>
      </c>
      <c r="H397" s="33">
        <f t="shared" si="156"/>
        <v>0</v>
      </c>
      <c r="I397" s="33">
        <f t="shared" si="156"/>
        <v>0</v>
      </c>
      <c r="J397" s="33">
        <f t="shared" si="156"/>
        <v>0</v>
      </c>
      <c r="K397" s="33">
        <f t="shared" si="156"/>
        <v>0</v>
      </c>
    </row>
    <row r="398" spans="1:43" hidden="1" outlineLevel="1" x14ac:dyDescent="0.2">
      <c r="C398" s="487"/>
      <c r="D398" s="78" t="s">
        <v>831</v>
      </c>
      <c r="E398" s="34">
        <f t="shared" ref="E398:K398" si="157">IF(E392="","",E395*E394*E392)</f>
        <v>0</v>
      </c>
      <c r="F398" s="34">
        <f t="shared" si="157"/>
        <v>0</v>
      </c>
      <c r="G398" s="34">
        <f t="shared" si="157"/>
        <v>0</v>
      </c>
      <c r="H398" s="34">
        <f t="shared" si="157"/>
        <v>0</v>
      </c>
      <c r="I398" s="34">
        <f t="shared" si="157"/>
        <v>0</v>
      </c>
      <c r="J398" s="34">
        <f t="shared" si="157"/>
        <v>0</v>
      </c>
      <c r="K398" s="34">
        <f t="shared" si="157"/>
        <v>0</v>
      </c>
    </row>
    <row r="399" spans="1:43" hidden="1" outlineLevel="1" x14ac:dyDescent="0.2">
      <c r="C399" s="487"/>
      <c r="G399" s="489"/>
      <c r="H399" s="489"/>
      <c r="I399" s="489"/>
    </row>
    <row r="400" spans="1:43" collapsed="1" x14ac:dyDescent="0.2">
      <c r="C400" s="487"/>
    </row>
    <row r="401" spans="1:43" ht="15" x14ac:dyDescent="0.2">
      <c r="C401" s="246">
        <v>19</v>
      </c>
      <c r="D401" s="129" t="str">
        <f>INDEX(NamesMSAdditional,C401,1)</f>
        <v>** NOT USED **</v>
      </c>
      <c r="E401" s="123"/>
      <c r="F401" s="123"/>
      <c r="G401" s="123"/>
      <c r="H401" s="123"/>
      <c r="I401" s="588" t="str">
        <f>IF(D401&lt;&gt;MsgNotUsed,"Co-payment group " &amp; INDEX(CoPayBandMSAdditional,C401),"")</f>
        <v/>
      </c>
      <c r="J401" s="588"/>
      <c r="K401" s="123"/>
      <c r="L401" s="123"/>
      <c r="M401" s="123"/>
      <c r="N401" s="123"/>
      <c r="O401" s="123"/>
      <c r="P401" s="123"/>
      <c r="Q401" s="123"/>
      <c r="R401" s="123"/>
      <c r="S401" s="123"/>
      <c r="T401" s="123"/>
      <c r="U401" s="123"/>
      <c r="V401" s="123"/>
      <c r="W401" s="123"/>
      <c r="X401" s="123"/>
      <c r="Y401" s="123"/>
      <c r="Z401" s="123"/>
      <c r="AA401" s="123"/>
      <c r="AB401" s="123"/>
      <c r="AC401" s="123"/>
      <c r="AD401" s="123"/>
      <c r="AE401" s="123"/>
      <c r="AF401" s="123"/>
      <c r="AG401" s="123"/>
      <c r="AH401" s="123"/>
      <c r="AI401" s="123"/>
      <c r="AJ401" s="123"/>
      <c r="AK401" s="123"/>
      <c r="AL401" s="123"/>
      <c r="AM401" s="123"/>
      <c r="AN401" s="123"/>
      <c r="AO401" s="123"/>
      <c r="AP401" s="123"/>
      <c r="AQ401" s="123"/>
    </row>
    <row r="402" spans="1:43" ht="15.75" hidden="1" outlineLevel="1" x14ac:dyDescent="0.2">
      <c r="A402" s="22"/>
      <c r="B402" s="22"/>
      <c r="C402" s="486"/>
      <c r="D402" s="454"/>
      <c r="E402" s="22"/>
      <c r="F402" s="22"/>
      <c r="G402" s="22"/>
      <c r="H402" s="22"/>
      <c r="I402" s="22"/>
      <c r="J402" s="22"/>
      <c r="K402" s="22"/>
      <c r="L402" s="22"/>
      <c r="M402" s="22"/>
      <c r="N402" s="22"/>
      <c r="O402" s="22"/>
      <c r="P402" s="22"/>
      <c r="Q402" s="22"/>
      <c r="R402" s="22"/>
      <c r="S402" s="22"/>
      <c r="T402" s="22"/>
      <c r="U402" s="22"/>
      <c r="V402" s="22"/>
      <c r="W402" s="22"/>
      <c r="X402" s="22"/>
      <c r="Y402" s="22"/>
      <c r="Z402" s="22"/>
      <c r="AA402" s="22"/>
      <c r="AB402" s="22"/>
      <c r="AC402" s="22"/>
      <c r="AD402" s="22"/>
      <c r="AE402" s="22"/>
      <c r="AF402" s="22"/>
      <c r="AG402" s="22"/>
      <c r="AH402" s="22"/>
      <c r="AI402" s="22"/>
      <c r="AJ402" s="22"/>
      <c r="AK402" s="22"/>
      <c r="AL402" s="22"/>
      <c r="AM402" s="22"/>
      <c r="AN402" s="22"/>
      <c r="AO402" s="22"/>
      <c r="AP402" s="22"/>
      <c r="AQ402" s="22"/>
    </row>
    <row r="403" spans="1:43" ht="14.25" hidden="1" customHeight="1" outlineLevel="1" x14ac:dyDescent="0.2">
      <c r="C403" s="487"/>
      <c r="D403" s="488"/>
      <c r="E403" s="58">
        <f>F403-1</f>
        <v>2025</v>
      </c>
      <c r="F403" s="58">
        <f>FirstYear</f>
        <v>2026</v>
      </c>
      <c r="G403" s="58">
        <f>F403+1</f>
        <v>2027</v>
      </c>
      <c r="H403" s="58">
        <f>G403+1</f>
        <v>2028</v>
      </c>
      <c r="I403" s="58">
        <f>H403+1</f>
        <v>2029</v>
      </c>
      <c r="J403" s="58">
        <f>I403+1</f>
        <v>2030</v>
      </c>
      <c r="K403" s="58">
        <f>J403+1</f>
        <v>2031</v>
      </c>
      <c r="M403" s="260"/>
      <c r="P403" s="260"/>
    </row>
    <row r="404" spans="1:43" hidden="1" outlineLevel="1" x14ac:dyDescent="0.2">
      <c r="C404" s="487"/>
      <c r="D404" s="2" t="s">
        <v>111</v>
      </c>
      <c r="E404" s="33">
        <f>INDEX(ScriptsMSAdditional,$C401) * INDEX(NamesMSAdditional,$C401,3)</f>
        <v>0</v>
      </c>
      <c r="F404" s="33">
        <f t="shared" ref="F404:K404" si="158">IF(E404="","",E404*(1+E405))</f>
        <v>0</v>
      </c>
      <c r="G404" s="33">
        <f t="shared" si="158"/>
        <v>0</v>
      </c>
      <c r="H404" s="33">
        <f t="shared" si="158"/>
        <v>0</v>
      </c>
      <c r="I404" s="33">
        <f t="shared" si="158"/>
        <v>0</v>
      </c>
      <c r="J404" s="33">
        <f t="shared" si="158"/>
        <v>0</v>
      </c>
      <c r="K404" s="33">
        <f t="shared" si="158"/>
        <v>0</v>
      </c>
      <c r="M404" s="31" t="s">
        <v>249</v>
      </c>
      <c r="O404" s="260"/>
      <c r="R404" s="260"/>
    </row>
    <row r="405" spans="1:43" hidden="1" outlineLevel="1" x14ac:dyDescent="0.2">
      <c r="C405" s="487"/>
      <c r="D405" s="7" t="s">
        <v>26</v>
      </c>
      <c r="E405" s="29"/>
      <c r="F405" s="29"/>
      <c r="G405" s="29"/>
      <c r="H405" s="29"/>
      <c r="I405" s="29"/>
      <c r="J405" s="29"/>
      <c r="K405" s="28"/>
      <c r="M405" s="629"/>
      <c r="N405" s="629"/>
      <c r="O405" s="629"/>
      <c r="P405" s="629"/>
      <c r="Q405" s="629"/>
      <c r="R405" s="629"/>
      <c r="S405" s="629"/>
      <c r="T405" s="629"/>
    </row>
    <row r="406" spans="1:43" hidden="1" outlineLevel="1" x14ac:dyDescent="0.2">
      <c r="C406" s="487"/>
      <c r="D406" s="7" t="s">
        <v>33</v>
      </c>
      <c r="E406" s="29"/>
      <c r="F406" s="29"/>
      <c r="G406" s="29"/>
      <c r="H406" s="29"/>
      <c r="I406" s="29"/>
      <c r="J406" s="29"/>
      <c r="K406" s="29"/>
      <c r="M406" s="629"/>
      <c r="N406" s="629"/>
      <c r="O406" s="629"/>
      <c r="P406" s="629"/>
      <c r="Q406" s="629"/>
      <c r="R406" s="629"/>
      <c r="S406" s="629"/>
      <c r="T406" s="629"/>
    </row>
    <row r="407" spans="1:43" hidden="1" outlineLevel="1" x14ac:dyDescent="0.2">
      <c r="C407" s="487"/>
      <c r="D407" s="7" t="s">
        <v>836</v>
      </c>
      <c r="E407" s="29"/>
      <c r="F407" s="29"/>
      <c r="G407" s="29"/>
      <c r="H407" s="29"/>
      <c r="I407" s="29"/>
      <c r="J407" s="29"/>
      <c r="K407" s="29"/>
      <c r="M407" s="629"/>
      <c r="N407" s="629"/>
      <c r="O407" s="629"/>
      <c r="P407" s="629"/>
      <c r="Q407" s="629"/>
      <c r="R407" s="629"/>
      <c r="S407" s="629"/>
      <c r="T407" s="629"/>
    </row>
    <row r="408" spans="1:43" hidden="1" outlineLevel="1" x14ac:dyDescent="0.2">
      <c r="C408" s="487"/>
      <c r="D408" s="9" t="s">
        <v>104</v>
      </c>
      <c r="E408" s="33">
        <f t="shared" ref="E408:K408" si="159">E410-E409</f>
        <v>0</v>
      </c>
      <c r="F408" s="33">
        <f t="shared" si="159"/>
        <v>0</v>
      </c>
      <c r="G408" s="33">
        <f t="shared" si="159"/>
        <v>0</v>
      </c>
      <c r="H408" s="33">
        <f t="shared" si="159"/>
        <v>0</v>
      </c>
      <c r="I408" s="33">
        <f t="shared" si="159"/>
        <v>0</v>
      </c>
      <c r="J408" s="33">
        <f t="shared" si="159"/>
        <v>0</v>
      </c>
      <c r="K408" s="33">
        <f t="shared" si="159"/>
        <v>0</v>
      </c>
    </row>
    <row r="409" spans="1:43" hidden="1" outlineLevel="1" x14ac:dyDescent="0.2">
      <c r="C409" s="487"/>
      <c r="D409" s="9" t="s">
        <v>105</v>
      </c>
      <c r="E409" s="33">
        <f t="shared" ref="E409:K409" si="160">ROUND(E410*$T$167,0)</f>
        <v>0</v>
      </c>
      <c r="F409" s="33">
        <f t="shared" si="160"/>
        <v>0</v>
      </c>
      <c r="G409" s="33">
        <f t="shared" si="160"/>
        <v>0</v>
      </c>
      <c r="H409" s="33">
        <f t="shared" si="160"/>
        <v>0</v>
      </c>
      <c r="I409" s="33">
        <f t="shared" si="160"/>
        <v>0</v>
      </c>
      <c r="J409" s="33">
        <f t="shared" si="160"/>
        <v>0</v>
      </c>
      <c r="K409" s="33">
        <f t="shared" si="160"/>
        <v>0</v>
      </c>
    </row>
    <row r="410" spans="1:43" hidden="1" outlineLevel="1" x14ac:dyDescent="0.2">
      <c r="C410" s="487"/>
      <c r="D410" s="78" t="s">
        <v>831</v>
      </c>
      <c r="E410" s="34">
        <f t="shared" ref="E410:K410" si="161">IF(E404="","",E407*E406*E404)</f>
        <v>0</v>
      </c>
      <c r="F410" s="34">
        <f t="shared" si="161"/>
        <v>0</v>
      </c>
      <c r="G410" s="34">
        <f t="shared" si="161"/>
        <v>0</v>
      </c>
      <c r="H410" s="34">
        <f t="shared" si="161"/>
        <v>0</v>
      </c>
      <c r="I410" s="34">
        <f t="shared" si="161"/>
        <v>0</v>
      </c>
      <c r="J410" s="34">
        <f t="shared" si="161"/>
        <v>0</v>
      </c>
      <c r="K410" s="34">
        <f t="shared" si="161"/>
        <v>0</v>
      </c>
    </row>
    <row r="411" spans="1:43" hidden="1" outlineLevel="1" x14ac:dyDescent="0.2">
      <c r="C411" s="487"/>
      <c r="G411" s="489"/>
      <c r="H411" s="489"/>
      <c r="I411" s="489"/>
    </row>
    <row r="412" spans="1:43" collapsed="1" x14ac:dyDescent="0.2">
      <c r="C412" s="487"/>
    </row>
    <row r="413" spans="1:43" ht="15" x14ac:dyDescent="0.2">
      <c r="C413" s="246">
        <v>20</v>
      </c>
      <c r="D413" s="129" t="str">
        <f>INDEX(NamesMSAdditional,C413,1)</f>
        <v>** NOT USED **</v>
      </c>
      <c r="E413" s="123"/>
      <c r="F413" s="123"/>
      <c r="G413" s="123"/>
      <c r="H413" s="123"/>
      <c r="I413" s="588" t="str">
        <f>IF(D413&lt;&gt;MsgNotUsed,"Co-payment group " &amp; INDEX(CoPayBandMSAdditional,C413),"")</f>
        <v/>
      </c>
      <c r="J413" s="588"/>
      <c r="K413" s="123"/>
      <c r="L413" s="123"/>
      <c r="M413" s="123"/>
      <c r="N413" s="123"/>
      <c r="O413" s="123"/>
      <c r="P413" s="123"/>
      <c r="Q413" s="123"/>
      <c r="R413" s="123"/>
      <c r="S413" s="123"/>
      <c r="T413" s="123"/>
      <c r="U413" s="123"/>
      <c r="V413" s="123"/>
      <c r="W413" s="123"/>
      <c r="X413" s="123"/>
      <c r="Y413" s="123"/>
      <c r="Z413" s="123"/>
      <c r="AA413" s="123"/>
      <c r="AB413" s="123"/>
      <c r="AC413" s="123"/>
      <c r="AD413" s="123"/>
      <c r="AE413" s="123"/>
      <c r="AF413" s="123"/>
      <c r="AG413" s="123"/>
      <c r="AH413" s="123"/>
      <c r="AI413" s="123"/>
      <c r="AJ413" s="123"/>
      <c r="AK413" s="123"/>
      <c r="AL413" s="123"/>
      <c r="AM413" s="123"/>
      <c r="AN413" s="123"/>
      <c r="AO413" s="123"/>
      <c r="AP413" s="123"/>
      <c r="AQ413" s="123"/>
    </row>
    <row r="414" spans="1:43" ht="15.75" hidden="1" outlineLevel="1" x14ac:dyDescent="0.2">
      <c r="A414" s="22"/>
      <c r="B414" s="22"/>
      <c r="C414" s="486"/>
      <c r="D414" s="454"/>
      <c r="E414" s="22"/>
      <c r="F414" s="22"/>
      <c r="G414" s="22"/>
      <c r="H414" s="22"/>
      <c r="I414" s="22"/>
      <c r="J414" s="22"/>
      <c r="K414" s="22"/>
      <c r="L414" s="22"/>
      <c r="M414" s="22"/>
      <c r="N414" s="22"/>
      <c r="O414" s="22"/>
      <c r="P414" s="22"/>
      <c r="Q414" s="22"/>
      <c r="R414" s="22"/>
      <c r="S414" s="22"/>
      <c r="T414" s="22"/>
      <c r="U414" s="22"/>
      <c r="V414" s="22"/>
      <c r="W414" s="22"/>
      <c r="X414" s="22"/>
      <c r="Y414" s="22"/>
      <c r="Z414" s="22"/>
      <c r="AA414" s="22"/>
      <c r="AB414" s="22"/>
      <c r="AC414" s="22"/>
      <c r="AD414" s="22"/>
      <c r="AE414" s="22"/>
      <c r="AF414" s="22"/>
      <c r="AG414" s="22"/>
      <c r="AH414" s="22"/>
      <c r="AI414" s="22"/>
      <c r="AJ414" s="22"/>
      <c r="AK414" s="22"/>
      <c r="AL414" s="22"/>
      <c r="AM414" s="22"/>
      <c r="AN414" s="22"/>
      <c r="AO414" s="22"/>
      <c r="AP414" s="22"/>
      <c r="AQ414" s="22"/>
    </row>
    <row r="415" spans="1:43" ht="14.25" hidden="1" customHeight="1" outlineLevel="1" x14ac:dyDescent="0.2">
      <c r="C415" s="487"/>
      <c r="D415" s="488"/>
      <c r="E415" s="58">
        <f>F415-1</f>
        <v>2025</v>
      </c>
      <c r="F415" s="58">
        <f>FirstYear</f>
        <v>2026</v>
      </c>
      <c r="G415" s="58">
        <f>F415+1</f>
        <v>2027</v>
      </c>
      <c r="H415" s="58">
        <f>G415+1</f>
        <v>2028</v>
      </c>
      <c r="I415" s="58">
        <f>H415+1</f>
        <v>2029</v>
      </c>
      <c r="J415" s="58">
        <f>I415+1</f>
        <v>2030</v>
      </c>
      <c r="K415" s="58">
        <f>J415+1</f>
        <v>2031</v>
      </c>
      <c r="M415" s="260"/>
      <c r="P415" s="260"/>
    </row>
    <row r="416" spans="1:43" hidden="1" outlineLevel="1" x14ac:dyDescent="0.2">
      <c r="C416" s="487"/>
      <c r="D416" s="2" t="s">
        <v>111</v>
      </c>
      <c r="E416" s="33">
        <f>INDEX(ScriptsMSAdditional,$C413) * INDEX(NamesMSAdditional,$C413,3)</f>
        <v>0</v>
      </c>
      <c r="F416" s="33">
        <f t="shared" ref="F416:K416" si="162">IF(E416="","",E416*(1+E417))</f>
        <v>0</v>
      </c>
      <c r="G416" s="33">
        <f t="shared" si="162"/>
        <v>0</v>
      </c>
      <c r="H416" s="33">
        <f t="shared" si="162"/>
        <v>0</v>
      </c>
      <c r="I416" s="33">
        <f t="shared" si="162"/>
        <v>0</v>
      </c>
      <c r="J416" s="33">
        <f t="shared" si="162"/>
        <v>0</v>
      </c>
      <c r="K416" s="33">
        <f t="shared" si="162"/>
        <v>0</v>
      </c>
      <c r="M416" s="31" t="s">
        <v>249</v>
      </c>
      <c r="O416" s="260"/>
      <c r="R416" s="260"/>
    </row>
    <row r="417" spans="3:43" hidden="1" outlineLevel="1" x14ac:dyDescent="0.2">
      <c r="C417" s="487"/>
      <c r="D417" s="7" t="s">
        <v>26</v>
      </c>
      <c r="E417" s="29"/>
      <c r="F417" s="29"/>
      <c r="G417" s="29"/>
      <c r="H417" s="29"/>
      <c r="I417" s="29"/>
      <c r="J417" s="29"/>
      <c r="K417" s="28"/>
      <c r="M417" s="629"/>
      <c r="N417" s="629"/>
      <c r="O417" s="629"/>
      <c r="P417" s="629"/>
      <c r="Q417" s="629"/>
      <c r="R417" s="629"/>
      <c r="S417" s="629"/>
      <c r="T417" s="629"/>
    </row>
    <row r="418" spans="3:43" hidden="1" outlineLevel="1" x14ac:dyDescent="0.2">
      <c r="C418" s="487"/>
      <c r="D418" s="7" t="s">
        <v>33</v>
      </c>
      <c r="E418" s="29"/>
      <c r="F418" s="29"/>
      <c r="G418" s="29"/>
      <c r="H418" s="29"/>
      <c r="I418" s="29"/>
      <c r="J418" s="29"/>
      <c r="K418" s="29"/>
      <c r="M418" s="629"/>
      <c r="N418" s="629"/>
      <c r="O418" s="629"/>
      <c r="P418" s="629"/>
      <c r="Q418" s="629"/>
      <c r="R418" s="629"/>
      <c r="S418" s="629"/>
      <c r="T418" s="629"/>
    </row>
    <row r="419" spans="3:43" hidden="1" outlineLevel="1" x14ac:dyDescent="0.2">
      <c r="C419" s="487"/>
      <c r="D419" s="7" t="s">
        <v>836</v>
      </c>
      <c r="E419" s="29"/>
      <c r="F419" s="29"/>
      <c r="G419" s="29"/>
      <c r="H419" s="29"/>
      <c r="I419" s="29"/>
      <c r="J419" s="29"/>
      <c r="K419" s="29"/>
      <c r="M419" s="629"/>
      <c r="N419" s="629"/>
      <c r="O419" s="629"/>
      <c r="P419" s="629"/>
      <c r="Q419" s="629"/>
      <c r="R419" s="629"/>
      <c r="S419" s="629"/>
      <c r="T419" s="629"/>
    </row>
    <row r="420" spans="3:43" hidden="1" outlineLevel="1" x14ac:dyDescent="0.2">
      <c r="C420" s="487"/>
      <c r="D420" s="9" t="s">
        <v>104</v>
      </c>
      <c r="E420" s="33">
        <f t="shared" ref="E420:K420" si="163">E422-E421</f>
        <v>0</v>
      </c>
      <c r="F420" s="33">
        <f t="shared" si="163"/>
        <v>0</v>
      </c>
      <c r="G420" s="33">
        <f t="shared" si="163"/>
        <v>0</v>
      </c>
      <c r="H420" s="33">
        <f t="shared" si="163"/>
        <v>0</v>
      </c>
      <c r="I420" s="33">
        <f t="shared" si="163"/>
        <v>0</v>
      </c>
      <c r="J420" s="33">
        <f t="shared" si="163"/>
        <v>0</v>
      </c>
      <c r="K420" s="33">
        <f t="shared" si="163"/>
        <v>0</v>
      </c>
    </row>
    <row r="421" spans="3:43" hidden="1" outlineLevel="1" x14ac:dyDescent="0.2">
      <c r="C421" s="487"/>
      <c r="D421" s="9" t="s">
        <v>105</v>
      </c>
      <c r="E421" s="33">
        <f t="shared" ref="E421:K421" si="164">ROUND(E422*$T$167,0)</f>
        <v>0</v>
      </c>
      <c r="F421" s="33">
        <f t="shared" si="164"/>
        <v>0</v>
      </c>
      <c r="G421" s="33">
        <f t="shared" si="164"/>
        <v>0</v>
      </c>
      <c r="H421" s="33">
        <f t="shared" si="164"/>
        <v>0</v>
      </c>
      <c r="I421" s="33">
        <f t="shared" si="164"/>
        <v>0</v>
      </c>
      <c r="J421" s="33">
        <f t="shared" si="164"/>
        <v>0</v>
      </c>
      <c r="K421" s="33">
        <f t="shared" si="164"/>
        <v>0</v>
      </c>
    </row>
    <row r="422" spans="3:43" hidden="1" outlineLevel="1" x14ac:dyDescent="0.2">
      <c r="C422" s="487"/>
      <c r="D422" s="78" t="s">
        <v>831</v>
      </c>
      <c r="E422" s="34">
        <f t="shared" ref="E422:K422" si="165">IF(E416="","",E419*E418*E416)</f>
        <v>0</v>
      </c>
      <c r="F422" s="34">
        <f t="shared" si="165"/>
        <v>0</v>
      </c>
      <c r="G422" s="34">
        <f t="shared" si="165"/>
        <v>0</v>
      </c>
      <c r="H422" s="34">
        <f t="shared" si="165"/>
        <v>0</v>
      </c>
      <c r="I422" s="34">
        <f t="shared" si="165"/>
        <v>0</v>
      </c>
      <c r="J422" s="34">
        <f t="shared" si="165"/>
        <v>0</v>
      </c>
      <c r="K422" s="34">
        <f t="shared" si="165"/>
        <v>0</v>
      </c>
    </row>
    <row r="423" spans="3:43" hidden="1" outlineLevel="1" x14ac:dyDescent="0.2">
      <c r="C423" s="487"/>
      <c r="G423" s="489"/>
      <c r="H423" s="489"/>
      <c r="I423" s="489"/>
    </row>
    <row r="424" spans="3:43" collapsed="1" x14ac:dyDescent="0.2">
      <c r="C424" s="487"/>
    </row>
    <row r="425" spans="3:43" ht="15.75" x14ac:dyDescent="0.2">
      <c r="D425" s="111" t="s">
        <v>860</v>
      </c>
      <c r="E425" s="21"/>
      <c r="F425" s="21"/>
      <c r="G425" s="21"/>
      <c r="H425" s="21"/>
      <c r="I425" s="21"/>
      <c r="J425" s="21"/>
      <c r="K425" s="21"/>
      <c r="L425" s="21"/>
      <c r="M425" s="21"/>
      <c r="N425" s="21"/>
      <c r="O425" s="21"/>
      <c r="P425" s="21"/>
      <c r="Q425" s="21"/>
      <c r="R425" s="21"/>
      <c r="S425" s="21"/>
      <c r="T425" s="21"/>
      <c r="U425" s="21"/>
      <c r="V425" s="21"/>
      <c r="W425" s="21"/>
      <c r="X425" s="21"/>
      <c r="Y425" s="21"/>
      <c r="Z425" s="21"/>
      <c r="AA425" s="21"/>
      <c r="AB425" s="21"/>
      <c r="AC425" s="21"/>
      <c r="AD425" s="21"/>
      <c r="AE425" s="21"/>
      <c r="AF425" s="21"/>
      <c r="AG425" s="21"/>
      <c r="AH425" s="21"/>
      <c r="AI425" s="21"/>
      <c r="AJ425" s="21"/>
      <c r="AK425" s="21"/>
      <c r="AL425" s="21"/>
      <c r="AM425" s="21"/>
      <c r="AN425" s="21"/>
      <c r="AO425" s="21"/>
      <c r="AP425" s="21"/>
      <c r="AQ425" s="21"/>
    </row>
    <row r="426" spans="3:43" x14ac:dyDescent="0.2"/>
    <row r="427" spans="3:43" x14ac:dyDescent="0.2">
      <c r="D427" t="s">
        <v>23</v>
      </c>
    </row>
    <row r="430" spans="3:43" ht="12.75" customHeight="1" x14ac:dyDescent="0.2">
      <c r="D430" s="378"/>
      <c r="F430" s="378"/>
      <c r="G430" s="378"/>
      <c r="H430" s="378"/>
      <c r="I430" s="378"/>
      <c r="J430" s="378"/>
      <c r="K430" s="378"/>
    </row>
  </sheetData>
  <mergeCells count="196">
    <mergeCell ref="S120:W120"/>
    <mergeCell ref="I353:J353"/>
    <mergeCell ref="I365:J365"/>
    <mergeCell ref="H1:N1"/>
    <mergeCell ref="Q131:R131"/>
    <mergeCell ref="I181:J181"/>
    <mergeCell ref="E175:G175"/>
    <mergeCell ref="E172:G172"/>
    <mergeCell ref="E173:G173"/>
    <mergeCell ref="E174:G174"/>
    <mergeCell ref="E176:G176"/>
    <mergeCell ref="I185:J185"/>
    <mergeCell ref="I197:J197"/>
    <mergeCell ref="E177:G177"/>
    <mergeCell ref="I341:J341"/>
    <mergeCell ref="E136:G136"/>
    <mergeCell ref="E137:G137"/>
    <mergeCell ref="E152:G152"/>
    <mergeCell ref="E166:G166"/>
    <mergeCell ref="E167:G167"/>
    <mergeCell ref="E168:G168"/>
    <mergeCell ref="E169:G169"/>
    <mergeCell ref="E170:G170"/>
    <mergeCell ref="E171:G171"/>
    <mergeCell ref="E158:G158"/>
    <mergeCell ref="E159:G159"/>
    <mergeCell ref="E165:G165"/>
    <mergeCell ref="E160:G160"/>
    <mergeCell ref="AF73:AQ73"/>
    <mergeCell ref="E46:J46"/>
    <mergeCell ref="L46:Q46"/>
    <mergeCell ref="AF74:AK74"/>
    <mergeCell ref="E157:G157"/>
    <mergeCell ref="E109:G109"/>
    <mergeCell ref="E110:G110"/>
    <mergeCell ref="E111:G111"/>
    <mergeCell ref="E143:G143"/>
    <mergeCell ref="E144:G144"/>
    <mergeCell ref="E145:G145"/>
    <mergeCell ref="E146:G146"/>
    <mergeCell ref="E142:G142"/>
    <mergeCell ref="E115:G115"/>
    <mergeCell ref="E134:G134"/>
    <mergeCell ref="E133:G133"/>
    <mergeCell ref="E140:G140"/>
    <mergeCell ref="E141:G141"/>
    <mergeCell ref="E107:G107"/>
    <mergeCell ref="E108:G108"/>
    <mergeCell ref="E112:G112"/>
    <mergeCell ref="AF45:AQ45"/>
    <mergeCell ref="AF46:AK46"/>
    <mergeCell ref="AL46:AQ46"/>
    <mergeCell ref="P71:Q71"/>
    <mergeCell ref="E75:J75"/>
    <mergeCell ref="L75:Q75"/>
    <mergeCell ref="I100:J100"/>
    <mergeCell ref="E106:G106"/>
    <mergeCell ref="AL103:AQ103"/>
    <mergeCell ref="R102:U102"/>
    <mergeCell ref="E104:G104"/>
    <mergeCell ref="E105:G105"/>
    <mergeCell ref="AF101:AQ101"/>
    <mergeCell ref="AF103:AK103"/>
    <mergeCell ref="S104:W104"/>
    <mergeCell ref="S105:W105"/>
    <mergeCell ref="S106:W106"/>
    <mergeCell ref="I101:O101"/>
    <mergeCell ref="I71:J71"/>
    <mergeCell ref="AL74:AQ74"/>
    <mergeCell ref="I128:O128"/>
    <mergeCell ref="S107:W107"/>
    <mergeCell ref="S108:W108"/>
    <mergeCell ref="S109:W109"/>
    <mergeCell ref="S110:W110"/>
    <mergeCell ref="S111:W111"/>
    <mergeCell ref="E114:G114"/>
    <mergeCell ref="E117:G117"/>
    <mergeCell ref="E118:G118"/>
    <mergeCell ref="E119:G119"/>
    <mergeCell ref="E123:G123"/>
    <mergeCell ref="E124:G124"/>
    <mergeCell ref="S121:W121"/>
    <mergeCell ref="S122:W122"/>
    <mergeCell ref="S123:W123"/>
    <mergeCell ref="S124:W124"/>
    <mergeCell ref="S112:W112"/>
    <mergeCell ref="S113:W113"/>
    <mergeCell ref="S114:W114"/>
    <mergeCell ref="S115:W115"/>
    <mergeCell ref="S116:W116"/>
    <mergeCell ref="S117:W117"/>
    <mergeCell ref="S118:W118"/>
    <mergeCell ref="S119:W119"/>
    <mergeCell ref="I221:J221"/>
    <mergeCell ref="I209:J209"/>
    <mergeCell ref="I12:O12"/>
    <mergeCell ref="E14:J14"/>
    <mergeCell ref="E164:G164"/>
    <mergeCell ref="E113:G113"/>
    <mergeCell ref="E161:G161"/>
    <mergeCell ref="E163:G163"/>
    <mergeCell ref="E162:G162"/>
    <mergeCell ref="E121:G121"/>
    <mergeCell ref="E147:G147"/>
    <mergeCell ref="E148:G148"/>
    <mergeCell ref="E149:G149"/>
    <mergeCell ref="E150:G150"/>
    <mergeCell ref="E151:G151"/>
    <mergeCell ref="E122:G122"/>
    <mergeCell ref="E138:G138"/>
    <mergeCell ref="E132:G132"/>
    <mergeCell ref="E139:G139"/>
    <mergeCell ref="E116:G116"/>
    <mergeCell ref="I42:J42"/>
    <mergeCell ref="E120:G120"/>
    <mergeCell ref="I155:J155"/>
    <mergeCell ref="E135:G135"/>
    <mergeCell ref="L14:Q14"/>
    <mergeCell ref="I377:J377"/>
    <mergeCell ref="I389:J389"/>
    <mergeCell ref="I401:J401"/>
    <mergeCell ref="I413:J413"/>
    <mergeCell ref="Y14:Y15"/>
    <mergeCell ref="I233:J233"/>
    <mergeCell ref="I245:J245"/>
    <mergeCell ref="I257:J257"/>
    <mergeCell ref="I269:J269"/>
    <mergeCell ref="I281:J281"/>
    <mergeCell ref="I293:J293"/>
    <mergeCell ref="I305:J305"/>
    <mergeCell ref="I317:J317"/>
    <mergeCell ref="I329:J329"/>
    <mergeCell ref="N131:O131"/>
    <mergeCell ref="J131:M131"/>
    <mergeCell ref="I127:J127"/>
    <mergeCell ref="P42:Q42"/>
    <mergeCell ref="M189:T189"/>
    <mergeCell ref="M190:T190"/>
    <mergeCell ref="M191:T191"/>
    <mergeCell ref="M201:T201"/>
    <mergeCell ref="M202:T202"/>
    <mergeCell ref="M203:T203"/>
    <mergeCell ref="M419:T419"/>
    <mergeCell ref="M418:T418"/>
    <mergeCell ref="M417:T417"/>
    <mergeCell ref="M407:T407"/>
    <mergeCell ref="M406:T406"/>
    <mergeCell ref="M405:T405"/>
    <mergeCell ref="M395:T395"/>
    <mergeCell ref="M394:T394"/>
    <mergeCell ref="M393:T393"/>
    <mergeCell ref="M383:T383"/>
    <mergeCell ref="M382:T382"/>
    <mergeCell ref="M381:T381"/>
    <mergeCell ref="M371:T371"/>
    <mergeCell ref="M370:T370"/>
    <mergeCell ref="M369:T369"/>
    <mergeCell ref="M359:T359"/>
    <mergeCell ref="M358:T358"/>
    <mergeCell ref="M357:T357"/>
    <mergeCell ref="M347:T347"/>
    <mergeCell ref="M346:T346"/>
    <mergeCell ref="M345:T345"/>
    <mergeCell ref="M335:T335"/>
    <mergeCell ref="M334:T334"/>
    <mergeCell ref="M333:T333"/>
    <mergeCell ref="M323:T323"/>
    <mergeCell ref="M322:T322"/>
    <mergeCell ref="M321:T321"/>
    <mergeCell ref="M311:T311"/>
    <mergeCell ref="M310:T310"/>
    <mergeCell ref="M309:T309"/>
    <mergeCell ref="M299:T299"/>
    <mergeCell ref="M298:T298"/>
    <mergeCell ref="M297:T297"/>
    <mergeCell ref="M287:T287"/>
    <mergeCell ref="M286:T286"/>
    <mergeCell ref="M285:T285"/>
    <mergeCell ref="M275:T275"/>
    <mergeCell ref="M274:T274"/>
    <mergeCell ref="M273:T273"/>
    <mergeCell ref="M227:T227"/>
    <mergeCell ref="M226:T226"/>
    <mergeCell ref="M225:T225"/>
    <mergeCell ref="M215:T215"/>
    <mergeCell ref="M214:T214"/>
    <mergeCell ref="M213:T213"/>
    <mergeCell ref="M263:T263"/>
    <mergeCell ref="M262:T262"/>
    <mergeCell ref="M261:T261"/>
    <mergeCell ref="M251:T251"/>
    <mergeCell ref="M250:T250"/>
    <mergeCell ref="M249:T249"/>
    <mergeCell ref="M239:T239"/>
    <mergeCell ref="M238:T238"/>
    <mergeCell ref="M237:T237"/>
  </mergeCells>
  <conditionalFormatting sqref="E189:J191 M189:M191 K190:K191">
    <cfRule type="expression" dxfId="110" priority="149">
      <formula>$D$185=MsgNotUsed</formula>
    </cfRule>
  </conditionalFormatting>
  <conditionalFormatting sqref="E201:J203 M201:M203 K202:K203">
    <cfRule type="expression" dxfId="109" priority="22">
      <formula>$D$185=MsgNotUsed</formula>
    </cfRule>
  </conditionalFormatting>
  <conditionalFormatting sqref="E213:J215 M213:M215 K214:K215">
    <cfRule type="expression" dxfId="108" priority="21">
      <formula>$D$185=MsgNotUsed</formula>
    </cfRule>
  </conditionalFormatting>
  <conditionalFormatting sqref="E225:J227 M225:M227 K226:K227">
    <cfRule type="expression" dxfId="107" priority="20">
      <formula>$D$185=MsgNotUsed</formula>
    </cfRule>
  </conditionalFormatting>
  <conditionalFormatting sqref="E237:J239 M237:M239 K238:K239">
    <cfRule type="expression" dxfId="106" priority="19">
      <formula>$D$185=MsgNotUsed</formula>
    </cfRule>
  </conditionalFormatting>
  <conditionalFormatting sqref="E249:J251 M249:M251 K250:K251">
    <cfRule type="expression" dxfId="105" priority="18">
      <formula>$D$185=MsgNotUsed</formula>
    </cfRule>
  </conditionalFormatting>
  <conditionalFormatting sqref="E261:J263 M261:M263 K262:K263">
    <cfRule type="expression" dxfId="104" priority="17">
      <formula>$D$185=MsgNotUsed</formula>
    </cfRule>
  </conditionalFormatting>
  <conditionalFormatting sqref="E273:J275 M273:M275 K274:K275">
    <cfRule type="expression" dxfId="103" priority="16">
      <formula>$D$185=MsgNotUsed</formula>
    </cfRule>
  </conditionalFormatting>
  <conditionalFormatting sqref="E285:J287 M285:M287 K286:K287">
    <cfRule type="expression" dxfId="102" priority="15">
      <formula>$D$185=MsgNotUsed</formula>
    </cfRule>
  </conditionalFormatting>
  <conditionalFormatting sqref="E297:J299 M297:M299 K298:K299">
    <cfRule type="expression" dxfId="101" priority="14">
      <formula>$D$185=MsgNotUsed</formula>
    </cfRule>
  </conditionalFormatting>
  <conditionalFormatting sqref="E309:J311 M309:M311 K310:K311">
    <cfRule type="expression" dxfId="100" priority="13">
      <formula>$D$185=MsgNotUsed</formula>
    </cfRule>
  </conditionalFormatting>
  <conditionalFormatting sqref="E321:J323 M321:M323 K322:K323">
    <cfRule type="expression" dxfId="99" priority="12">
      <formula>$D$185=MsgNotUsed</formula>
    </cfRule>
  </conditionalFormatting>
  <conditionalFormatting sqref="E333:J335 M333:M335 K334:K335">
    <cfRule type="expression" dxfId="98" priority="11">
      <formula>$D$185=MsgNotUsed</formula>
    </cfRule>
  </conditionalFormatting>
  <conditionalFormatting sqref="E345:J347 M345:M347 K346:K347">
    <cfRule type="expression" dxfId="97" priority="10">
      <formula>$D$185=MsgNotUsed</formula>
    </cfRule>
  </conditionalFormatting>
  <conditionalFormatting sqref="E357:J359 M357:M359 K358:K359">
    <cfRule type="expression" dxfId="96" priority="9">
      <formula>$D$185=MsgNotUsed</formula>
    </cfRule>
  </conditionalFormatting>
  <conditionalFormatting sqref="E369:J371 M369:M371 K370:K371">
    <cfRule type="expression" dxfId="95" priority="8">
      <formula>$D$185=MsgNotUsed</formula>
    </cfRule>
  </conditionalFormatting>
  <conditionalFormatting sqref="E381:J383 M381:M383 K382:K383">
    <cfRule type="expression" dxfId="94" priority="7">
      <formula>$D$185=MsgNotUsed</formula>
    </cfRule>
  </conditionalFormatting>
  <conditionalFormatting sqref="E393:J395 M393:M395 K394:K395">
    <cfRule type="expression" dxfId="93" priority="6">
      <formula>$D$185=MsgNotUsed</formula>
    </cfRule>
  </conditionalFormatting>
  <conditionalFormatting sqref="E405:J407 M405:M407 K406:K407">
    <cfRule type="expression" dxfId="92" priority="5">
      <formula>$D$185=MsgNotUsed</formula>
    </cfRule>
  </conditionalFormatting>
  <conditionalFormatting sqref="E417:J419 M417:M419 K418:K419">
    <cfRule type="expression" dxfId="91" priority="4">
      <formula>$D$185=MsgNotUsed</formula>
    </cfRule>
  </conditionalFormatting>
  <conditionalFormatting sqref="E133:S152">
    <cfRule type="expression" dxfId="90" priority="2">
      <formula>$D133=""</formula>
    </cfRule>
  </conditionalFormatting>
  <conditionalFormatting sqref="E158:T177">
    <cfRule type="expression" dxfId="89" priority="1">
      <formula>$D158=MsgNotUsed</formula>
    </cfRule>
  </conditionalFormatting>
  <conditionalFormatting sqref="E105:W124">
    <cfRule type="expression" dxfId="88" priority="3">
      <formula>$D105=""</formula>
    </cfRule>
  </conditionalFormatting>
  <conditionalFormatting sqref="I12:O12 I128:O128">
    <cfRule type="notContainsBlanks" dxfId="87" priority="157">
      <formula>LEN(TRIM(I12))&gt;0</formula>
    </cfRule>
  </conditionalFormatting>
  <conditionalFormatting sqref="I101:O101">
    <cfRule type="notContainsBlanks" dxfId="86" priority="28">
      <formula>LEN(TRIM(I101))&gt;0</formula>
    </cfRule>
  </conditionalFormatting>
  <conditionalFormatting sqref="P102">
    <cfRule type="notContainsBlanks" dxfId="85" priority="49">
      <formula>LEN(TRIM(P102))&gt;0</formula>
    </cfRule>
  </conditionalFormatting>
  <conditionalFormatting sqref="AL48:AQ67">
    <cfRule type="expression" dxfId="84" priority="52">
      <formula>$AL$46=MsgNotUsed</formula>
    </cfRule>
  </conditionalFormatting>
  <conditionalFormatting sqref="AL105:AQ124">
    <cfRule type="expression" dxfId="83" priority="53">
      <formula>$AL$103=MsgNotUsed</formula>
    </cfRule>
  </conditionalFormatting>
  <dataValidations count="6">
    <dataValidation type="list" allowBlank="1" showInputMessage="1" showErrorMessage="1" sqref="S133:S152 Q105:Q124" xr:uid="{00000000-0002-0000-0A00-000000000000}">
      <formula1>DisplaceType</formula1>
    </dataValidation>
    <dataValidation type="list" allowBlank="1" showInputMessage="1" showErrorMessage="1" sqref="M105:M124" xr:uid="{00000000-0002-0000-0A00-000001000000}">
      <formula1>TimeUnit</formula1>
    </dataValidation>
    <dataValidation type="list" allowBlank="1" showInputMessage="1" showErrorMessage="1" sqref="I133:I152 I105:I124" xr:uid="{00000000-0002-0000-0A00-000002000000}">
      <formula1>TPShort</formula1>
    </dataValidation>
    <dataValidation type="list" allowBlank="1" showInputMessage="1" showErrorMessage="1" sqref="Q133:R152" xr:uid="{00000000-0002-0000-0A00-000003000000}">
      <formula1>Switch</formula1>
    </dataValidation>
    <dataValidation type="list" allowBlank="1" showInputMessage="1" showErrorMessage="1" sqref="P133:P152 P105:P124" xr:uid="{00000000-0002-0000-0A00-000004000000}">
      <formula1>CoPayBands</formula1>
    </dataValidation>
    <dataValidation type="list" allowBlank="1" showInputMessage="1" showErrorMessage="1" sqref="S105:W124" xr:uid="{00000000-0002-0000-0A00-000005000000}">
      <formula1>DTGPops</formula1>
    </dataValidation>
  </dataValidations>
  <pageMargins left="0.11811023622047245" right="0.11811023622047245" top="0.19685039370078741" bottom="0.15748031496062992" header="0.31496062992125984" footer="0.31496062992125984"/>
  <pageSetup paperSize="9" scale="41" orientation="landscape" horizontalDpi="300" verticalDpi="300" r:id="rId1"/>
  <headerFooter>
    <oddHeader>&amp;C&amp;"Calibri"&amp;12&amp;KFF0000 OFFICIAL&amp;1#_x000D_</oddHeader>
    <oddFooter>&amp;C_x000D_&amp;1#&amp;"Calibri"&amp;12&amp;KFF0000 OFFICIAL</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5">
    <tabColor theme="4"/>
    <pageSetUpPr fitToPage="1"/>
  </sheetPr>
  <dimension ref="A1:U298"/>
  <sheetViews>
    <sheetView showGridLines="0" zoomScaleNormal="100" workbookViewId="0">
      <pane ySplit="3" topLeftCell="A4" activePane="bottomLeft" state="frozen"/>
      <selection activeCell="B7" sqref="B7:G7"/>
      <selection pane="bottomLeft" activeCell="A4" sqref="A4"/>
    </sheetView>
  </sheetViews>
  <sheetFormatPr defaultRowHeight="12.75" customHeight="1" outlineLevelRow="1" x14ac:dyDescent="0.2"/>
  <cols>
    <col min="1" max="1" width="3.7109375" customWidth="1"/>
    <col min="2" max="2" width="3.7109375" hidden="1" customWidth="1"/>
    <col min="3" max="3" width="20.7109375" customWidth="1"/>
    <col min="4" max="14" width="15.7109375" customWidth="1"/>
    <col min="15" max="15" width="3.7109375" hidden="1" customWidth="1"/>
    <col min="16" max="20" width="10.7109375" hidden="1" customWidth="1"/>
  </cols>
  <sheetData>
    <row r="1" spans="1:14" ht="23.25" x14ac:dyDescent="0.2">
      <c r="A1" s="284">
        <f>IF((SUM(D24:I24)&lt;&gt;0),2,0)</f>
        <v>0</v>
      </c>
      <c r="B1" s="280"/>
      <c r="C1" s="281" t="s">
        <v>925</v>
      </c>
      <c r="D1" s="281"/>
      <c r="E1" s="281"/>
      <c r="F1" s="280"/>
      <c r="G1" s="280"/>
      <c r="H1" s="280"/>
      <c r="I1" s="280"/>
      <c r="J1" s="280"/>
      <c r="K1" s="280"/>
      <c r="L1" s="628" t="str">
        <f>IF(A1=0,MsgNotUsed,"")</f>
        <v>** NOT USED **</v>
      </c>
      <c r="M1" s="628"/>
      <c r="N1" s="628"/>
    </row>
    <row r="2" spans="1:14" ht="15.75" x14ac:dyDescent="0.2">
      <c r="A2" s="280"/>
      <c r="B2" s="280"/>
      <c r="C2" s="282" t="str">
        <f>CONCATENATE("Name of medicine: ", MedicineBrand)</f>
        <v xml:space="preserve">Name of medicine: </v>
      </c>
      <c r="D2" s="283"/>
      <c r="E2" s="283"/>
      <c r="F2" s="280"/>
      <c r="G2" s="280"/>
      <c r="H2" s="280"/>
      <c r="I2" s="280"/>
      <c r="J2" s="280"/>
      <c r="K2" s="280"/>
      <c r="L2" s="280"/>
      <c r="M2" s="280"/>
      <c r="N2" s="280"/>
    </row>
    <row r="3" spans="1:14" ht="15.75" x14ac:dyDescent="0.2">
      <c r="A3" s="280"/>
      <c r="B3" s="280"/>
      <c r="C3" s="282" t="str">
        <f>CONCATENATE("Indication: ",Indication)</f>
        <v xml:space="preserve">Indication: </v>
      </c>
      <c r="D3" s="283"/>
      <c r="E3" s="283"/>
      <c r="F3" s="280"/>
      <c r="G3" s="280"/>
      <c r="H3" s="280"/>
      <c r="I3" s="280"/>
      <c r="J3" s="280"/>
      <c r="K3" s="280"/>
      <c r="L3" s="280"/>
      <c r="M3" s="280"/>
      <c r="N3" s="280"/>
    </row>
    <row r="4" spans="1:14" x14ac:dyDescent="0.2">
      <c r="A4" s="319"/>
      <c r="B4" s="319"/>
      <c r="C4" s="461"/>
      <c r="D4" s="461"/>
      <c r="E4" s="461"/>
      <c r="F4" s="319"/>
      <c r="G4" s="319"/>
      <c r="H4" s="319"/>
      <c r="I4" s="319"/>
      <c r="J4" s="319"/>
      <c r="K4" s="319"/>
      <c r="L4" s="319"/>
      <c r="M4" s="319"/>
      <c r="N4" s="319"/>
    </row>
    <row r="5" spans="1:14" ht="15.75" x14ac:dyDescent="0.2">
      <c r="A5" s="110"/>
      <c r="B5" s="110"/>
      <c r="C5" s="111" t="s">
        <v>2</v>
      </c>
      <c r="D5" s="111"/>
      <c r="E5" s="111"/>
      <c r="F5" s="126"/>
      <c r="G5" s="113"/>
      <c r="H5" s="113"/>
      <c r="I5" s="113"/>
      <c r="J5" s="113"/>
      <c r="K5" s="112"/>
      <c r="L5" s="112"/>
      <c r="M5" s="112"/>
      <c r="N5" s="112"/>
    </row>
    <row r="6" spans="1:14" ht="14.25" x14ac:dyDescent="0.2">
      <c r="C6" s="449"/>
      <c r="D6" s="449"/>
      <c r="E6" s="449"/>
      <c r="F6" s="455"/>
    </row>
    <row r="7" spans="1:14" x14ac:dyDescent="0.2">
      <c r="C7" t="s">
        <v>768</v>
      </c>
    </row>
    <row r="8" spans="1:14" x14ac:dyDescent="0.2">
      <c r="C8" s="447"/>
      <c r="D8" s="447"/>
      <c r="E8" s="447"/>
      <c r="F8" s="459"/>
      <c r="G8" s="459"/>
      <c r="H8" s="459"/>
      <c r="I8" s="459"/>
      <c r="J8" s="459"/>
      <c r="K8" s="459"/>
      <c r="L8" s="459"/>
      <c r="M8" s="459"/>
      <c r="N8" s="459"/>
    </row>
    <row r="9" spans="1:14" x14ac:dyDescent="0.2"/>
    <row r="10" spans="1:14" ht="15.75" x14ac:dyDescent="0.2">
      <c r="C10" s="111" t="s">
        <v>856</v>
      </c>
      <c r="D10" s="111"/>
      <c r="E10" s="111"/>
      <c r="F10" s="126"/>
      <c r="G10" s="113"/>
      <c r="H10" s="113"/>
      <c r="I10" s="113"/>
      <c r="J10" s="113"/>
      <c r="K10" s="112"/>
      <c r="L10" s="112"/>
      <c r="M10" s="112"/>
      <c r="N10" s="112"/>
    </row>
    <row r="11" spans="1:14" ht="15.75" x14ac:dyDescent="0.2">
      <c r="C11" s="454"/>
      <c r="D11" s="454"/>
      <c r="E11" s="454"/>
      <c r="F11" s="455"/>
    </row>
    <row r="12" spans="1:14" x14ac:dyDescent="0.2">
      <c r="C12" s="172" t="s">
        <v>819</v>
      </c>
      <c r="D12" s="172"/>
      <c r="E12" s="172"/>
      <c r="F12" s="172"/>
      <c r="G12" s="172"/>
      <c r="H12" s="172"/>
      <c r="I12" s="172"/>
      <c r="J12" s="172"/>
      <c r="K12" s="172"/>
      <c r="L12" s="172"/>
      <c r="M12" s="172"/>
      <c r="N12" s="172"/>
    </row>
    <row r="13" spans="1:14" x14ac:dyDescent="0.2">
      <c r="C13" s="456"/>
      <c r="D13" s="456"/>
      <c r="E13" s="456"/>
      <c r="L13" s="456"/>
      <c r="M13" s="456"/>
      <c r="N13" s="456"/>
    </row>
    <row r="14" spans="1:14" ht="15.75" x14ac:dyDescent="0.2">
      <c r="C14" s="454" t="s">
        <v>98</v>
      </c>
      <c r="D14" s="74">
        <f>FirstYear</f>
        <v>2026</v>
      </c>
      <c r="E14" s="74">
        <f>D14+1</f>
        <v>2027</v>
      </c>
      <c r="F14" s="74">
        <f>E14+1</f>
        <v>2028</v>
      </c>
      <c r="G14" s="74">
        <f>F14+1</f>
        <v>2029</v>
      </c>
      <c r="H14" s="74">
        <f>G14+1</f>
        <v>2030</v>
      </c>
      <c r="I14" s="74">
        <f>H14+1</f>
        <v>2031</v>
      </c>
    </row>
    <row r="15" spans="1:14" x14ac:dyDescent="0.2">
      <c r="C15" s="76" t="s">
        <v>83</v>
      </c>
      <c r="D15" s="239">
        <f>D31+D43+D55+D67+D79+D91+D103+D115+D127+D139+D151+D163+D175+D187+D199+D211+D223+D235+D247+D259</f>
        <v>0</v>
      </c>
      <c r="E15" s="239">
        <f t="shared" ref="E15:I16" si="0">E31+E43+E55+E67+E79+E91+E103+E115+E127+E139+E151+E163+E175+E187+E199+E211+E223+E235+E247+E259</f>
        <v>0</v>
      </c>
      <c r="F15" s="239">
        <f t="shared" si="0"/>
        <v>0</v>
      </c>
      <c r="G15" s="239">
        <f t="shared" si="0"/>
        <v>0</v>
      </c>
      <c r="H15" s="239">
        <f t="shared" si="0"/>
        <v>0</v>
      </c>
      <c r="I15" s="239">
        <f t="shared" si="0"/>
        <v>0</v>
      </c>
    </row>
    <row r="16" spans="1:14" x14ac:dyDescent="0.2">
      <c r="C16" s="3" t="s">
        <v>108</v>
      </c>
      <c r="D16" s="239">
        <f>D32+D44+D56+D68+D80+D92+D104+D116+D128+D140+D152+D164+D176+D188+D200+D212+D224+D236+D248+D260</f>
        <v>0</v>
      </c>
      <c r="E16" s="239">
        <f t="shared" si="0"/>
        <v>0</v>
      </c>
      <c r="F16" s="239">
        <f t="shared" si="0"/>
        <v>0</v>
      </c>
      <c r="G16" s="239">
        <f t="shared" si="0"/>
        <v>0</v>
      </c>
      <c r="H16" s="239">
        <f t="shared" si="0"/>
        <v>0</v>
      </c>
      <c r="I16" s="239">
        <f t="shared" si="0"/>
        <v>0</v>
      </c>
    </row>
    <row r="17" spans="2:14" x14ac:dyDescent="0.2">
      <c r="C17" s="3" t="s">
        <v>85</v>
      </c>
      <c r="D17" s="240">
        <f t="shared" ref="D17:I17" si="1">D15+D16</f>
        <v>0</v>
      </c>
      <c r="E17" s="240">
        <f t="shared" si="1"/>
        <v>0</v>
      </c>
      <c r="F17" s="240">
        <f t="shared" si="1"/>
        <v>0</v>
      </c>
      <c r="G17" s="240">
        <f t="shared" si="1"/>
        <v>0</v>
      </c>
      <c r="H17" s="240">
        <f t="shared" si="1"/>
        <v>0</v>
      </c>
      <c r="I17" s="240">
        <f t="shared" si="1"/>
        <v>0</v>
      </c>
    </row>
    <row r="18" spans="2:14" x14ac:dyDescent="0.2">
      <c r="C18" s="457"/>
      <c r="D18" s="457"/>
      <c r="E18" s="457"/>
      <c r="F18" s="31"/>
      <c r="G18" s="31"/>
      <c r="H18" s="31"/>
      <c r="I18" s="31"/>
      <c r="J18" s="31"/>
      <c r="K18" s="31"/>
    </row>
    <row r="19" spans="2:14" ht="15.75" x14ac:dyDescent="0.2">
      <c r="C19" s="454" t="s">
        <v>99</v>
      </c>
      <c r="D19" s="74">
        <f>FirstYear</f>
        <v>2026</v>
      </c>
      <c r="E19" s="74">
        <f>D19+1</f>
        <v>2027</v>
      </c>
      <c r="F19" s="74">
        <f>E19+1</f>
        <v>2028</v>
      </c>
      <c r="G19" s="74">
        <f>F19+1</f>
        <v>2029</v>
      </c>
      <c r="H19" s="74">
        <f>G19+1</f>
        <v>2030</v>
      </c>
      <c r="I19" s="74">
        <f>H19+1</f>
        <v>2031</v>
      </c>
    </row>
    <row r="20" spans="2:14" x14ac:dyDescent="0.2">
      <c r="C20" s="76" t="s">
        <v>84</v>
      </c>
      <c r="D20" s="238">
        <f>D36+D48+D60+D72+D84+D96+D108+D120+D132+D144+D156+D168+D180+D192+D204+D216+D228+D240+D252+D264</f>
        <v>0</v>
      </c>
      <c r="E20" s="238">
        <f t="shared" ref="E20:I21" si="2">E36+E48+E60+E72+E84+E96+E108+E120+E132+E144+E156+E168+E180+E192+E204+E216+E228+E240+E252+E264</f>
        <v>0</v>
      </c>
      <c r="F20" s="238">
        <f t="shared" si="2"/>
        <v>0</v>
      </c>
      <c r="G20" s="238">
        <f t="shared" si="2"/>
        <v>0</v>
      </c>
      <c r="H20" s="238">
        <f t="shared" si="2"/>
        <v>0</v>
      </c>
      <c r="I20" s="238">
        <f t="shared" si="2"/>
        <v>0</v>
      </c>
    </row>
    <row r="21" spans="2:14" x14ac:dyDescent="0.2">
      <c r="C21" s="3" t="s">
        <v>108</v>
      </c>
      <c r="D21" s="238">
        <f>D37+D49+D61+D73+D85+D97+D109+D121+D133+D145+D157+D169+D181+D193+D205+D217+D229+D241+D253+D265</f>
        <v>0</v>
      </c>
      <c r="E21" s="238">
        <f t="shared" si="2"/>
        <v>0</v>
      </c>
      <c r="F21" s="238">
        <f t="shared" si="2"/>
        <v>0</v>
      </c>
      <c r="G21" s="238">
        <f t="shared" si="2"/>
        <v>0</v>
      </c>
      <c r="H21" s="238">
        <f t="shared" si="2"/>
        <v>0</v>
      </c>
      <c r="I21" s="238">
        <f t="shared" si="2"/>
        <v>0</v>
      </c>
    </row>
    <row r="22" spans="2:14" x14ac:dyDescent="0.2">
      <c r="C22" s="3" t="s">
        <v>86</v>
      </c>
      <c r="D22" s="242">
        <f t="shared" ref="D22:I22" si="3">D20+D21</f>
        <v>0</v>
      </c>
      <c r="E22" s="242">
        <f t="shared" si="3"/>
        <v>0</v>
      </c>
      <c r="F22" s="242">
        <f t="shared" si="3"/>
        <v>0</v>
      </c>
      <c r="G22" s="242">
        <f t="shared" si="3"/>
        <v>0</v>
      </c>
      <c r="H22" s="242">
        <f t="shared" si="3"/>
        <v>0</v>
      </c>
      <c r="I22" s="242">
        <f t="shared" si="3"/>
        <v>0</v>
      </c>
    </row>
    <row r="23" spans="2:14" x14ac:dyDescent="0.2">
      <c r="C23" s="457"/>
      <c r="D23" s="457"/>
      <c r="E23" s="457"/>
      <c r="F23" s="31"/>
      <c r="G23" s="31"/>
      <c r="H23" s="31"/>
      <c r="I23" s="31"/>
      <c r="J23" s="31"/>
      <c r="K23" s="31"/>
    </row>
    <row r="24" spans="2:14" x14ac:dyDescent="0.2">
      <c r="C24" s="233" t="s">
        <v>832</v>
      </c>
      <c r="D24" s="241">
        <f t="shared" ref="D24:I24" si="4">D22+D17</f>
        <v>0</v>
      </c>
      <c r="E24" s="241">
        <f t="shared" si="4"/>
        <v>0</v>
      </c>
      <c r="F24" s="241">
        <f t="shared" si="4"/>
        <v>0</v>
      </c>
      <c r="G24" s="241">
        <f t="shared" si="4"/>
        <v>0</v>
      </c>
      <c r="H24" s="241">
        <f t="shared" si="4"/>
        <v>0</v>
      </c>
      <c r="I24" s="241">
        <f t="shared" si="4"/>
        <v>0</v>
      </c>
      <c r="J24" s="31"/>
      <c r="K24" s="31"/>
    </row>
    <row r="25" spans="2:14" x14ac:dyDescent="0.2">
      <c r="C25" s="457"/>
      <c r="D25" s="457"/>
      <c r="E25" s="457"/>
      <c r="F25" s="31"/>
      <c r="G25" s="31"/>
      <c r="H25" s="31"/>
      <c r="I25" s="31"/>
      <c r="J25" s="31"/>
      <c r="K25" s="31"/>
    </row>
    <row r="26" spans="2:14" ht="15.75" x14ac:dyDescent="0.2">
      <c r="C26" s="111" t="s">
        <v>857</v>
      </c>
      <c r="D26" s="111"/>
      <c r="E26" s="111"/>
      <c r="F26" s="116"/>
      <c r="G26" s="116"/>
      <c r="H26" s="116"/>
      <c r="I26" s="116"/>
      <c r="J26" s="116"/>
      <c r="K26" s="116"/>
      <c r="L26" s="116"/>
      <c r="M26" s="113"/>
      <c r="N26" s="113"/>
    </row>
    <row r="27" spans="2:14" x14ac:dyDescent="0.2">
      <c r="C27" s="457"/>
      <c r="D27" s="457"/>
      <c r="E27" s="457"/>
      <c r="F27" s="31"/>
      <c r="G27" s="31"/>
      <c r="H27" s="31"/>
      <c r="I27" s="31"/>
      <c r="J27" s="31"/>
      <c r="K27" s="31"/>
      <c r="L27" s="31"/>
      <c r="M27" s="31"/>
      <c r="N27" s="31"/>
    </row>
    <row r="28" spans="2:14" ht="15" x14ac:dyDescent="0.2">
      <c r="B28" s="249">
        <v>1</v>
      </c>
      <c r="C28" s="129" t="str">
        <f>INDEX(PBSScriptsChanged,B28,1)</f>
        <v>** NOT USED **</v>
      </c>
      <c r="D28" s="123"/>
      <c r="E28" s="123"/>
      <c r="F28" s="123"/>
      <c r="G28" s="123"/>
      <c r="H28" s="123"/>
      <c r="I28" s="123"/>
      <c r="J28" s="116"/>
      <c r="K28" s="116"/>
      <c r="L28" s="588" t="str">
        <f>IF(AND(C28&lt;&gt;MsgNotUsed,C28&lt;&gt;MsgNotRequired),"Co-payment group " &amp; INDEX(DPMQCoPayChangedPub,B28,3),"")</f>
        <v/>
      </c>
      <c r="M28" s="588"/>
      <c r="N28" s="380"/>
    </row>
    <row r="29" spans="2:14" ht="12.75" hidden="1" customHeight="1" outlineLevel="1" x14ac:dyDescent="0.2">
      <c r="B29" s="209">
        <f>INDEX(SAChanged,B28,5)</f>
        <v>0</v>
      </c>
      <c r="C29" s="457"/>
      <c r="D29" s="319">
        <v>2</v>
      </c>
      <c r="E29" s="319">
        <v>3</v>
      </c>
      <c r="F29" s="319">
        <v>4</v>
      </c>
      <c r="G29" s="319">
        <v>5</v>
      </c>
      <c r="H29" s="319">
        <v>6</v>
      </c>
      <c r="I29" s="319">
        <v>7</v>
      </c>
      <c r="J29" s="31"/>
      <c r="K29" s="31"/>
      <c r="L29" s="31"/>
      <c r="M29" s="31"/>
      <c r="N29" s="31"/>
    </row>
    <row r="30" spans="2:14" ht="12.75" hidden="1" customHeight="1" outlineLevel="1" x14ac:dyDescent="0.2">
      <c r="B30" s="121"/>
      <c r="D30" s="74">
        <f>FirstYear</f>
        <v>2026</v>
      </c>
      <c r="E30" s="74">
        <f>D30+1</f>
        <v>2027</v>
      </c>
      <c r="F30" s="74">
        <f>E30+1</f>
        <v>2028</v>
      </c>
      <c r="G30" s="74">
        <f>F30+1</f>
        <v>2029</v>
      </c>
      <c r="H30" s="74">
        <f>G30+1</f>
        <v>2030</v>
      </c>
      <c r="I30" s="74">
        <f>H30+1</f>
        <v>2031</v>
      </c>
    </row>
    <row r="31" spans="2:14" ht="12.75" hidden="1" customHeight="1" outlineLevel="1" x14ac:dyDescent="0.2">
      <c r="B31" s="249">
        <v>1</v>
      </c>
      <c r="C31" s="76" t="s">
        <v>83</v>
      </c>
      <c r="D31" s="238">
        <f t="shared" ref="D31:I31" si="5">INDEX(PBSScriptsChanged,$B28,D29)*INDEX(DPMQCoPayChangedPub,$B28,$B31)</f>
        <v>0</v>
      </c>
      <c r="E31" s="238">
        <f t="shared" si="5"/>
        <v>0</v>
      </c>
      <c r="F31" s="238">
        <f t="shared" si="5"/>
        <v>0</v>
      </c>
      <c r="G31" s="238">
        <f t="shared" si="5"/>
        <v>0</v>
      </c>
      <c r="H31" s="238">
        <f t="shared" si="5"/>
        <v>0</v>
      </c>
      <c r="I31" s="238">
        <f t="shared" si="5"/>
        <v>0</v>
      </c>
    </row>
    <row r="32" spans="2:14" ht="12.75" hidden="1" customHeight="1" outlineLevel="1" x14ac:dyDescent="0.2">
      <c r="B32" s="249">
        <v>4</v>
      </c>
      <c r="C32" s="3" t="s">
        <v>108</v>
      </c>
      <c r="D32" s="238">
        <f t="shared" ref="D32:I32" si="6">INDEX(PBSScriptsChanged,$B28,D29)*(INDEX(DPMQCoPayChangedPub,$B28,$B32)/INDEX(CoPayCountChanged,$B28))</f>
        <v>0</v>
      </c>
      <c r="E32" s="238">
        <f t="shared" si="6"/>
        <v>0</v>
      </c>
      <c r="F32" s="238">
        <f t="shared" si="6"/>
        <v>0</v>
      </c>
      <c r="G32" s="238">
        <f t="shared" si="6"/>
        <v>0</v>
      </c>
      <c r="H32" s="238">
        <f t="shared" si="6"/>
        <v>0</v>
      </c>
      <c r="I32" s="238">
        <f t="shared" si="6"/>
        <v>0</v>
      </c>
      <c r="K32" s="579" t="str">
        <f>IF(B29&lt;&gt;0,MsgNote&amp;IF(B29="Yes",INDEX(CoPayMethod,1),INDEX(CoPayMethod,2)),"")</f>
        <v/>
      </c>
      <c r="L32" s="579"/>
      <c r="M32" s="579"/>
      <c r="N32" s="443"/>
    </row>
    <row r="33" spans="2:14" ht="12.75" hidden="1" customHeight="1" outlineLevel="1" x14ac:dyDescent="0.2">
      <c r="B33" s="121"/>
      <c r="C33" s="3" t="s">
        <v>85</v>
      </c>
      <c r="D33" s="238">
        <f t="shared" ref="D33:I33" si="7">D31+D32</f>
        <v>0</v>
      </c>
      <c r="E33" s="238">
        <f t="shared" si="7"/>
        <v>0</v>
      </c>
      <c r="F33" s="238">
        <f t="shared" si="7"/>
        <v>0</v>
      </c>
      <c r="G33" s="238">
        <f t="shared" si="7"/>
        <v>0</v>
      </c>
      <c r="H33" s="238">
        <f t="shared" si="7"/>
        <v>0</v>
      </c>
      <c r="I33" s="238">
        <f t="shared" si="7"/>
        <v>0</v>
      </c>
    </row>
    <row r="34" spans="2:14" ht="12.75" hidden="1" customHeight="1" outlineLevel="1" x14ac:dyDescent="0.2">
      <c r="B34" s="121"/>
    </row>
    <row r="35" spans="2:14" ht="15.75" hidden="1" customHeight="1" outlineLevel="1" x14ac:dyDescent="0.2">
      <c r="B35" s="121"/>
      <c r="D35" s="74">
        <f>FirstYear</f>
        <v>2026</v>
      </c>
      <c r="E35" s="74">
        <f>D35+1</f>
        <v>2027</v>
      </c>
      <c r="F35" s="74">
        <f>E35+1</f>
        <v>2028</v>
      </c>
      <c r="G35" s="74">
        <f>F35+1</f>
        <v>2029</v>
      </c>
      <c r="H35" s="74">
        <f>G35+1</f>
        <v>2030</v>
      </c>
      <c r="I35" s="74">
        <f>H35+1</f>
        <v>2031</v>
      </c>
    </row>
    <row r="36" spans="2:14" ht="12.75" hidden="1" customHeight="1" outlineLevel="1" x14ac:dyDescent="0.2">
      <c r="B36" s="249">
        <v>1</v>
      </c>
      <c r="C36" s="76" t="s">
        <v>84</v>
      </c>
      <c r="D36" s="238">
        <f t="shared" ref="D36:I36" si="8">INDEX(RPBSScriptsChanged,$B28,D29)*INDEX(DPMQCoPayChangedPub,$B28,$B36)</f>
        <v>0</v>
      </c>
      <c r="E36" s="238">
        <f t="shared" si="8"/>
        <v>0</v>
      </c>
      <c r="F36" s="238">
        <f t="shared" si="8"/>
        <v>0</v>
      </c>
      <c r="G36" s="238">
        <f t="shared" si="8"/>
        <v>0</v>
      </c>
      <c r="H36" s="238">
        <f t="shared" si="8"/>
        <v>0</v>
      </c>
      <c r="I36" s="238">
        <f t="shared" si="8"/>
        <v>0</v>
      </c>
    </row>
    <row r="37" spans="2:14" ht="12.75" hidden="1" customHeight="1" outlineLevel="1" x14ac:dyDescent="0.2">
      <c r="B37" s="249">
        <v>5</v>
      </c>
      <c r="C37" s="3" t="s">
        <v>108</v>
      </c>
      <c r="D37" s="238">
        <f t="shared" ref="D37:I37" si="9">INDEX(RPBSScriptsChanged,$B28,D29)*(INDEX(DPMQCoPayChangedPub,$B28,$B37)/INDEX(CoPayCountChanged,$B28))</f>
        <v>0</v>
      </c>
      <c r="E37" s="238">
        <f t="shared" si="9"/>
        <v>0</v>
      </c>
      <c r="F37" s="238">
        <f t="shared" si="9"/>
        <v>0</v>
      </c>
      <c r="G37" s="238">
        <f t="shared" si="9"/>
        <v>0</v>
      </c>
      <c r="H37" s="238">
        <f t="shared" si="9"/>
        <v>0</v>
      </c>
      <c r="I37" s="238">
        <f t="shared" si="9"/>
        <v>0</v>
      </c>
    </row>
    <row r="38" spans="2:14" ht="12.75" hidden="1" customHeight="1" outlineLevel="1" x14ac:dyDescent="0.2">
      <c r="B38" s="121"/>
      <c r="C38" s="3" t="s">
        <v>86</v>
      </c>
      <c r="D38" s="238">
        <f t="shared" ref="D38:I38" si="10">D36+D37</f>
        <v>0</v>
      </c>
      <c r="E38" s="238">
        <f t="shared" si="10"/>
        <v>0</v>
      </c>
      <c r="F38" s="238">
        <f t="shared" si="10"/>
        <v>0</v>
      </c>
      <c r="G38" s="238">
        <f t="shared" si="10"/>
        <v>0</v>
      </c>
      <c r="H38" s="238">
        <f t="shared" si="10"/>
        <v>0</v>
      </c>
      <c r="I38" s="238">
        <f t="shared" si="10"/>
        <v>0</v>
      </c>
    </row>
    <row r="39" spans="2:14" ht="12.75" customHeight="1" collapsed="1" x14ac:dyDescent="0.2">
      <c r="B39" s="121"/>
      <c r="D39" s="457"/>
      <c r="E39" s="457"/>
      <c r="F39" s="31"/>
      <c r="G39" s="31"/>
      <c r="H39" s="31"/>
      <c r="I39" s="31"/>
      <c r="J39" s="31"/>
      <c r="K39" s="31"/>
      <c r="L39" s="31"/>
      <c r="M39" s="31"/>
      <c r="N39" s="31"/>
    </row>
    <row r="40" spans="2:14" ht="15" x14ac:dyDescent="0.2">
      <c r="B40" s="249">
        <v>2</v>
      </c>
      <c r="C40" s="129" t="str">
        <f>INDEX(PBSScriptsChanged,B40,1)</f>
        <v>** NOT USED **</v>
      </c>
      <c r="D40" s="123"/>
      <c r="E40" s="123"/>
      <c r="F40" s="123"/>
      <c r="G40" s="123"/>
      <c r="H40" s="123"/>
      <c r="I40" s="123"/>
      <c r="J40" s="116"/>
      <c r="K40" s="116"/>
      <c r="L40" s="588" t="str">
        <f>IF(AND(C40&lt;&gt;MsgNotUsed,C40&lt;&gt;MsgNotRequired),"Co-payment group " &amp; INDEX(DPMQCoPayChangedPub,B40,3),"")</f>
        <v/>
      </c>
      <c r="M40" s="588"/>
      <c r="N40" s="380"/>
    </row>
    <row r="41" spans="2:14" ht="12.75" hidden="1" customHeight="1" outlineLevel="1" x14ac:dyDescent="0.2">
      <c r="B41" s="209">
        <f>INDEX(SAChanged,B40,5)</f>
        <v>0</v>
      </c>
      <c r="C41" s="457"/>
      <c r="D41" s="319">
        <v>2</v>
      </c>
      <c r="E41" s="319">
        <v>3</v>
      </c>
      <c r="F41" s="319">
        <v>4</v>
      </c>
      <c r="G41" s="319">
        <v>5</v>
      </c>
      <c r="H41" s="319">
        <v>6</v>
      </c>
      <c r="I41" s="319">
        <v>7</v>
      </c>
      <c r="J41" s="31"/>
      <c r="K41" s="31"/>
      <c r="L41" s="31"/>
      <c r="M41" s="31"/>
      <c r="N41" s="31"/>
    </row>
    <row r="42" spans="2:14" ht="12.75" hidden="1" customHeight="1" outlineLevel="1" x14ac:dyDescent="0.2">
      <c r="B42" s="121"/>
      <c r="D42" s="74">
        <f>FirstYear</f>
        <v>2026</v>
      </c>
      <c r="E42" s="74">
        <f>D42+1</f>
        <v>2027</v>
      </c>
      <c r="F42" s="74">
        <f>E42+1</f>
        <v>2028</v>
      </c>
      <c r="G42" s="74">
        <f>F42+1</f>
        <v>2029</v>
      </c>
      <c r="H42" s="74">
        <f>G42+1</f>
        <v>2030</v>
      </c>
      <c r="I42" s="74">
        <f>H42+1</f>
        <v>2031</v>
      </c>
    </row>
    <row r="43" spans="2:14" ht="12.75" hidden="1" customHeight="1" outlineLevel="1" x14ac:dyDescent="0.2">
      <c r="B43" s="249">
        <v>1</v>
      </c>
      <c r="C43" s="76" t="s">
        <v>83</v>
      </c>
      <c r="D43" s="238">
        <f t="shared" ref="D43:I43" si="11">INDEX(PBSScriptsChanged,$B40,D41)*INDEX(DPMQCoPayChangedPub,$B40,$B43)</f>
        <v>0</v>
      </c>
      <c r="E43" s="238">
        <f t="shared" si="11"/>
        <v>0</v>
      </c>
      <c r="F43" s="238">
        <f t="shared" si="11"/>
        <v>0</v>
      </c>
      <c r="G43" s="238">
        <f t="shared" si="11"/>
        <v>0</v>
      </c>
      <c r="H43" s="238">
        <f t="shared" si="11"/>
        <v>0</v>
      </c>
      <c r="I43" s="238">
        <f t="shared" si="11"/>
        <v>0</v>
      </c>
    </row>
    <row r="44" spans="2:14" ht="12.75" hidden="1" customHeight="1" outlineLevel="1" x14ac:dyDescent="0.2">
      <c r="B44" s="249">
        <v>4</v>
      </c>
      <c r="C44" s="3" t="s">
        <v>108</v>
      </c>
      <c r="D44" s="238">
        <f t="shared" ref="D44:I44" si="12">INDEX(PBSScriptsChanged,$B40,D41)*(INDEX(DPMQCoPayChangedPub,$B40,$B44)/INDEX(CoPayCountChanged,$B40))</f>
        <v>0</v>
      </c>
      <c r="E44" s="238">
        <f t="shared" si="12"/>
        <v>0</v>
      </c>
      <c r="F44" s="238">
        <f t="shared" si="12"/>
        <v>0</v>
      </c>
      <c r="G44" s="238">
        <f t="shared" si="12"/>
        <v>0</v>
      </c>
      <c r="H44" s="238">
        <f t="shared" si="12"/>
        <v>0</v>
      </c>
      <c r="I44" s="238">
        <f t="shared" si="12"/>
        <v>0</v>
      </c>
      <c r="K44" s="579" t="str">
        <f>IF(B41&lt;&gt;0,MsgNote&amp;IF(B41="Yes",INDEX(CoPayMethod,1),INDEX(CoPayMethod,2)),"")</f>
        <v/>
      </c>
      <c r="L44" s="579"/>
      <c r="M44" s="579"/>
      <c r="N44" s="443"/>
    </row>
    <row r="45" spans="2:14" ht="12.75" hidden="1" customHeight="1" outlineLevel="1" x14ac:dyDescent="0.2">
      <c r="B45" s="121"/>
      <c r="C45" s="3" t="s">
        <v>85</v>
      </c>
      <c r="D45" s="238">
        <f t="shared" ref="D45:I45" si="13">D43+D44</f>
        <v>0</v>
      </c>
      <c r="E45" s="238">
        <f t="shared" si="13"/>
        <v>0</v>
      </c>
      <c r="F45" s="238">
        <f t="shared" si="13"/>
        <v>0</v>
      </c>
      <c r="G45" s="238">
        <f t="shared" si="13"/>
        <v>0</v>
      </c>
      <c r="H45" s="238">
        <f t="shared" si="13"/>
        <v>0</v>
      </c>
      <c r="I45" s="238">
        <f t="shared" si="13"/>
        <v>0</v>
      </c>
    </row>
    <row r="46" spans="2:14" ht="12.75" hidden="1" customHeight="1" outlineLevel="1" x14ac:dyDescent="0.2">
      <c r="B46" s="121"/>
    </row>
    <row r="47" spans="2:14" ht="15.75" hidden="1" customHeight="1" outlineLevel="1" x14ac:dyDescent="0.2">
      <c r="B47" s="121"/>
      <c r="D47" s="74">
        <f>FirstYear</f>
        <v>2026</v>
      </c>
      <c r="E47" s="74">
        <f>D47+1</f>
        <v>2027</v>
      </c>
      <c r="F47" s="74">
        <f>E47+1</f>
        <v>2028</v>
      </c>
      <c r="G47" s="74">
        <f>F47+1</f>
        <v>2029</v>
      </c>
      <c r="H47" s="74">
        <f>G47+1</f>
        <v>2030</v>
      </c>
      <c r="I47" s="74">
        <f>H47+1</f>
        <v>2031</v>
      </c>
    </row>
    <row r="48" spans="2:14" ht="12.75" hidden="1" customHeight="1" outlineLevel="1" x14ac:dyDescent="0.2">
      <c r="B48" s="249">
        <v>1</v>
      </c>
      <c r="C48" s="76" t="s">
        <v>84</v>
      </c>
      <c r="D48" s="238">
        <f t="shared" ref="D48:I48" si="14">INDEX(RPBSScriptsChanged,$B40,D41)*INDEX(DPMQCoPayChangedPub,$B40,$B48)</f>
        <v>0</v>
      </c>
      <c r="E48" s="238">
        <f t="shared" si="14"/>
        <v>0</v>
      </c>
      <c r="F48" s="238">
        <f t="shared" si="14"/>
        <v>0</v>
      </c>
      <c r="G48" s="238">
        <f t="shared" si="14"/>
        <v>0</v>
      </c>
      <c r="H48" s="238">
        <f t="shared" si="14"/>
        <v>0</v>
      </c>
      <c r="I48" s="238">
        <f t="shared" si="14"/>
        <v>0</v>
      </c>
    </row>
    <row r="49" spans="2:14" ht="12.75" hidden="1" customHeight="1" outlineLevel="1" x14ac:dyDescent="0.2">
      <c r="B49" s="249">
        <v>5</v>
      </c>
      <c r="C49" s="3" t="s">
        <v>108</v>
      </c>
      <c r="D49" s="238">
        <f t="shared" ref="D49:I49" si="15">INDEX(RPBSScriptsChanged,$B40,D41)*(INDEX(DPMQCoPayChangedPub,$B40,$B49)/INDEX(CoPayCountChanged,$B40))</f>
        <v>0</v>
      </c>
      <c r="E49" s="238">
        <f t="shared" si="15"/>
        <v>0</v>
      </c>
      <c r="F49" s="238">
        <f t="shared" si="15"/>
        <v>0</v>
      </c>
      <c r="G49" s="238">
        <f t="shared" si="15"/>
        <v>0</v>
      </c>
      <c r="H49" s="238">
        <f t="shared" si="15"/>
        <v>0</v>
      </c>
      <c r="I49" s="238">
        <f t="shared" si="15"/>
        <v>0</v>
      </c>
    </row>
    <row r="50" spans="2:14" ht="12.75" hidden="1" customHeight="1" outlineLevel="1" x14ac:dyDescent="0.2">
      <c r="B50" s="121"/>
      <c r="C50" s="3" t="s">
        <v>86</v>
      </c>
      <c r="D50" s="238">
        <f t="shared" ref="D50:I50" si="16">D48+D49</f>
        <v>0</v>
      </c>
      <c r="E50" s="238">
        <f t="shared" si="16"/>
        <v>0</v>
      </c>
      <c r="F50" s="238">
        <f t="shared" si="16"/>
        <v>0</v>
      </c>
      <c r="G50" s="238">
        <f t="shared" si="16"/>
        <v>0</v>
      </c>
      <c r="H50" s="238">
        <f t="shared" si="16"/>
        <v>0</v>
      </c>
      <c r="I50" s="238">
        <f t="shared" si="16"/>
        <v>0</v>
      </c>
    </row>
    <row r="51" spans="2:14" ht="12.75" customHeight="1" collapsed="1" x14ac:dyDescent="0.2">
      <c r="B51" s="121"/>
      <c r="D51" s="457"/>
      <c r="E51" s="457"/>
      <c r="F51" s="31"/>
      <c r="G51" s="31"/>
      <c r="H51" s="31"/>
      <c r="I51" s="31"/>
      <c r="J51" s="31"/>
      <c r="K51" s="31"/>
      <c r="L51" s="31"/>
      <c r="M51" s="31"/>
      <c r="N51" s="31"/>
    </row>
    <row r="52" spans="2:14" ht="15" x14ac:dyDescent="0.2">
      <c r="B52" s="249">
        <v>3</v>
      </c>
      <c r="C52" s="129" t="str">
        <f>INDEX(PBSScriptsChanged,B52,1)</f>
        <v>** NOT USED **</v>
      </c>
      <c r="D52" s="123"/>
      <c r="E52" s="123"/>
      <c r="F52" s="123"/>
      <c r="G52" s="123"/>
      <c r="H52" s="123"/>
      <c r="I52" s="123"/>
      <c r="J52" s="116"/>
      <c r="K52" s="116"/>
      <c r="L52" s="588" t="str">
        <f>IF(AND(C52&lt;&gt;MsgNotUsed,C52&lt;&gt;MsgNotRequired),"Co-payment group " &amp; INDEX(DPMQCoPayChangedPub,B52,3),"")</f>
        <v/>
      </c>
      <c r="M52" s="588"/>
      <c r="N52" s="380"/>
    </row>
    <row r="53" spans="2:14" ht="12.75" hidden="1" customHeight="1" outlineLevel="1" x14ac:dyDescent="0.2">
      <c r="B53" s="209">
        <f>INDEX(SAChanged,B52,5)</f>
        <v>0</v>
      </c>
      <c r="C53" s="457"/>
      <c r="D53" s="319">
        <v>2</v>
      </c>
      <c r="E53" s="319">
        <v>3</v>
      </c>
      <c r="F53" s="319">
        <v>4</v>
      </c>
      <c r="G53" s="319">
        <v>5</v>
      </c>
      <c r="H53" s="319">
        <v>6</v>
      </c>
      <c r="I53" s="319">
        <v>7</v>
      </c>
      <c r="J53" s="31"/>
      <c r="K53" s="31"/>
      <c r="L53" s="31"/>
      <c r="M53" s="31"/>
      <c r="N53" s="31"/>
    </row>
    <row r="54" spans="2:14" ht="12.75" hidden="1" customHeight="1" outlineLevel="1" x14ac:dyDescent="0.2">
      <c r="B54" s="121"/>
      <c r="D54" s="74">
        <f>FirstYear</f>
        <v>2026</v>
      </c>
      <c r="E54" s="74">
        <f>D54+1</f>
        <v>2027</v>
      </c>
      <c r="F54" s="74">
        <f>E54+1</f>
        <v>2028</v>
      </c>
      <c r="G54" s="74">
        <f>F54+1</f>
        <v>2029</v>
      </c>
      <c r="H54" s="74">
        <f>G54+1</f>
        <v>2030</v>
      </c>
      <c r="I54" s="74">
        <f>H54+1</f>
        <v>2031</v>
      </c>
    </row>
    <row r="55" spans="2:14" ht="12.75" hidden="1" customHeight="1" outlineLevel="1" x14ac:dyDescent="0.2">
      <c r="B55" s="249">
        <v>1</v>
      </c>
      <c r="C55" s="76" t="s">
        <v>83</v>
      </c>
      <c r="D55" s="238">
        <f t="shared" ref="D55:I55" si="17">INDEX(PBSScriptsChanged,$B52,D53)*INDEX(DPMQCoPayChangedPub,$B52,$B55)</f>
        <v>0</v>
      </c>
      <c r="E55" s="238">
        <f t="shared" si="17"/>
        <v>0</v>
      </c>
      <c r="F55" s="238">
        <f t="shared" si="17"/>
        <v>0</v>
      </c>
      <c r="G55" s="238">
        <f t="shared" si="17"/>
        <v>0</v>
      </c>
      <c r="H55" s="238">
        <f t="shared" si="17"/>
        <v>0</v>
      </c>
      <c r="I55" s="238">
        <f t="shared" si="17"/>
        <v>0</v>
      </c>
    </row>
    <row r="56" spans="2:14" ht="12.75" hidden="1" customHeight="1" outlineLevel="1" x14ac:dyDescent="0.2">
      <c r="B56" s="249">
        <v>4</v>
      </c>
      <c r="C56" s="3" t="s">
        <v>108</v>
      </c>
      <c r="D56" s="238">
        <f t="shared" ref="D56:I56" si="18">INDEX(PBSScriptsChanged,$B52,D53)*(INDEX(DPMQCoPayChangedPub,$B52,$B56)/INDEX(CoPayCountChanged,$B52))</f>
        <v>0</v>
      </c>
      <c r="E56" s="238">
        <f t="shared" si="18"/>
        <v>0</v>
      </c>
      <c r="F56" s="238">
        <f t="shared" si="18"/>
        <v>0</v>
      </c>
      <c r="G56" s="238">
        <f t="shared" si="18"/>
        <v>0</v>
      </c>
      <c r="H56" s="238">
        <f t="shared" si="18"/>
        <v>0</v>
      </c>
      <c r="I56" s="238">
        <f t="shared" si="18"/>
        <v>0</v>
      </c>
      <c r="K56" s="579" t="str">
        <f>IF(B53&lt;&gt;0,MsgNote&amp;IF(B53="Yes",INDEX(CoPayMethod,1),INDEX(CoPayMethod,2)),"")</f>
        <v/>
      </c>
      <c r="L56" s="579"/>
      <c r="M56" s="579"/>
      <c r="N56" s="443"/>
    </row>
    <row r="57" spans="2:14" ht="12.75" hidden="1" customHeight="1" outlineLevel="1" x14ac:dyDescent="0.2">
      <c r="B57" s="121"/>
      <c r="C57" s="3" t="s">
        <v>85</v>
      </c>
      <c r="D57" s="238">
        <f t="shared" ref="D57:I57" si="19">D55+D56</f>
        <v>0</v>
      </c>
      <c r="E57" s="238">
        <f t="shared" si="19"/>
        <v>0</v>
      </c>
      <c r="F57" s="238">
        <f t="shared" si="19"/>
        <v>0</v>
      </c>
      <c r="G57" s="238">
        <f t="shared" si="19"/>
        <v>0</v>
      </c>
      <c r="H57" s="238">
        <f t="shared" si="19"/>
        <v>0</v>
      </c>
      <c r="I57" s="238">
        <f t="shared" si="19"/>
        <v>0</v>
      </c>
    </row>
    <row r="58" spans="2:14" ht="12.75" hidden="1" customHeight="1" outlineLevel="1" x14ac:dyDescent="0.2">
      <c r="B58" s="121"/>
    </row>
    <row r="59" spans="2:14" ht="15.75" hidden="1" customHeight="1" outlineLevel="1" x14ac:dyDescent="0.2">
      <c r="B59" s="121"/>
      <c r="D59" s="74">
        <f>FirstYear</f>
        <v>2026</v>
      </c>
      <c r="E59" s="74">
        <f>D59+1</f>
        <v>2027</v>
      </c>
      <c r="F59" s="74">
        <f>E59+1</f>
        <v>2028</v>
      </c>
      <c r="G59" s="74">
        <f>F59+1</f>
        <v>2029</v>
      </c>
      <c r="H59" s="74">
        <f>G59+1</f>
        <v>2030</v>
      </c>
      <c r="I59" s="74">
        <f>H59+1</f>
        <v>2031</v>
      </c>
    </row>
    <row r="60" spans="2:14" ht="12.75" hidden="1" customHeight="1" outlineLevel="1" x14ac:dyDescent="0.2">
      <c r="B60" s="249">
        <v>1</v>
      </c>
      <c r="C60" s="76" t="s">
        <v>84</v>
      </c>
      <c r="D60" s="238">
        <f t="shared" ref="D60:I60" si="20">INDEX(RPBSScriptsChanged,$B52,D53)*INDEX(DPMQCoPayChangedPub,$B52,$B60)</f>
        <v>0</v>
      </c>
      <c r="E60" s="238">
        <f t="shared" si="20"/>
        <v>0</v>
      </c>
      <c r="F60" s="238">
        <f t="shared" si="20"/>
        <v>0</v>
      </c>
      <c r="G60" s="238">
        <f t="shared" si="20"/>
        <v>0</v>
      </c>
      <c r="H60" s="238">
        <f t="shared" si="20"/>
        <v>0</v>
      </c>
      <c r="I60" s="238">
        <f t="shared" si="20"/>
        <v>0</v>
      </c>
    </row>
    <row r="61" spans="2:14" ht="12.75" hidden="1" customHeight="1" outlineLevel="1" x14ac:dyDescent="0.2">
      <c r="B61" s="249">
        <v>5</v>
      </c>
      <c r="C61" s="3" t="s">
        <v>108</v>
      </c>
      <c r="D61" s="238">
        <f t="shared" ref="D61:I61" si="21">INDEX(RPBSScriptsChanged,$B52,D53)*(INDEX(DPMQCoPayChangedPub,$B52,$B61)/INDEX(CoPayCountChanged,$B52))</f>
        <v>0</v>
      </c>
      <c r="E61" s="238">
        <f t="shared" si="21"/>
        <v>0</v>
      </c>
      <c r="F61" s="238">
        <f t="shared" si="21"/>
        <v>0</v>
      </c>
      <c r="G61" s="238">
        <f t="shared" si="21"/>
        <v>0</v>
      </c>
      <c r="H61" s="238">
        <f t="shared" si="21"/>
        <v>0</v>
      </c>
      <c r="I61" s="238">
        <f t="shared" si="21"/>
        <v>0</v>
      </c>
    </row>
    <row r="62" spans="2:14" ht="12.75" hidden="1" customHeight="1" outlineLevel="1" x14ac:dyDescent="0.2">
      <c r="B62" s="121"/>
      <c r="C62" s="3" t="s">
        <v>86</v>
      </c>
      <c r="D62" s="238">
        <f t="shared" ref="D62:I62" si="22">D60+D61</f>
        <v>0</v>
      </c>
      <c r="E62" s="238">
        <f t="shared" si="22"/>
        <v>0</v>
      </c>
      <c r="F62" s="238">
        <f t="shared" si="22"/>
        <v>0</v>
      </c>
      <c r="G62" s="238">
        <f t="shared" si="22"/>
        <v>0</v>
      </c>
      <c r="H62" s="238">
        <f t="shared" si="22"/>
        <v>0</v>
      </c>
      <c r="I62" s="238">
        <f t="shared" si="22"/>
        <v>0</v>
      </c>
    </row>
    <row r="63" spans="2:14" ht="12.75" customHeight="1" collapsed="1" x14ac:dyDescent="0.2">
      <c r="B63" s="121"/>
      <c r="D63" s="457"/>
      <c r="E63" s="457"/>
      <c r="F63" s="31"/>
      <c r="G63" s="31"/>
      <c r="H63" s="31"/>
      <c r="I63" s="31"/>
      <c r="J63" s="31"/>
      <c r="K63" s="31"/>
      <c r="L63" s="31"/>
      <c r="M63" s="31"/>
      <c r="N63" s="31"/>
    </row>
    <row r="64" spans="2:14" ht="15" x14ac:dyDescent="0.2">
      <c r="B64" s="249">
        <v>4</v>
      </c>
      <c r="C64" s="129" t="str">
        <f>INDEX(PBSScriptsChanged,B64,1)</f>
        <v>** NOT USED **</v>
      </c>
      <c r="D64" s="123"/>
      <c r="E64" s="123"/>
      <c r="F64" s="123"/>
      <c r="G64" s="123"/>
      <c r="H64" s="123"/>
      <c r="I64" s="123"/>
      <c r="J64" s="116"/>
      <c r="K64" s="116"/>
      <c r="L64" s="588" t="str">
        <f>IF(AND(C64&lt;&gt;MsgNotUsed,C64&lt;&gt;MsgNotRequired),"Co-payment group " &amp; INDEX(DPMQCoPayChangedPub,B64,3),"")</f>
        <v/>
      </c>
      <c r="M64" s="588"/>
      <c r="N64" s="380"/>
    </row>
    <row r="65" spans="2:14" ht="12.75" hidden="1" customHeight="1" outlineLevel="1" x14ac:dyDescent="0.2">
      <c r="B65" s="209">
        <f>INDEX(SAChanged,B64,5)</f>
        <v>0</v>
      </c>
      <c r="C65" s="457"/>
      <c r="D65" s="319">
        <v>2</v>
      </c>
      <c r="E65" s="319">
        <v>3</v>
      </c>
      <c r="F65" s="319">
        <v>4</v>
      </c>
      <c r="G65" s="319">
        <v>5</v>
      </c>
      <c r="H65" s="319">
        <v>6</v>
      </c>
      <c r="I65" s="319">
        <v>7</v>
      </c>
      <c r="J65" s="31"/>
      <c r="K65" s="31"/>
      <c r="L65" s="31"/>
      <c r="M65" s="31"/>
      <c r="N65" s="31"/>
    </row>
    <row r="66" spans="2:14" ht="12.75" hidden="1" customHeight="1" outlineLevel="1" x14ac:dyDescent="0.2">
      <c r="B66" s="121"/>
      <c r="D66" s="74">
        <f>FirstYear</f>
        <v>2026</v>
      </c>
      <c r="E66" s="74">
        <f>D66+1</f>
        <v>2027</v>
      </c>
      <c r="F66" s="74">
        <f>E66+1</f>
        <v>2028</v>
      </c>
      <c r="G66" s="74">
        <f>F66+1</f>
        <v>2029</v>
      </c>
      <c r="H66" s="74">
        <f>G66+1</f>
        <v>2030</v>
      </c>
      <c r="I66" s="74">
        <f>H66+1</f>
        <v>2031</v>
      </c>
    </row>
    <row r="67" spans="2:14" ht="12.75" hidden="1" customHeight="1" outlineLevel="1" x14ac:dyDescent="0.2">
      <c r="B67" s="249">
        <v>1</v>
      </c>
      <c r="C67" s="76" t="s">
        <v>83</v>
      </c>
      <c r="D67" s="238">
        <f t="shared" ref="D67:I67" si="23">INDEX(PBSScriptsChanged,$B64,D65)*INDEX(DPMQCoPayChangedPub,$B64,$B67)</f>
        <v>0</v>
      </c>
      <c r="E67" s="238">
        <f t="shared" si="23"/>
        <v>0</v>
      </c>
      <c r="F67" s="238">
        <f t="shared" si="23"/>
        <v>0</v>
      </c>
      <c r="G67" s="238">
        <f t="shared" si="23"/>
        <v>0</v>
      </c>
      <c r="H67" s="238">
        <f t="shared" si="23"/>
        <v>0</v>
      </c>
      <c r="I67" s="238">
        <f t="shared" si="23"/>
        <v>0</v>
      </c>
    </row>
    <row r="68" spans="2:14" ht="12.75" hidden="1" customHeight="1" outlineLevel="1" x14ac:dyDescent="0.2">
      <c r="B68" s="249">
        <v>4</v>
      </c>
      <c r="C68" s="3" t="s">
        <v>108</v>
      </c>
      <c r="D68" s="238">
        <f t="shared" ref="D68:I68" si="24">INDEX(PBSScriptsChanged,$B64,D65)*(INDEX(DPMQCoPayChangedPub,$B64,$B68)/INDEX(CoPayCountChanged,$B64))</f>
        <v>0</v>
      </c>
      <c r="E68" s="238">
        <f t="shared" si="24"/>
        <v>0</v>
      </c>
      <c r="F68" s="238">
        <f t="shared" si="24"/>
        <v>0</v>
      </c>
      <c r="G68" s="238">
        <f t="shared" si="24"/>
        <v>0</v>
      </c>
      <c r="H68" s="238">
        <f t="shared" si="24"/>
        <v>0</v>
      </c>
      <c r="I68" s="238">
        <f t="shared" si="24"/>
        <v>0</v>
      </c>
      <c r="K68" s="579" t="str">
        <f>IF(B65&lt;&gt;0,MsgNote&amp;IF(B65="Yes",INDEX(CoPayMethod,1),INDEX(CoPayMethod,2)),"")</f>
        <v/>
      </c>
      <c r="L68" s="579"/>
      <c r="M68" s="579"/>
      <c r="N68" s="443"/>
    </row>
    <row r="69" spans="2:14" ht="12.75" hidden="1" customHeight="1" outlineLevel="1" x14ac:dyDescent="0.2">
      <c r="B69" s="121"/>
      <c r="C69" s="3" t="s">
        <v>85</v>
      </c>
      <c r="D69" s="238">
        <f t="shared" ref="D69:I69" si="25">D67+D68</f>
        <v>0</v>
      </c>
      <c r="E69" s="238">
        <f t="shared" si="25"/>
        <v>0</v>
      </c>
      <c r="F69" s="238">
        <f t="shared" si="25"/>
        <v>0</v>
      </c>
      <c r="G69" s="238">
        <f t="shared" si="25"/>
        <v>0</v>
      </c>
      <c r="H69" s="238">
        <f t="shared" si="25"/>
        <v>0</v>
      </c>
      <c r="I69" s="238">
        <f t="shared" si="25"/>
        <v>0</v>
      </c>
    </row>
    <row r="70" spans="2:14" ht="12.75" hidden="1" customHeight="1" outlineLevel="1" x14ac:dyDescent="0.2">
      <c r="B70" s="121"/>
    </row>
    <row r="71" spans="2:14" ht="15.75" hidden="1" customHeight="1" outlineLevel="1" x14ac:dyDescent="0.2">
      <c r="B71" s="121"/>
      <c r="D71" s="74">
        <f>FirstYear</f>
        <v>2026</v>
      </c>
      <c r="E71" s="74">
        <f>D71+1</f>
        <v>2027</v>
      </c>
      <c r="F71" s="74">
        <f>E71+1</f>
        <v>2028</v>
      </c>
      <c r="G71" s="74">
        <f>F71+1</f>
        <v>2029</v>
      </c>
      <c r="H71" s="74">
        <f>G71+1</f>
        <v>2030</v>
      </c>
      <c r="I71" s="74">
        <f>H71+1</f>
        <v>2031</v>
      </c>
    </row>
    <row r="72" spans="2:14" ht="12.75" hidden="1" customHeight="1" outlineLevel="1" x14ac:dyDescent="0.2">
      <c r="B72" s="249">
        <v>1</v>
      </c>
      <c r="C72" s="76" t="s">
        <v>84</v>
      </c>
      <c r="D72" s="238">
        <f t="shared" ref="D72:I72" si="26">INDEX(RPBSScriptsChanged,$B64,D65)*INDEX(DPMQCoPayChangedPub,$B64,$B72)</f>
        <v>0</v>
      </c>
      <c r="E72" s="238">
        <f t="shared" si="26"/>
        <v>0</v>
      </c>
      <c r="F72" s="238">
        <f t="shared" si="26"/>
        <v>0</v>
      </c>
      <c r="G72" s="238">
        <f t="shared" si="26"/>
        <v>0</v>
      </c>
      <c r="H72" s="238">
        <f t="shared" si="26"/>
        <v>0</v>
      </c>
      <c r="I72" s="238">
        <f t="shared" si="26"/>
        <v>0</v>
      </c>
    </row>
    <row r="73" spans="2:14" ht="12.75" hidden="1" customHeight="1" outlineLevel="1" x14ac:dyDescent="0.2">
      <c r="B73" s="249">
        <v>5</v>
      </c>
      <c r="C73" s="3" t="s">
        <v>108</v>
      </c>
      <c r="D73" s="238">
        <f t="shared" ref="D73:I73" si="27">INDEX(RPBSScriptsChanged,$B64,D65)*(INDEX(DPMQCoPayChangedPub,$B64,$B73)/INDEX(CoPayCountChanged,$B64))</f>
        <v>0</v>
      </c>
      <c r="E73" s="238">
        <f t="shared" si="27"/>
        <v>0</v>
      </c>
      <c r="F73" s="238">
        <f t="shared" si="27"/>
        <v>0</v>
      </c>
      <c r="G73" s="238">
        <f t="shared" si="27"/>
        <v>0</v>
      </c>
      <c r="H73" s="238">
        <f t="shared" si="27"/>
        <v>0</v>
      </c>
      <c r="I73" s="238">
        <f t="shared" si="27"/>
        <v>0</v>
      </c>
    </row>
    <row r="74" spans="2:14" ht="12.75" hidden="1" customHeight="1" outlineLevel="1" x14ac:dyDescent="0.2">
      <c r="B74" s="121"/>
      <c r="C74" s="3" t="s">
        <v>86</v>
      </c>
      <c r="D74" s="238">
        <f t="shared" ref="D74:I74" si="28">D72+D73</f>
        <v>0</v>
      </c>
      <c r="E74" s="238">
        <f t="shared" si="28"/>
        <v>0</v>
      </c>
      <c r="F74" s="238">
        <f t="shared" si="28"/>
        <v>0</v>
      </c>
      <c r="G74" s="238">
        <f t="shared" si="28"/>
        <v>0</v>
      </c>
      <c r="H74" s="238">
        <f t="shared" si="28"/>
        <v>0</v>
      </c>
      <c r="I74" s="238">
        <f t="shared" si="28"/>
        <v>0</v>
      </c>
    </row>
    <row r="75" spans="2:14" ht="12.75" customHeight="1" collapsed="1" x14ac:dyDescent="0.2">
      <c r="B75" s="121"/>
      <c r="D75" s="457"/>
      <c r="E75" s="457"/>
      <c r="F75" s="31"/>
      <c r="G75" s="31"/>
      <c r="H75" s="31"/>
      <c r="I75" s="31"/>
      <c r="J75" s="31"/>
      <c r="K75" s="31"/>
      <c r="L75" s="31"/>
      <c r="M75" s="31"/>
      <c r="N75" s="31"/>
    </row>
    <row r="76" spans="2:14" ht="15" x14ac:dyDescent="0.2">
      <c r="B76" s="249">
        <v>5</v>
      </c>
      <c r="C76" s="129" t="str">
        <f>INDEX(PBSScriptsChanged,B76,1)</f>
        <v>** NOT USED **</v>
      </c>
      <c r="D76" s="123"/>
      <c r="E76" s="123"/>
      <c r="F76" s="123"/>
      <c r="G76" s="123"/>
      <c r="H76" s="123"/>
      <c r="I76" s="123"/>
      <c r="J76" s="116"/>
      <c r="K76" s="116"/>
      <c r="L76" s="588" t="str">
        <f>IF(AND(C76&lt;&gt;MsgNotUsed,C76&lt;&gt;MsgNotRequired),"Co-payment group " &amp; INDEX(DPMQCoPayChangedPub,B76,3),"")</f>
        <v/>
      </c>
      <c r="M76" s="588"/>
      <c r="N76" s="380"/>
    </row>
    <row r="77" spans="2:14" ht="12.75" hidden="1" customHeight="1" outlineLevel="1" x14ac:dyDescent="0.2">
      <c r="B77" s="209">
        <f>INDEX(SAChanged,B76,5)</f>
        <v>0</v>
      </c>
      <c r="C77" s="457"/>
      <c r="D77" s="319">
        <v>2</v>
      </c>
      <c r="E77" s="319">
        <v>3</v>
      </c>
      <c r="F77" s="319">
        <v>4</v>
      </c>
      <c r="G77" s="319">
        <v>5</v>
      </c>
      <c r="H77" s="319">
        <v>6</v>
      </c>
      <c r="I77" s="319">
        <v>7</v>
      </c>
      <c r="J77" s="31"/>
      <c r="K77" s="31"/>
      <c r="L77" s="31"/>
      <c r="M77" s="31"/>
      <c r="N77" s="31"/>
    </row>
    <row r="78" spans="2:14" ht="12.75" hidden="1" customHeight="1" outlineLevel="1" x14ac:dyDescent="0.2">
      <c r="B78" s="121"/>
      <c r="D78" s="74">
        <f>FirstYear</f>
        <v>2026</v>
      </c>
      <c r="E78" s="74">
        <f>D78+1</f>
        <v>2027</v>
      </c>
      <c r="F78" s="74">
        <f>E78+1</f>
        <v>2028</v>
      </c>
      <c r="G78" s="74">
        <f>F78+1</f>
        <v>2029</v>
      </c>
      <c r="H78" s="74">
        <f>G78+1</f>
        <v>2030</v>
      </c>
      <c r="I78" s="74">
        <f>H78+1</f>
        <v>2031</v>
      </c>
    </row>
    <row r="79" spans="2:14" ht="12.75" hidden="1" customHeight="1" outlineLevel="1" x14ac:dyDescent="0.2">
      <c r="B79" s="249">
        <v>1</v>
      </c>
      <c r="C79" s="76" t="s">
        <v>83</v>
      </c>
      <c r="D79" s="238">
        <f t="shared" ref="D79:I79" si="29">INDEX(PBSScriptsChanged,$B76,D77)*INDEX(DPMQCoPayChangedPub,$B76,$B79)</f>
        <v>0</v>
      </c>
      <c r="E79" s="238">
        <f t="shared" si="29"/>
        <v>0</v>
      </c>
      <c r="F79" s="238">
        <f t="shared" si="29"/>
        <v>0</v>
      </c>
      <c r="G79" s="238">
        <f t="shared" si="29"/>
        <v>0</v>
      </c>
      <c r="H79" s="238">
        <f t="shared" si="29"/>
        <v>0</v>
      </c>
      <c r="I79" s="238">
        <f t="shared" si="29"/>
        <v>0</v>
      </c>
    </row>
    <row r="80" spans="2:14" ht="12.75" hidden="1" customHeight="1" outlineLevel="1" x14ac:dyDescent="0.2">
      <c r="B80" s="249">
        <v>4</v>
      </c>
      <c r="C80" s="3" t="s">
        <v>108</v>
      </c>
      <c r="D80" s="238">
        <f t="shared" ref="D80:I80" si="30">INDEX(PBSScriptsChanged,$B76,D77)*(INDEX(DPMQCoPayChangedPub,$B76,$B80)/INDEX(CoPayCountChanged,$B76))</f>
        <v>0</v>
      </c>
      <c r="E80" s="238">
        <f t="shared" si="30"/>
        <v>0</v>
      </c>
      <c r="F80" s="238">
        <f t="shared" si="30"/>
        <v>0</v>
      </c>
      <c r="G80" s="238">
        <f t="shared" si="30"/>
        <v>0</v>
      </c>
      <c r="H80" s="238">
        <f t="shared" si="30"/>
        <v>0</v>
      </c>
      <c r="I80" s="238">
        <f t="shared" si="30"/>
        <v>0</v>
      </c>
      <c r="K80" s="579" t="str">
        <f>IF(B77&lt;&gt;0,MsgNote&amp;IF(B77="Yes",INDEX(CoPayMethod,1),INDEX(CoPayMethod,2)),"")</f>
        <v/>
      </c>
      <c r="L80" s="579"/>
      <c r="M80" s="579"/>
      <c r="N80" s="443"/>
    </row>
    <row r="81" spans="2:14" ht="12.75" hidden="1" customHeight="1" outlineLevel="1" x14ac:dyDescent="0.2">
      <c r="B81" s="121"/>
      <c r="C81" s="3" t="s">
        <v>85</v>
      </c>
      <c r="D81" s="238">
        <f t="shared" ref="D81:I81" si="31">D79+D80</f>
        <v>0</v>
      </c>
      <c r="E81" s="238">
        <f t="shared" si="31"/>
        <v>0</v>
      </c>
      <c r="F81" s="238">
        <f t="shared" si="31"/>
        <v>0</v>
      </c>
      <c r="G81" s="238">
        <f t="shared" si="31"/>
        <v>0</v>
      </c>
      <c r="H81" s="238">
        <f t="shared" si="31"/>
        <v>0</v>
      </c>
      <c r="I81" s="238">
        <f t="shared" si="31"/>
        <v>0</v>
      </c>
    </row>
    <row r="82" spans="2:14" ht="12.75" hidden="1" customHeight="1" outlineLevel="1" x14ac:dyDescent="0.2">
      <c r="B82" s="121"/>
    </row>
    <row r="83" spans="2:14" ht="15.75" hidden="1" customHeight="1" outlineLevel="1" x14ac:dyDescent="0.2">
      <c r="B83" s="121"/>
      <c r="D83" s="74">
        <f>FirstYear</f>
        <v>2026</v>
      </c>
      <c r="E83" s="74">
        <f>D83+1</f>
        <v>2027</v>
      </c>
      <c r="F83" s="74">
        <f>E83+1</f>
        <v>2028</v>
      </c>
      <c r="G83" s="74">
        <f>F83+1</f>
        <v>2029</v>
      </c>
      <c r="H83" s="74">
        <f>G83+1</f>
        <v>2030</v>
      </c>
      <c r="I83" s="74">
        <f>H83+1</f>
        <v>2031</v>
      </c>
    </row>
    <row r="84" spans="2:14" ht="12.75" hidden="1" customHeight="1" outlineLevel="1" x14ac:dyDescent="0.2">
      <c r="B84" s="249">
        <v>1</v>
      </c>
      <c r="C84" s="76" t="s">
        <v>84</v>
      </c>
      <c r="D84" s="238">
        <f t="shared" ref="D84:I84" si="32">INDEX(RPBSScriptsChanged,$B76,D77)*INDEX(DPMQCoPayChangedPub,$B76,$B84)</f>
        <v>0</v>
      </c>
      <c r="E84" s="238">
        <f t="shared" si="32"/>
        <v>0</v>
      </c>
      <c r="F84" s="238">
        <f t="shared" si="32"/>
        <v>0</v>
      </c>
      <c r="G84" s="238">
        <f t="shared" si="32"/>
        <v>0</v>
      </c>
      <c r="H84" s="238">
        <f t="shared" si="32"/>
        <v>0</v>
      </c>
      <c r="I84" s="238">
        <f t="shared" si="32"/>
        <v>0</v>
      </c>
    </row>
    <row r="85" spans="2:14" ht="12.75" hidden="1" customHeight="1" outlineLevel="1" x14ac:dyDescent="0.2">
      <c r="B85" s="249">
        <v>5</v>
      </c>
      <c r="C85" s="3" t="s">
        <v>108</v>
      </c>
      <c r="D85" s="238">
        <f t="shared" ref="D85:I85" si="33">INDEX(RPBSScriptsChanged,$B76,D77)*(INDEX(DPMQCoPayChangedPub,$B76,$B85)/INDEX(CoPayCountChanged,$B76))</f>
        <v>0</v>
      </c>
      <c r="E85" s="238">
        <f t="shared" si="33"/>
        <v>0</v>
      </c>
      <c r="F85" s="238">
        <f t="shared" si="33"/>
        <v>0</v>
      </c>
      <c r="G85" s="238">
        <f t="shared" si="33"/>
        <v>0</v>
      </c>
      <c r="H85" s="238">
        <f t="shared" si="33"/>
        <v>0</v>
      </c>
      <c r="I85" s="238">
        <f t="shared" si="33"/>
        <v>0</v>
      </c>
    </row>
    <row r="86" spans="2:14" ht="12.75" hidden="1" customHeight="1" outlineLevel="1" x14ac:dyDescent="0.2">
      <c r="B86" s="121"/>
      <c r="C86" s="3" t="s">
        <v>86</v>
      </c>
      <c r="D86" s="238">
        <f t="shared" ref="D86:I86" si="34">D84+D85</f>
        <v>0</v>
      </c>
      <c r="E86" s="238">
        <f t="shared" si="34"/>
        <v>0</v>
      </c>
      <c r="F86" s="238">
        <f t="shared" si="34"/>
        <v>0</v>
      </c>
      <c r="G86" s="238">
        <f t="shared" si="34"/>
        <v>0</v>
      </c>
      <c r="H86" s="238">
        <f t="shared" si="34"/>
        <v>0</v>
      </c>
      <c r="I86" s="238">
        <f t="shared" si="34"/>
        <v>0</v>
      </c>
    </row>
    <row r="87" spans="2:14" ht="12.75" customHeight="1" collapsed="1" x14ac:dyDescent="0.2">
      <c r="B87" s="121"/>
      <c r="D87" s="457"/>
      <c r="E87" s="457"/>
      <c r="F87" s="31"/>
      <c r="G87" s="31"/>
      <c r="H87" s="31"/>
      <c r="I87" s="31"/>
      <c r="J87" s="31"/>
      <c r="K87" s="31"/>
      <c r="L87" s="31"/>
      <c r="M87" s="31"/>
      <c r="N87" s="31"/>
    </row>
    <row r="88" spans="2:14" ht="15" x14ac:dyDescent="0.2">
      <c r="B88" s="249">
        <v>6</v>
      </c>
      <c r="C88" s="129" t="str">
        <f>INDEX(PBSScriptsChanged,B88,1)</f>
        <v>** NOT USED **</v>
      </c>
      <c r="D88" s="123"/>
      <c r="E88" s="123"/>
      <c r="F88" s="123"/>
      <c r="G88" s="123"/>
      <c r="H88" s="123"/>
      <c r="I88" s="123"/>
      <c r="J88" s="116"/>
      <c r="K88" s="116"/>
      <c r="L88" s="588" t="str">
        <f>IF(AND(C88&lt;&gt;MsgNotUsed,C88&lt;&gt;MsgNotRequired),"Co-payment group " &amp; INDEX(DPMQCoPayChangedPub,B88,3),"")</f>
        <v/>
      </c>
      <c r="M88" s="588"/>
      <c r="N88" s="380"/>
    </row>
    <row r="89" spans="2:14" ht="12.75" hidden="1" customHeight="1" outlineLevel="1" x14ac:dyDescent="0.2">
      <c r="B89" s="209">
        <f>INDEX(SAChanged,B88,5)</f>
        <v>0</v>
      </c>
      <c r="C89" s="457"/>
      <c r="D89" s="319">
        <v>2</v>
      </c>
      <c r="E89" s="319">
        <v>3</v>
      </c>
      <c r="F89" s="319">
        <v>4</v>
      </c>
      <c r="G89" s="319">
        <v>5</v>
      </c>
      <c r="H89" s="319">
        <v>6</v>
      </c>
      <c r="I89" s="319">
        <v>7</v>
      </c>
      <c r="J89" s="31"/>
      <c r="K89" s="31"/>
      <c r="L89" s="31"/>
      <c r="M89" s="31"/>
      <c r="N89" s="31"/>
    </row>
    <row r="90" spans="2:14" ht="12.75" hidden="1" customHeight="1" outlineLevel="1" x14ac:dyDescent="0.2">
      <c r="B90" s="121"/>
      <c r="D90" s="74">
        <f>FirstYear</f>
        <v>2026</v>
      </c>
      <c r="E90" s="74">
        <f>D90+1</f>
        <v>2027</v>
      </c>
      <c r="F90" s="74">
        <f>E90+1</f>
        <v>2028</v>
      </c>
      <c r="G90" s="74">
        <f>F90+1</f>
        <v>2029</v>
      </c>
      <c r="H90" s="74">
        <f>G90+1</f>
        <v>2030</v>
      </c>
      <c r="I90" s="74">
        <f>H90+1</f>
        <v>2031</v>
      </c>
    </row>
    <row r="91" spans="2:14" ht="12.75" hidden="1" customHeight="1" outlineLevel="1" x14ac:dyDescent="0.2">
      <c r="B91" s="249">
        <v>1</v>
      </c>
      <c r="C91" s="76" t="s">
        <v>83</v>
      </c>
      <c r="D91" s="238">
        <f t="shared" ref="D91:I91" si="35">INDEX(PBSScriptsChanged,$B88,D89)*INDEX(DPMQCoPayChangedPub,$B88,$B91)</f>
        <v>0</v>
      </c>
      <c r="E91" s="238">
        <f t="shared" si="35"/>
        <v>0</v>
      </c>
      <c r="F91" s="238">
        <f t="shared" si="35"/>
        <v>0</v>
      </c>
      <c r="G91" s="238">
        <f t="shared" si="35"/>
        <v>0</v>
      </c>
      <c r="H91" s="238">
        <f t="shared" si="35"/>
        <v>0</v>
      </c>
      <c r="I91" s="238">
        <f t="shared" si="35"/>
        <v>0</v>
      </c>
    </row>
    <row r="92" spans="2:14" ht="12.75" hidden="1" customHeight="1" outlineLevel="1" x14ac:dyDescent="0.2">
      <c r="B92" s="249">
        <v>4</v>
      </c>
      <c r="C92" s="3" t="s">
        <v>108</v>
      </c>
      <c r="D92" s="238">
        <f t="shared" ref="D92:I92" si="36">INDEX(PBSScriptsChanged,$B88,D89)*(INDEX(DPMQCoPayChangedPub,$B88,$B92)/INDEX(CoPayCountChanged,$B88))</f>
        <v>0</v>
      </c>
      <c r="E92" s="238">
        <f t="shared" si="36"/>
        <v>0</v>
      </c>
      <c r="F92" s="238">
        <f t="shared" si="36"/>
        <v>0</v>
      </c>
      <c r="G92" s="238">
        <f t="shared" si="36"/>
        <v>0</v>
      </c>
      <c r="H92" s="238">
        <f t="shared" si="36"/>
        <v>0</v>
      </c>
      <c r="I92" s="238">
        <f t="shared" si="36"/>
        <v>0</v>
      </c>
      <c r="K92" s="579" t="str">
        <f>IF(B89&lt;&gt;0,MsgNote&amp;IF(B89="Yes",INDEX(CoPayMethod,1),INDEX(CoPayMethod,2)),"")</f>
        <v/>
      </c>
      <c r="L92" s="579"/>
      <c r="M92" s="579"/>
      <c r="N92" s="443"/>
    </row>
    <row r="93" spans="2:14" ht="12.75" hidden="1" customHeight="1" outlineLevel="1" x14ac:dyDescent="0.2">
      <c r="B93" s="121"/>
      <c r="C93" s="3" t="s">
        <v>85</v>
      </c>
      <c r="D93" s="238">
        <f t="shared" ref="D93:I93" si="37">D91+D92</f>
        <v>0</v>
      </c>
      <c r="E93" s="238">
        <f t="shared" si="37"/>
        <v>0</v>
      </c>
      <c r="F93" s="238">
        <f t="shared" si="37"/>
        <v>0</v>
      </c>
      <c r="G93" s="238">
        <f t="shared" si="37"/>
        <v>0</v>
      </c>
      <c r="H93" s="238">
        <f t="shared" si="37"/>
        <v>0</v>
      </c>
      <c r="I93" s="238">
        <f t="shared" si="37"/>
        <v>0</v>
      </c>
    </row>
    <row r="94" spans="2:14" ht="12.75" hidden="1" customHeight="1" outlineLevel="1" x14ac:dyDescent="0.2">
      <c r="B94" s="121"/>
    </row>
    <row r="95" spans="2:14" ht="15.75" hidden="1" customHeight="1" outlineLevel="1" x14ac:dyDescent="0.2">
      <c r="B95" s="121"/>
      <c r="D95" s="74">
        <f>FirstYear</f>
        <v>2026</v>
      </c>
      <c r="E95" s="74">
        <f>D95+1</f>
        <v>2027</v>
      </c>
      <c r="F95" s="74">
        <f>E95+1</f>
        <v>2028</v>
      </c>
      <c r="G95" s="74">
        <f>F95+1</f>
        <v>2029</v>
      </c>
      <c r="H95" s="74">
        <f>G95+1</f>
        <v>2030</v>
      </c>
      <c r="I95" s="74">
        <f>H95+1</f>
        <v>2031</v>
      </c>
    </row>
    <row r="96" spans="2:14" ht="12.75" hidden="1" customHeight="1" outlineLevel="1" x14ac:dyDescent="0.2">
      <c r="B96" s="249">
        <v>1</v>
      </c>
      <c r="C96" s="76" t="s">
        <v>84</v>
      </c>
      <c r="D96" s="238">
        <f t="shared" ref="D96:I96" si="38">INDEX(RPBSScriptsChanged,$B88,D89)*INDEX(DPMQCoPayChangedPub,$B88,$B96)</f>
        <v>0</v>
      </c>
      <c r="E96" s="238">
        <f t="shared" si="38"/>
        <v>0</v>
      </c>
      <c r="F96" s="238">
        <f t="shared" si="38"/>
        <v>0</v>
      </c>
      <c r="G96" s="238">
        <f t="shared" si="38"/>
        <v>0</v>
      </c>
      <c r="H96" s="238">
        <f t="shared" si="38"/>
        <v>0</v>
      </c>
      <c r="I96" s="238">
        <f t="shared" si="38"/>
        <v>0</v>
      </c>
    </row>
    <row r="97" spans="2:14" ht="12.75" hidden="1" customHeight="1" outlineLevel="1" x14ac:dyDescent="0.2">
      <c r="B97" s="249">
        <v>5</v>
      </c>
      <c r="C97" s="3" t="s">
        <v>108</v>
      </c>
      <c r="D97" s="238">
        <f t="shared" ref="D97:I97" si="39">INDEX(RPBSScriptsChanged,$B88,D89)*(INDEX(DPMQCoPayChangedPub,$B88,$B97)/INDEX(CoPayCountChanged,$B88))</f>
        <v>0</v>
      </c>
      <c r="E97" s="238">
        <f t="shared" si="39"/>
        <v>0</v>
      </c>
      <c r="F97" s="238">
        <f t="shared" si="39"/>
        <v>0</v>
      </c>
      <c r="G97" s="238">
        <f t="shared" si="39"/>
        <v>0</v>
      </c>
      <c r="H97" s="238">
        <f t="shared" si="39"/>
        <v>0</v>
      </c>
      <c r="I97" s="238">
        <f t="shared" si="39"/>
        <v>0</v>
      </c>
    </row>
    <row r="98" spans="2:14" ht="12.75" hidden="1" customHeight="1" outlineLevel="1" x14ac:dyDescent="0.2">
      <c r="B98" s="121"/>
      <c r="C98" s="3" t="s">
        <v>86</v>
      </c>
      <c r="D98" s="238">
        <f t="shared" ref="D98:I98" si="40">D96+D97</f>
        <v>0</v>
      </c>
      <c r="E98" s="238">
        <f t="shared" si="40"/>
        <v>0</v>
      </c>
      <c r="F98" s="238">
        <f t="shared" si="40"/>
        <v>0</v>
      </c>
      <c r="G98" s="238">
        <f t="shared" si="40"/>
        <v>0</v>
      </c>
      <c r="H98" s="238">
        <f t="shared" si="40"/>
        <v>0</v>
      </c>
      <c r="I98" s="238">
        <f t="shared" si="40"/>
        <v>0</v>
      </c>
    </row>
    <row r="99" spans="2:14" ht="12.75" customHeight="1" collapsed="1" x14ac:dyDescent="0.2">
      <c r="B99" s="121"/>
      <c r="D99" s="457"/>
      <c r="E99" s="457"/>
      <c r="F99" s="31"/>
      <c r="G99" s="31"/>
      <c r="H99" s="31"/>
      <c r="I99" s="31"/>
      <c r="J99" s="31"/>
      <c r="K99" s="31"/>
      <c r="L99" s="31"/>
      <c r="M99" s="31"/>
      <c r="N99" s="31"/>
    </row>
    <row r="100" spans="2:14" ht="15" x14ac:dyDescent="0.2">
      <c r="B100" s="249">
        <v>7</v>
      </c>
      <c r="C100" s="129" t="str">
        <f>INDEX(PBSScriptsChanged,B100,1)</f>
        <v>** NOT USED **</v>
      </c>
      <c r="D100" s="123"/>
      <c r="E100" s="123"/>
      <c r="F100" s="123"/>
      <c r="G100" s="123"/>
      <c r="H100" s="123"/>
      <c r="I100" s="123"/>
      <c r="J100" s="116"/>
      <c r="K100" s="116"/>
      <c r="L100" s="588" t="str">
        <f>IF(AND(C100&lt;&gt;MsgNotUsed,C100&lt;&gt;MsgNotRequired),"Co-payment group " &amp; INDEX(DPMQCoPayChangedPub,B100,3),"")</f>
        <v/>
      </c>
      <c r="M100" s="588"/>
      <c r="N100" s="380"/>
    </row>
    <row r="101" spans="2:14" ht="12.75" hidden="1" customHeight="1" outlineLevel="1" x14ac:dyDescent="0.2">
      <c r="B101" s="209">
        <f>INDEX(SAChanged,B100,5)</f>
        <v>0</v>
      </c>
      <c r="C101" s="457"/>
      <c r="D101" s="319">
        <v>2</v>
      </c>
      <c r="E101" s="319">
        <v>3</v>
      </c>
      <c r="F101" s="319">
        <v>4</v>
      </c>
      <c r="G101" s="319">
        <v>5</v>
      </c>
      <c r="H101" s="319">
        <v>6</v>
      </c>
      <c r="I101" s="319">
        <v>7</v>
      </c>
      <c r="J101" s="31"/>
      <c r="K101" s="31"/>
      <c r="L101" s="31"/>
      <c r="M101" s="31"/>
      <c r="N101" s="31"/>
    </row>
    <row r="102" spans="2:14" ht="12.75" hidden="1" customHeight="1" outlineLevel="1" x14ac:dyDescent="0.2">
      <c r="B102" s="121"/>
      <c r="D102" s="74">
        <f>FirstYear</f>
        <v>2026</v>
      </c>
      <c r="E102" s="74">
        <f>D102+1</f>
        <v>2027</v>
      </c>
      <c r="F102" s="74">
        <f>E102+1</f>
        <v>2028</v>
      </c>
      <c r="G102" s="74">
        <f>F102+1</f>
        <v>2029</v>
      </c>
      <c r="H102" s="74">
        <f>G102+1</f>
        <v>2030</v>
      </c>
      <c r="I102" s="74">
        <f>H102+1</f>
        <v>2031</v>
      </c>
    </row>
    <row r="103" spans="2:14" ht="12.75" hidden="1" customHeight="1" outlineLevel="1" x14ac:dyDescent="0.2">
      <c r="B103" s="249">
        <v>1</v>
      </c>
      <c r="C103" s="76" t="s">
        <v>83</v>
      </c>
      <c r="D103" s="238">
        <f t="shared" ref="D103:I103" si="41">INDEX(PBSScriptsChanged,$B100,D101)*INDEX(DPMQCoPayChangedPub,$B100,$B103)</f>
        <v>0</v>
      </c>
      <c r="E103" s="238">
        <f t="shared" si="41"/>
        <v>0</v>
      </c>
      <c r="F103" s="238">
        <f t="shared" si="41"/>
        <v>0</v>
      </c>
      <c r="G103" s="238">
        <f t="shared" si="41"/>
        <v>0</v>
      </c>
      <c r="H103" s="238">
        <f t="shared" si="41"/>
        <v>0</v>
      </c>
      <c r="I103" s="238">
        <f t="shared" si="41"/>
        <v>0</v>
      </c>
    </row>
    <row r="104" spans="2:14" ht="12.75" hidden="1" customHeight="1" outlineLevel="1" x14ac:dyDescent="0.2">
      <c r="B104" s="249">
        <v>4</v>
      </c>
      <c r="C104" s="3" t="s">
        <v>108</v>
      </c>
      <c r="D104" s="238">
        <f t="shared" ref="D104:I104" si="42">INDEX(PBSScriptsChanged,$B100,D101)*(INDEX(DPMQCoPayChangedPub,$B100,$B104)/INDEX(CoPayCountChanged,$B100))</f>
        <v>0</v>
      </c>
      <c r="E104" s="238">
        <f t="shared" si="42"/>
        <v>0</v>
      </c>
      <c r="F104" s="238">
        <f t="shared" si="42"/>
        <v>0</v>
      </c>
      <c r="G104" s="238">
        <f t="shared" si="42"/>
        <v>0</v>
      </c>
      <c r="H104" s="238">
        <f t="shared" si="42"/>
        <v>0</v>
      </c>
      <c r="I104" s="238">
        <f t="shared" si="42"/>
        <v>0</v>
      </c>
      <c r="K104" s="579" t="str">
        <f>IF(B101&lt;&gt;0,MsgNote&amp;IF(B101="Yes",INDEX(CoPayMethod,1),INDEX(CoPayMethod,2)),"")</f>
        <v/>
      </c>
      <c r="L104" s="579"/>
      <c r="M104" s="579"/>
      <c r="N104" s="443"/>
    </row>
    <row r="105" spans="2:14" ht="12.75" hidden="1" customHeight="1" outlineLevel="1" x14ac:dyDescent="0.2">
      <c r="B105" s="121"/>
      <c r="C105" s="3" t="s">
        <v>85</v>
      </c>
      <c r="D105" s="238">
        <f t="shared" ref="D105:I105" si="43">D103+D104</f>
        <v>0</v>
      </c>
      <c r="E105" s="238">
        <f t="shared" si="43"/>
        <v>0</v>
      </c>
      <c r="F105" s="238">
        <f t="shared" si="43"/>
        <v>0</v>
      </c>
      <c r="G105" s="238">
        <f t="shared" si="43"/>
        <v>0</v>
      </c>
      <c r="H105" s="238">
        <f t="shared" si="43"/>
        <v>0</v>
      </c>
      <c r="I105" s="238">
        <f t="shared" si="43"/>
        <v>0</v>
      </c>
    </row>
    <row r="106" spans="2:14" ht="12.75" hidden="1" customHeight="1" outlineLevel="1" x14ac:dyDescent="0.2">
      <c r="B106" s="121"/>
    </row>
    <row r="107" spans="2:14" ht="15.75" hidden="1" customHeight="1" outlineLevel="1" x14ac:dyDescent="0.2">
      <c r="B107" s="121"/>
      <c r="D107" s="74">
        <f>FirstYear</f>
        <v>2026</v>
      </c>
      <c r="E107" s="74">
        <f>D107+1</f>
        <v>2027</v>
      </c>
      <c r="F107" s="74">
        <f>E107+1</f>
        <v>2028</v>
      </c>
      <c r="G107" s="74">
        <f>F107+1</f>
        <v>2029</v>
      </c>
      <c r="H107" s="74">
        <f>G107+1</f>
        <v>2030</v>
      </c>
      <c r="I107" s="74">
        <f>H107+1</f>
        <v>2031</v>
      </c>
    </row>
    <row r="108" spans="2:14" ht="12.75" hidden="1" customHeight="1" outlineLevel="1" x14ac:dyDescent="0.2">
      <c r="B108" s="249">
        <v>1</v>
      </c>
      <c r="C108" s="76" t="s">
        <v>84</v>
      </c>
      <c r="D108" s="238">
        <f t="shared" ref="D108:I108" si="44">INDEX(RPBSScriptsChanged,$B100,D101)*INDEX(DPMQCoPayChangedPub,$B100,$B108)</f>
        <v>0</v>
      </c>
      <c r="E108" s="238">
        <f t="shared" si="44"/>
        <v>0</v>
      </c>
      <c r="F108" s="238">
        <f t="shared" si="44"/>
        <v>0</v>
      </c>
      <c r="G108" s="238">
        <f t="shared" si="44"/>
        <v>0</v>
      </c>
      <c r="H108" s="238">
        <f t="shared" si="44"/>
        <v>0</v>
      </c>
      <c r="I108" s="238">
        <f t="shared" si="44"/>
        <v>0</v>
      </c>
    </row>
    <row r="109" spans="2:14" ht="12.75" hidden="1" customHeight="1" outlineLevel="1" x14ac:dyDescent="0.2">
      <c r="B109" s="249">
        <v>5</v>
      </c>
      <c r="C109" s="3" t="s">
        <v>108</v>
      </c>
      <c r="D109" s="238">
        <f t="shared" ref="D109:I109" si="45">INDEX(RPBSScriptsChanged,$B100,D101)*(INDEX(DPMQCoPayChangedPub,$B100,$B109)/INDEX(CoPayCountChanged,$B100))</f>
        <v>0</v>
      </c>
      <c r="E109" s="238">
        <f t="shared" si="45"/>
        <v>0</v>
      </c>
      <c r="F109" s="238">
        <f t="shared" si="45"/>
        <v>0</v>
      </c>
      <c r="G109" s="238">
        <f t="shared" si="45"/>
        <v>0</v>
      </c>
      <c r="H109" s="238">
        <f t="shared" si="45"/>
        <v>0</v>
      </c>
      <c r="I109" s="238">
        <f t="shared" si="45"/>
        <v>0</v>
      </c>
    </row>
    <row r="110" spans="2:14" ht="12.75" hidden="1" customHeight="1" outlineLevel="1" x14ac:dyDescent="0.2">
      <c r="B110" s="121"/>
      <c r="C110" s="3" t="s">
        <v>86</v>
      </c>
      <c r="D110" s="238">
        <f t="shared" ref="D110:I110" si="46">D108+D109</f>
        <v>0</v>
      </c>
      <c r="E110" s="238">
        <f t="shared" si="46"/>
        <v>0</v>
      </c>
      <c r="F110" s="238">
        <f t="shared" si="46"/>
        <v>0</v>
      </c>
      <c r="G110" s="238">
        <f t="shared" si="46"/>
        <v>0</v>
      </c>
      <c r="H110" s="238">
        <f t="shared" si="46"/>
        <v>0</v>
      </c>
      <c r="I110" s="238">
        <f t="shared" si="46"/>
        <v>0</v>
      </c>
    </row>
    <row r="111" spans="2:14" ht="12.75" customHeight="1" collapsed="1" x14ac:dyDescent="0.2">
      <c r="B111" s="121"/>
      <c r="D111" s="457"/>
      <c r="E111" s="457"/>
      <c r="F111" s="31"/>
      <c r="G111" s="31"/>
      <c r="H111" s="31"/>
      <c r="I111" s="31"/>
      <c r="J111" s="31"/>
      <c r="K111" s="31"/>
      <c r="L111" s="31"/>
      <c r="M111" s="31"/>
      <c r="N111" s="31"/>
    </row>
    <row r="112" spans="2:14" ht="15" x14ac:dyDescent="0.2">
      <c r="B112" s="249">
        <v>8</v>
      </c>
      <c r="C112" s="129" t="str">
        <f>INDEX(PBSScriptsChanged,B112,1)</f>
        <v>** NOT USED **</v>
      </c>
      <c r="D112" s="123"/>
      <c r="E112" s="123"/>
      <c r="F112" s="123"/>
      <c r="G112" s="123"/>
      <c r="H112" s="123"/>
      <c r="I112" s="123"/>
      <c r="J112" s="116"/>
      <c r="K112" s="116"/>
      <c r="L112" s="588" t="str">
        <f>IF(AND(C112&lt;&gt;MsgNotUsed,C112&lt;&gt;MsgNotRequired),"Co-payment group " &amp; INDEX(DPMQCoPayChangedPub,B112,3),"")</f>
        <v/>
      </c>
      <c r="M112" s="588"/>
      <c r="N112" s="380"/>
    </row>
    <row r="113" spans="2:14" ht="12.75" hidden="1" customHeight="1" outlineLevel="1" x14ac:dyDescent="0.2">
      <c r="B113" s="209">
        <f>INDEX(SAChanged,B112,5)</f>
        <v>0</v>
      </c>
      <c r="C113" s="457"/>
      <c r="D113" s="319">
        <v>2</v>
      </c>
      <c r="E113" s="319">
        <v>3</v>
      </c>
      <c r="F113" s="319">
        <v>4</v>
      </c>
      <c r="G113" s="319">
        <v>5</v>
      </c>
      <c r="H113" s="319">
        <v>6</v>
      </c>
      <c r="I113" s="319">
        <v>7</v>
      </c>
      <c r="J113" s="31"/>
      <c r="K113" s="31"/>
      <c r="L113" s="31"/>
      <c r="M113" s="31"/>
      <c r="N113" s="31"/>
    </row>
    <row r="114" spans="2:14" ht="12.75" hidden="1" customHeight="1" outlineLevel="1" x14ac:dyDescent="0.2">
      <c r="B114" s="121"/>
      <c r="D114" s="74">
        <f>FirstYear</f>
        <v>2026</v>
      </c>
      <c r="E114" s="74">
        <f>D114+1</f>
        <v>2027</v>
      </c>
      <c r="F114" s="74">
        <f>E114+1</f>
        <v>2028</v>
      </c>
      <c r="G114" s="74">
        <f>F114+1</f>
        <v>2029</v>
      </c>
      <c r="H114" s="74">
        <f>G114+1</f>
        <v>2030</v>
      </c>
      <c r="I114" s="74">
        <f>H114+1</f>
        <v>2031</v>
      </c>
    </row>
    <row r="115" spans="2:14" ht="12.75" hidden="1" customHeight="1" outlineLevel="1" x14ac:dyDescent="0.2">
      <c r="B115" s="249">
        <v>1</v>
      </c>
      <c r="C115" s="76" t="s">
        <v>83</v>
      </c>
      <c r="D115" s="238">
        <f t="shared" ref="D115:I115" si="47">INDEX(PBSScriptsChanged,$B112,D113)*INDEX(DPMQCoPayChangedPub,$B112,$B115)</f>
        <v>0</v>
      </c>
      <c r="E115" s="238">
        <f t="shared" si="47"/>
        <v>0</v>
      </c>
      <c r="F115" s="238">
        <f t="shared" si="47"/>
        <v>0</v>
      </c>
      <c r="G115" s="238">
        <f t="shared" si="47"/>
        <v>0</v>
      </c>
      <c r="H115" s="238">
        <f t="shared" si="47"/>
        <v>0</v>
      </c>
      <c r="I115" s="238">
        <f t="shared" si="47"/>
        <v>0</v>
      </c>
    </row>
    <row r="116" spans="2:14" ht="12.75" hidden="1" customHeight="1" outlineLevel="1" x14ac:dyDescent="0.2">
      <c r="B116" s="249">
        <v>4</v>
      </c>
      <c r="C116" s="3" t="s">
        <v>108</v>
      </c>
      <c r="D116" s="238">
        <f t="shared" ref="D116:I116" si="48">INDEX(PBSScriptsChanged,$B112,D113)*(INDEX(DPMQCoPayChangedPub,$B112,$B116)/INDEX(CoPayCountChanged,$B112))</f>
        <v>0</v>
      </c>
      <c r="E116" s="238">
        <f t="shared" si="48"/>
        <v>0</v>
      </c>
      <c r="F116" s="238">
        <f t="shared" si="48"/>
        <v>0</v>
      </c>
      <c r="G116" s="238">
        <f t="shared" si="48"/>
        <v>0</v>
      </c>
      <c r="H116" s="238">
        <f t="shared" si="48"/>
        <v>0</v>
      </c>
      <c r="I116" s="238">
        <f t="shared" si="48"/>
        <v>0</v>
      </c>
      <c r="K116" s="579" t="str">
        <f>IF(B113&lt;&gt;0,MsgNote&amp;IF(B113="Yes",INDEX(CoPayMethod,1),INDEX(CoPayMethod,2)),"")</f>
        <v/>
      </c>
      <c r="L116" s="579"/>
      <c r="M116" s="579"/>
      <c r="N116" s="443"/>
    </row>
    <row r="117" spans="2:14" ht="12.75" hidden="1" customHeight="1" outlineLevel="1" x14ac:dyDescent="0.2">
      <c r="B117" s="121"/>
      <c r="C117" s="3" t="s">
        <v>85</v>
      </c>
      <c r="D117" s="238">
        <f t="shared" ref="D117:I117" si="49">D115+D116</f>
        <v>0</v>
      </c>
      <c r="E117" s="238">
        <f t="shared" si="49"/>
        <v>0</v>
      </c>
      <c r="F117" s="238">
        <f t="shared" si="49"/>
        <v>0</v>
      </c>
      <c r="G117" s="238">
        <f t="shared" si="49"/>
        <v>0</v>
      </c>
      <c r="H117" s="238">
        <f t="shared" si="49"/>
        <v>0</v>
      </c>
      <c r="I117" s="238">
        <f t="shared" si="49"/>
        <v>0</v>
      </c>
    </row>
    <row r="118" spans="2:14" ht="12.75" hidden="1" customHeight="1" outlineLevel="1" x14ac:dyDescent="0.2">
      <c r="B118" s="121"/>
    </row>
    <row r="119" spans="2:14" ht="15.75" hidden="1" customHeight="1" outlineLevel="1" x14ac:dyDescent="0.2">
      <c r="B119" s="121"/>
      <c r="D119" s="74">
        <f>FirstYear</f>
        <v>2026</v>
      </c>
      <c r="E119" s="74">
        <f>D119+1</f>
        <v>2027</v>
      </c>
      <c r="F119" s="74">
        <f>E119+1</f>
        <v>2028</v>
      </c>
      <c r="G119" s="74">
        <f>F119+1</f>
        <v>2029</v>
      </c>
      <c r="H119" s="74">
        <f>G119+1</f>
        <v>2030</v>
      </c>
      <c r="I119" s="74">
        <f>H119+1</f>
        <v>2031</v>
      </c>
    </row>
    <row r="120" spans="2:14" ht="12.75" hidden="1" customHeight="1" outlineLevel="1" x14ac:dyDescent="0.2">
      <c r="B120" s="249">
        <v>1</v>
      </c>
      <c r="C120" s="76" t="s">
        <v>84</v>
      </c>
      <c r="D120" s="238">
        <f t="shared" ref="D120:I120" si="50">INDEX(RPBSScriptsChanged,$B112,D113)*INDEX(DPMQCoPayChangedPub,$B112,$B120)</f>
        <v>0</v>
      </c>
      <c r="E120" s="238">
        <f t="shared" si="50"/>
        <v>0</v>
      </c>
      <c r="F120" s="238">
        <f t="shared" si="50"/>
        <v>0</v>
      </c>
      <c r="G120" s="238">
        <f t="shared" si="50"/>
        <v>0</v>
      </c>
      <c r="H120" s="238">
        <f t="shared" si="50"/>
        <v>0</v>
      </c>
      <c r="I120" s="238">
        <f t="shared" si="50"/>
        <v>0</v>
      </c>
    </row>
    <row r="121" spans="2:14" ht="12.75" hidden="1" customHeight="1" outlineLevel="1" x14ac:dyDescent="0.2">
      <c r="B121" s="249">
        <v>5</v>
      </c>
      <c r="C121" s="3" t="s">
        <v>108</v>
      </c>
      <c r="D121" s="238">
        <f t="shared" ref="D121:I121" si="51">INDEX(RPBSScriptsChanged,$B112,D113)*(INDEX(DPMQCoPayChangedPub,$B112,$B121)/INDEX(CoPayCountChanged,$B112))</f>
        <v>0</v>
      </c>
      <c r="E121" s="238">
        <f t="shared" si="51"/>
        <v>0</v>
      </c>
      <c r="F121" s="238">
        <f t="shared" si="51"/>
        <v>0</v>
      </c>
      <c r="G121" s="238">
        <f t="shared" si="51"/>
        <v>0</v>
      </c>
      <c r="H121" s="238">
        <f t="shared" si="51"/>
        <v>0</v>
      </c>
      <c r="I121" s="238">
        <f t="shared" si="51"/>
        <v>0</v>
      </c>
    </row>
    <row r="122" spans="2:14" ht="12.75" hidden="1" customHeight="1" outlineLevel="1" x14ac:dyDescent="0.2">
      <c r="B122" s="121"/>
      <c r="C122" s="3" t="s">
        <v>86</v>
      </c>
      <c r="D122" s="238">
        <f t="shared" ref="D122:I122" si="52">D120+D121</f>
        <v>0</v>
      </c>
      <c r="E122" s="238">
        <f t="shared" si="52"/>
        <v>0</v>
      </c>
      <c r="F122" s="238">
        <f t="shared" si="52"/>
        <v>0</v>
      </c>
      <c r="G122" s="238">
        <f t="shared" si="52"/>
        <v>0</v>
      </c>
      <c r="H122" s="238">
        <f t="shared" si="52"/>
        <v>0</v>
      </c>
      <c r="I122" s="238">
        <f t="shared" si="52"/>
        <v>0</v>
      </c>
    </row>
    <row r="123" spans="2:14" ht="12.75" customHeight="1" collapsed="1" x14ac:dyDescent="0.2">
      <c r="B123" s="121"/>
      <c r="D123" s="457"/>
      <c r="E123" s="457"/>
      <c r="F123" s="31"/>
      <c r="G123" s="31"/>
      <c r="H123" s="31"/>
      <c r="I123" s="31"/>
      <c r="J123" s="31"/>
      <c r="K123" s="31"/>
      <c r="L123" s="31"/>
      <c r="M123" s="31"/>
      <c r="N123" s="31"/>
    </row>
    <row r="124" spans="2:14" ht="15" x14ac:dyDescent="0.2">
      <c r="B124" s="249">
        <v>9</v>
      </c>
      <c r="C124" s="129" t="str">
        <f>INDEX(PBSScriptsChanged,B124,1)</f>
        <v>** NOT USED **</v>
      </c>
      <c r="D124" s="123"/>
      <c r="E124" s="123"/>
      <c r="F124" s="123"/>
      <c r="G124" s="123"/>
      <c r="H124" s="123"/>
      <c r="I124" s="123"/>
      <c r="J124" s="116"/>
      <c r="K124" s="116"/>
      <c r="L124" s="588" t="str">
        <f>IF(AND(C124&lt;&gt;MsgNotUsed,C124&lt;&gt;MsgNotRequired),"Co-payment group " &amp; INDEX(DPMQCoPayChangedPub,B124,3),"")</f>
        <v/>
      </c>
      <c r="M124" s="588"/>
      <c r="N124" s="380"/>
    </row>
    <row r="125" spans="2:14" ht="12.75" hidden="1" customHeight="1" outlineLevel="1" x14ac:dyDescent="0.2">
      <c r="B125" s="209">
        <f>INDEX(SAChanged,B124,5)</f>
        <v>0</v>
      </c>
      <c r="C125" s="457"/>
      <c r="D125" s="319">
        <v>2</v>
      </c>
      <c r="E125" s="319">
        <v>3</v>
      </c>
      <c r="F125" s="319">
        <v>4</v>
      </c>
      <c r="G125" s="319">
        <v>5</v>
      </c>
      <c r="H125" s="319">
        <v>6</v>
      </c>
      <c r="I125" s="319">
        <v>7</v>
      </c>
      <c r="J125" s="31"/>
      <c r="K125" s="31"/>
      <c r="L125" s="31"/>
      <c r="M125" s="31"/>
      <c r="N125" s="31"/>
    </row>
    <row r="126" spans="2:14" ht="12.75" hidden="1" customHeight="1" outlineLevel="1" x14ac:dyDescent="0.2">
      <c r="B126" s="121"/>
      <c r="D126" s="74">
        <f>FirstYear</f>
        <v>2026</v>
      </c>
      <c r="E126" s="74">
        <f>D126+1</f>
        <v>2027</v>
      </c>
      <c r="F126" s="74">
        <f>E126+1</f>
        <v>2028</v>
      </c>
      <c r="G126" s="74">
        <f>F126+1</f>
        <v>2029</v>
      </c>
      <c r="H126" s="74">
        <f>G126+1</f>
        <v>2030</v>
      </c>
      <c r="I126" s="74">
        <f>H126+1</f>
        <v>2031</v>
      </c>
    </row>
    <row r="127" spans="2:14" ht="12.75" hidden="1" customHeight="1" outlineLevel="1" x14ac:dyDescent="0.2">
      <c r="B127" s="249">
        <v>1</v>
      </c>
      <c r="C127" s="76" t="s">
        <v>83</v>
      </c>
      <c r="D127" s="238">
        <f t="shared" ref="D127:I127" si="53">INDEX(PBSScriptsChanged,$B124,D125)*INDEX(DPMQCoPayChangedPub,$B124,$B127)</f>
        <v>0</v>
      </c>
      <c r="E127" s="238">
        <f t="shared" si="53"/>
        <v>0</v>
      </c>
      <c r="F127" s="238">
        <f t="shared" si="53"/>
        <v>0</v>
      </c>
      <c r="G127" s="238">
        <f t="shared" si="53"/>
        <v>0</v>
      </c>
      <c r="H127" s="238">
        <f t="shared" si="53"/>
        <v>0</v>
      </c>
      <c r="I127" s="238">
        <f t="shared" si="53"/>
        <v>0</v>
      </c>
    </row>
    <row r="128" spans="2:14" ht="12.75" hidden="1" customHeight="1" outlineLevel="1" x14ac:dyDescent="0.2">
      <c r="B128" s="249">
        <v>4</v>
      </c>
      <c r="C128" s="3" t="s">
        <v>108</v>
      </c>
      <c r="D128" s="238">
        <f t="shared" ref="D128:I128" si="54">INDEX(PBSScriptsChanged,$B124,D125)*(INDEX(DPMQCoPayChangedPub,$B124,$B128)/INDEX(CoPayCountChanged,$B124))</f>
        <v>0</v>
      </c>
      <c r="E128" s="238">
        <f t="shared" si="54"/>
        <v>0</v>
      </c>
      <c r="F128" s="238">
        <f t="shared" si="54"/>
        <v>0</v>
      </c>
      <c r="G128" s="238">
        <f t="shared" si="54"/>
        <v>0</v>
      </c>
      <c r="H128" s="238">
        <f t="shared" si="54"/>
        <v>0</v>
      </c>
      <c r="I128" s="238">
        <f t="shared" si="54"/>
        <v>0</v>
      </c>
      <c r="K128" s="579" t="str">
        <f>IF(B125&lt;&gt;0,MsgNote&amp;IF(B125="Yes",INDEX(CoPayMethod,1),INDEX(CoPayMethod,2)),"")</f>
        <v/>
      </c>
      <c r="L128" s="579"/>
      <c r="M128" s="579"/>
      <c r="N128" s="443"/>
    </row>
    <row r="129" spans="2:14" ht="12.75" hidden="1" customHeight="1" outlineLevel="1" x14ac:dyDescent="0.2">
      <c r="B129" s="121"/>
      <c r="C129" s="3" t="s">
        <v>85</v>
      </c>
      <c r="D129" s="238">
        <f t="shared" ref="D129:I129" si="55">D127+D128</f>
        <v>0</v>
      </c>
      <c r="E129" s="238">
        <f t="shared" si="55"/>
        <v>0</v>
      </c>
      <c r="F129" s="238">
        <f t="shared" si="55"/>
        <v>0</v>
      </c>
      <c r="G129" s="238">
        <f t="shared" si="55"/>
        <v>0</v>
      </c>
      <c r="H129" s="238">
        <f t="shared" si="55"/>
        <v>0</v>
      </c>
      <c r="I129" s="238">
        <f t="shared" si="55"/>
        <v>0</v>
      </c>
    </row>
    <row r="130" spans="2:14" ht="12.75" hidden="1" customHeight="1" outlineLevel="1" x14ac:dyDescent="0.2">
      <c r="B130" s="121"/>
    </row>
    <row r="131" spans="2:14" ht="15.75" hidden="1" customHeight="1" outlineLevel="1" x14ac:dyDescent="0.2">
      <c r="B131" s="121"/>
      <c r="D131" s="74">
        <f>FirstYear</f>
        <v>2026</v>
      </c>
      <c r="E131" s="74">
        <f>D131+1</f>
        <v>2027</v>
      </c>
      <c r="F131" s="74">
        <f>E131+1</f>
        <v>2028</v>
      </c>
      <c r="G131" s="74">
        <f>F131+1</f>
        <v>2029</v>
      </c>
      <c r="H131" s="74">
        <f>G131+1</f>
        <v>2030</v>
      </c>
      <c r="I131" s="74">
        <f>H131+1</f>
        <v>2031</v>
      </c>
    </row>
    <row r="132" spans="2:14" ht="12.75" hidden="1" customHeight="1" outlineLevel="1" x14ac:dyDescent="0.2">
      <c r="B132" s="249">
        <v>1</v>
      </c>
      <c r="C132" s="76" t="s">
        <v>84</v>
      </c>
      <c r="D132" s="238">
        <f t="shared" ref="D132:I132" si="56">INDEX(RPBSScriptsChanged,$B124,D125)*INDEX(DPMQCoPayChangedPub,$B124,$B132)</f>
        <v>0</v>
      </c>
      <c r="E132" s="238">
        <f t="shared" si="56"/>
        <v>0</v>
      </c>
      <c r="F132" s="238">
        <f t="shared" si="56"/>
        <v>0</v>
      </c>
      <c r="G132" s="238">
        <f t="shared" si="56"/>
        <v>0</v>
      </c>
      <c r="H132" s="238">
        <f t="shared" si="56"/>
        <v>0</v>
      </c>
      <c r="I132" s="238">
        <f t="shared" si="56"/>
        <v>0</v>
      </c>
    </row>
    <row r="133" spans="2:14" ht="12.75" hidden="1" customHeight="1" outlineLevel="1" x14ac:dyDescent="0.2">
      <c r="B133" s="249">
        <v>5</v>
      </c>
      <c r="C133" s="3" t="s">
        <v>108</v>
      </c>
      <c r="D133" s="238">
        <f t="shared" ref="D133:I133" si="57">INDEX(RPBSScriptsChanged,$B124,D125)*(INDEX(DPMQCoPayChangedPub,$B124,$B133)/INDEX(CoPayCountChanged,$B124))</f>
        <v>0</v>
      </c>
      <c r="E133" s="238">
        <f t="shared" si="57"/>
        <v>0</v>
      </c>
      <c r="F133" s="238">
        <f t="shared" si="57"/>
        <v>0</v>
      </c>
      <c r="G133" s="238">
        <f t="shared" si="57"/>
        <v>0</v>
      </c>
      <c r="H133" s="238">
        <f t="shared" si="57"/>
        <v>0</v>
      </c>
      <c r="I133" s="238">
        <f t="shared" si="57"/>
        <v>0</v>
      </c>
    </row>
    <row r="134" spans="2:14" ht="12.75" hidden="1" customHeight="1" outlineLevel="1" x14ac:dyDescent="0.2">
      <c r="B134" s="121"/>
      <c r="C134" s="3" t="s">
        <v>86</v>
      </c>
      <c r="D134" s="238">
        <f t="shared" ref="D134:I134" si="58">D132+D133</f>
        <v>0</v>
      </c>
      <c r="E134" s="238">
        <f t="shared" si="58"/>
        <v>0</v>
      </c>
      <c r="F134" s="238">
        <f t="shared" si="58"/>
        <v>0</v>
      </c>
      <c r="G134" s="238">
        <f t="shared" si="58"/>
        <v>0</v>
      </c>
      <c r="H134" s="238">
        <f t="shared" si="58"/>
        <v>0</v>
      </c>
      <c r="I134" s="238">
        <f t="shared" si="58"/>
        <v>0</v>
      </c>
    </row>
    <row r="135" spans="2:14" ht="12.75" customHeight="1" collapsed="1" x14ac:dyDescent="0.2">
      <c r="B135" s="121"/>
      <c r="D135" s="457"/>
      <c r="E135" s="457"/>
      <c r="F135" s="31"/>
      <c r="G135" s="31"/>
      <c r="H135" s="31"/>
      <c r="I135" s="31"/>
      <c r="J135" s="31"/>
      <c r="K135" s="31"/>
      <c r="L135" s="31"/>
      <c r="M135" s="31"/>
      <c r="N135" s="31"/>
    </row>
    <row r="136" spans="2:14" ht="15" x14ac:dyDescent="0.2">
      <c r="B136" s="249">
        <v>10</v>
      </c>
      <c r="C136" s="129" t="str">
        <f>INDEX(PBSScriptsChanged,B136,1)</f>
        <v>** NOT USED **</v>
      </c>
      <c r="D136" s="123"/>
      <c r="E136" s="123"/>
      <c r="F136" s="123"/>
      <c r="G136" s="123"/>
      <c r="H136" s="123"/>
      <c r="I136" s="123"/>
      <c r="J136" s="116"/>
      <c r="K136" s="116"/>
      <c r="L136" s="588" t="str">
        <f>IF(AND(C136&lt;&gt;MsgNotUsed,C136&lt;&gt;MsgNotRequired),"Co-payment group " &amp; INDEX(DPMQCoPayChangedPub,B136,3),"")</f>
        <v/>
      </c>
      <c r="M136" s="588"/>
      <c r="N136" s="380"/>
    </row>
    <row r="137" spans="2:14" ht="12.75" hidden="1" customHeight="1" outlineLevel="1" x14ac:dyDescent="0.2">
      <c r="B137" s="209">
        <f>INDEX(SAChanged,B136,5)</f>
        <v>0</v>
      </c>
      <c r="C137" s="457"/>
      <c r="D137" s="319">
        <v>2</v>
      </c>
      <c r="E137" s="319">
        <v>3</v>
      </c>
      <c r="F137" s="319">
        <v>4</v>
      </c>
      <c r="G137" s="319">
        <v>5</v>
      </c>
      <c r="H137" s="319">
        <v>6</v>
      </c>
      <c r="I137" s="319">
        <v>7</v>
      </c>
      <c r="J137" s="31"/>
      <c r="K137" s="31"/>
      <c r="L137" s="31"/>
      <c r="M137" s="31"/>
      <c r="N137" s="31"/>
    </row>
    <row r="138" spans="2:14" ht="12.75" hidden="1" customHeight="1" outlineLevel="1" x14ac:dyDescent="0.2">
      <c r="B138" s="121"/>
      <c r="D138" s="74">
        <f>FirstYear</f>
        <v>2026</v>
      </c>
      <c r="E138" s="74">
        <f>D138+1</f>
        <v>2027</v>
      </c>
      <c r="F138" s="74">
        <f>E138+1</f>
        <v>2028</v>
      </c>
      <c r="G138" s="74">
        <f>F138+1</f>
        <v>2029</v>
      </c>
      <c r="H138" s="74">
        <f>G138+1</f>
        <v>2030</v>
      </c>
      <c r="I138" s="74">
        <f>H138+1</f>
        <v>2031</v>
      </c>
    </row>
    <row r="139" spans="2:14" ht="12.75" hidden="1" customHeight="1" outlineLevel="1" x14ac:dyDescent="0.2">
      <c r="B139" s="249">
        <v>1</v>
      </c>
      <c r="C139" s="76" t="s">
        <v>83</v>
      </c>
      <c r="D139" s="238">
        <f t="shared" ref="D139:I139" si="59">INDEX(PBSScriptsChanged,$B136,D137)*INDEX(DPMQCoPayChangedPub,$B136,$B139)</f>
        <v>0</v>
      </c>
      <c r="E139" s="238">
        <f t="shared" si="59"/>
        <v>0</v>
      </c>
      <c r="F139" s="238">
        <f t="shared" si="59"/>
        <v>0</v>
      </c>
      <c r="G139" s="238">
        <f t="shared" si="59"/>
        <v>0</v>
      </c>
      <c r="H139" s="238">
        <f t="shared" si="59"/>
        <v>0</v>
      </c>
      <c r="I139" s="238">
        <f t="shared" si="59"/>
        <v>0</v>
      </c>
    </row>
    <row r="140" spans="2:14" ht="12.75" hidden="1" customHeight="1" outlineLevel="1" x14ac:dyDescent="0.2">
      <c r="B140" s="249">
        <v>4</v>
      </c>
      <c r="C140" s="3" t="s">
        <v>108</v>
      </c>
      <c r="D140" s="238">
        <f t="shared" ref="D140:I140" si="60">INDEX(PBSScriptsChanged,$B136,D137)*(INDEX(DPMQCoPayChangedPub,$B136,$B140)/INDEX(CoPayCountChanged,$B136))</f>
        <v>0</v>
      </c>
      <c r="E140" s="238">
        <f t="shared" si="60"/>
        <v>0</v>
      </c>
      <c r="F140" s="238">
        <f t="shared" si="60"/>
        <v>0</v>
      </c>
      <c r="G140" s="238">
        <f t="shared" si="60"/>
        <v>0</v>
      </c>
      <c r="H140" s="238">
        <f t="shared" si="60"/>
        <v>0</v>
      </c>
      <c r="I140" s="238">
        <f t="shared" si="60"/>
        <v>0</v>
      </c>
      <c r="K140" s="579" t="str">
        <f>IF(B137&lt;&gt;0,MsgNote&amp;IF(B137="Yes",INDEX(CoPayMethod,1),INDEX(CoPayMethod,2)),"")</f>
        <v/>
      </c>
      <c r="L140" s="579"/>
      <c r="M140" s="579"/>
      <c r="N140" s="443"/>
    </row>
    <row r="141" spans="2:14" ht="12.75" hidden="1" customHeight="1" outlineLevel="1" x14ac:dyDescent="0.2">
      <c r="B141" s="121"/>
      <c r="C141" s="3" t="s">
        <v>85</v>
      </c>
      <c r="D141" s="238">
        <f t="shared" ref="D141:I141" si="61">D139+D140</f>
        <v>0</v>
      </c>
      <c r="E141" s="238">
        <f t="shared" si="61"/>
        <v>0</v>
      </c>
      <c r="F141" s="238">
        <f t="shared" si="61"/>
        <v>0</v>
      </c>
      <c r="G141" s="238">
        <f t="shared" si="61"/>
        <v>0</v>
      </c>
      <c r="H141" s="238">
        <f t="shared" si="61"/>
        <v>0</v>
      </c>
      <c r="I141" s="238">
        <f t="shared" si="61"/>
        <v>0</v>
      </c>
    </row>
    <row r="142" spans="2:14" ht="12.75" hidden="1" customHeight="1" outlineLevel="1" x14ac:dyDescent="0.2">
      <c r="B142" s="121"/>
    </row>
    <row r="143" spans="2:14" ht="15.75" hidden="1" customHeight="1" outlineLevel="1" x14ac:dyDescent="0.2">
      <c r="B143" s="121"/>
      <c r="D143" s="74">
        <f>FirstYear</f>
        <v>2026</v>
      </c>
      <c r="E143" s="74">
        <f>D143+1</f>
        <v>2027</v>
      </c>
      <c r="F143" s="74">
        <f>E143+1</f>
        <v>2028</v>
      </c>
      <c r="G143" s="74">
        <f>F143+1</f>
        <v>2029</v>
      </c>
      <c r="H143" s="74">
        <f>G143+1</f>
        <v>2030</v>
      </c>
      <c r="I143" s="74">
        <f>H143+1</f>
        <v>2031</v>
      </c>
    </row>
    <row r="144" spans="2:14" ht="12.75" hidden="1" customHeight="1" outlineLevel="1" x14ac:dyDescent="0.2">
      <c r="B144" s="249">
        <v>1</v>
      </c>
      <c r="C144" s="76" t="s">
        <v>84</v>
      </c>
      <c r="D144" s="238">
        <f t="shared" ref="D144:I144" si="62">INDEX(RPBSScriptsChanged,$B136,D137)*INDEX(DPMQCoPayChangedPub,$B136,$B144)</f>
        <v>0</v>
      </c>
      <c r="E144" s="238">
        <f t="shared" si="62"/>
        <v>0</v>
      </c>
      <c r="F144" s="238">
        <f t="shared" si="62"/>
        <v>0</v>
      </c>
      <c r="G144" s="238">
        <f t="shared" si="62"/>
        <v>0</v>
      </c>
      <c r="H144" s="238">
        <f t="shared" si="62"/>
        <v>0</v>
      </c>
      <c r="I144" s="238">
        <f t="shared" si="62"/>
        <v>0</v>
      </c>
    </row>
    <row r="145" spans="2:14" ht="12.75" hidden="1" customHeight="1" outlineLevel="1" x14ac:dyDescent="0.2">
      <c r="B145" s="249">
        <v>5</v>
      </c>
      <c r="C145" s="3" t="s">
        <v>108</v>
      </c>
      <c r="D145" s="238">
        <f t="shared" ref="D145:I145" si="63">INDEX(RPBSScriptsChanged,$B136,D137)*(INDEX(DPMQCoPayChangedPub,$B136,$B145)/INDEX(CoPayCountChanged,$B136))</f>
        <v>0</v>
      </c>
      <c r="E145" s="238">
        <f t="shared" si="63"/>
        <v>0</v>
      </c>
      <c r="F145" s="238">
        <f t="shared" si="63"/>
        <v>0</v>
      </c>
      <c r="G145" s="238">
        <f t="shared" si="63"/>
        <v>0</v>
      </c>
      <c r="H145" s="238">
        <f t="shared" si="63"/>
        <v>0</v>
      </c>
      <c r="I145" s="238">
        <f t="shared" si="63"/>
        <v>0</v>
      </c>
    </row>
    <row r="146" spans="2:14" ht="12.75" hidden="1" customHeight="1" outlineLevel="1" x14ac:dyDescent="0.2">
      <c r="B146" s="121"/>
      <c r="C146" s="3" t="s">
        <v>86</v>
      </c>
      <c r="D146" s="238">
        <f t="shared" ref="D146:I146" si="64">D144+D145</f>
        <v>0</v>
      </c>
      <c r="E146" s="238">
        <f t="shared" si="64"/>
        <v>0</v>
      </c>
      <c r="F146" s="238">
        <f t="shared" si="64"/>
        <v>0</v>
      </c>
      <c r="G146" s="238">
        <f t="shared" si="64"/>
        <v>0</v>
      </c>
      <c r="H146" s="238">
        <f t="shared" si="64"/>
        <v>0</v>
      </c>
      <c r="I146" s="238">
        <f t="shared" si="64"/>
        <v>0</v>
      </c>
    </row>
    <row r="147" spans="2:14" ht="12.75" customHeight="1" collapsed="1" x14ac:dyDescent="0.2">
      <c r="B147" s="121"/>
      <c r="D147" s="457"/>
      <c r="E147" s="457"/>
      <c r="F147" s="31"/>
      <c r="G147" s="31"/>
      <c r="H147" s="31"/>
      <c r="I147" s="31"/>
      <c r="J147" s="31"/>
      <c r="K147" s="31"/>
      <c r="L147" s="31"/>
      <c r="M147" s="31"/>
      <c r="N147" s="31"/>
    </row>
    <row r="148" spans="2:14" ht="15" x14ac:dyDescent="0.2">
      <c r="B148" s="249">
        <v>11</v>
      </c>
      <c r="C148" s="129" t="str">
        <f>INDEX(PBSScriptsChanged,B148,1)</f>
        <v>** NOT USED **</v>
      </c>
      <c r="D148" s="123"/>
      <c r="E148" s="123"/>
      <c r="F148" s="123"/>
      <c r="G148" s="123"/>
      <c r="H148" s="123"/>
      <c r="I148" s="123"/>
      <c r="J148" s="116"/>
      <c r="K148" s="116"/>
      <c r="L148" s="588" t="str">
        <f>IF(AND(C148&lt;&gt;MsgNotUsed,C148&lt;&gt;MsgNotRequired),"Co-payment group " &amp; INDEX(DPMQCoPayChangedPub,B148,3),"")</f>
        <v/>
      </c>
      <c r="M148" s="588"/>
      <c r="N148" s="380"/>
    </row>
    <row r="149" spans="2:14" ht="12.75" hidden="1" customHeight="1" outlineLevel="1" x14ac:dyDescent="0.2">
      <c r="B149" s="209">
        <f>INDEX(SAChanged,B148,5)</f>
        <v>0</v>
      </c>
      <c r="C149" s="457"/>
      <c r="D149" s="319">
        <v>2</v>
      </c>
      <c r="E149" s="319">
        <v>3</v>
      </c>
      <c r="F149" s="319">
        <v>4</v>
      </c>
      <c r="G149" s="319">
        <v>5</v>
      </c>
      <c r="H149" s="319">
        <v>6</v>
      </c>
      <c r="I149" s="319">
        <v>7</v>
      </c>
      <c r="J149" s="31"/>
      <c r="K149" s="31"/>
      <c r="L149" s="31"/>
      <c r="M149" s="31"/>
      <c r="N149" s="31"/>
    </row>
    <row r="150" spans="2:14" ht="12.75" hidden="1" customHeight="1" outlineLevel="1" x14ac:dyDescent="0.2">
      <c r="B150" s="121"/>
      <c r="D150" s="74">
        <f>FirstYear</f>
        <v>2026</v>
      </c>
      <c r="E150" s="74">
        <f>D150+1</f>
        <v>2027</v>
      </c>
      <c r="F150" s="74">
        <f>E150+1</f>
        <v>2028</v>
      </c>
      <c r="G150" s="74">
        <f>F150+1</f>
        <v>2029</v>
      </c>
      <c r="H150" s="74">
        <f>G150+1</f>
        <v>2030</v>
      </c>
      <c r="I150" s="74">
        <f>H150+1</f>
        <v>2031</v>
      </c>
    </row>
    <row r="151" spans="2:14" ht="12.75" hidden="1" customHeight="1" outlineLevel="1" x14ac:dyDescent="0.2">
      <c r="B151" s="249">
        <v>1</v>
      </c>
      <c r="C151" s="76" t="s">
        <v>83</v>
      </c>
      <c r="D151" s="238">
        <f t="shared" ref="D151:I151" si="65">INDEX(PBSScriptsChanged,$B148,D149)*INDEX(DPMQCoPayChangedPub,$B148,$B151)</f>
        <v>0</v>
      </c>
      <c r="E151" s="238">
        <f t="shared" si="65"/>
        <v>0</v>
      </c>
      <c r="F151" s="238">
        <f t="shared" si="65"/>
        <v>0</v>
      </c>
      <c r="G151" s="238">
        <f t="shared" si="65"/>
        <v>0</v>
      </c>
      <c r="H151" s="238">
        <f t="shared" si="65"/>
        <v>0</v>
      </c>
      <c r="I151" s="238">
        <f t="shared" si="65"/>
        <v>0</v>
      </c>
    </row>
    <row r="152" spans="2:14" ht="12.75" hidden="1" customHeight="1" outlineLevel="1" x14ac:dyDescent="0.2">
      <c r="B152" s="249">
        <v>4</v>
      </c>
      <c r="C152" s="3" t="s">
        <v>108</v>
      </c>
      <c r="D152" s="238">
        <f t="shared" ref="D152:I152" si="66">INDEX(PBSScriptsChanged,$B148,D149)*(INDEX(DPMQCoPayChangedPub,$B148,$B152)/INDEX(CoPayCountChanged,$B148))</f>
        <v>0</v>
      </c>
      <c r="E152" s="238">
        <f t="shared" si="66"/>
        <v>0</v>
      </c>
      <c r="F152" s="238">
        <f t="shared" si="66"/>
        <v>0</v>
      </c>
      <c r="G152" s="238">
        <f t="shared" si="66"/>
        <v>0</v>
      </c>
      <c r="H152" s="238">
        <f t="shared" si="66"/>
        <v>0</v>
      </c>
      <c r="I152" s="238">
        <f t="shared" si="66"/>
        <v>0</v>
      </c>
      <c r="K152" s="579" t="str">
        <f>IF(B149&lt;&gt;0,MsgNote&amp;IF(B149="Yes",INDEX(CoPayMethod,1),INDEX(CoPayMethod,2)),"")</f>
        <v/>
      </c>
      <c r="L152" s="579"/>
      <c r="M152" s="579"/>
      <c r="N152" s="443"/>
    </row>
    <row r="153" spans="2:14" ht="12.75" hidden="1" customHeight="1" outlineLevel="1" x14ac:dyDescent="0.2">
      <c r="B153" s="121"/>
      <c r="C153" s="3" t="s">
        <v>85</v>
      </c>
      <c r="D153" s="238">
        <f t="shared" ref="D153:I153" si="67">D151+D152</f>
        <v>0</v>
      </c>
      <c r="E153" s="238">
        <f t="shared" si="67"/>
        <v>0</v>
      </c>
      <c r="F153" s="238">
        <f t="shared" si="67"/>
        <v>0</v>
      </c>
      <c r="G153" s="238">
        <f t="shared" si="67"/>
        <v>0</v>
      </c>
      <c r="H153" s="238">
        <f t="shared" si="67"/>
        <v>0</v>
      </c>
      <c r="I153" s="238">
        <f t="shared" si="67"/>
        <v>0</v>
      </c>
    </row>
    <row r="154" spans="2:14" ht="12.75" hidden="1" customHeight="1" outlineLevel="1" x14ac:dyDescent="0.2">
      <c r="B154" s="121"/>
    </row>
    <row r="155" spans="2:14" ht="15.75" hidden="1" customHeight="1" outlineLevel="1" x14ac:dyDescent="0.2">
      <c r="B155" s="121"/>
      <c r="D155" s="74">
        <f>FirstYear</f>
        <v>2026</v>
      </c>
      <c r="E155" s="74">
        <f>D155+1</f>
        <v>2027</v>
      </c>
      <c r="F155" s="74">
        <f>E155+1</f>
        <v>2028</v>
      </c>
      <c r="G155" s="74">
        <f>F155+1</f>
        <v>2029</v>
      </c>
      <c r="H155" s="74">
        <f>G155+1</f>
        <v>2030</v>
      </c>
      <c r="I155" s="74">
        <f>H155+1</f>
        <v>2031</v>
      </c>
    </row>
    <row r="156" spans="2:14" ht="12.75" hidden="1" customHeight="1" outlineLevel="1" x14ac:dyDescent="0.2">
      <c r="B156" s="249">
        <v>1</v>
      </c>
      <c r="C156" s="76" t="s">
        <v>84</v>
      </c>
      <c r="D156" s="238">
        <f t="shared" ref="D156:I156" si="68">INDEX(RPBSScriptsChanged,$B148,D149)*INDEX(DPMQCoPayChangedPub,$B148,$B156)</f>
        <v>0</v>
      </c>
      <c r="E156" s="238">
        <f t="shared" si="68"/>
        <v>0</v>
      </c>
      <c r="F156" s="238">
        <f t="shared" si="68"/>
        <v>0</v>
      </c>
      <c r="G156" s="238">
        <f t="shared" si="68"/>
        <v>0</v>
      </c>
      <c r="H156" s="238">
        <f t="shared" si="68"/>
        <v>0</v>
      </c>
      <c r="I156" s="238">
        <f t="shared" si="68"/>
        <v>0</v>
      </c>
    </row>
    <row r="157" spans="2:14" ht="12.75" hidden="1" customHeight="1" outlineLevel="1" x14ac:dyDescent="0.2">
      <c r="B157" s="249">
        <v>5</v>
      </c>
      <c r="C157" s="3" t="s">
        <v>108</v>
      </c>
      <c r="D157" s="238">
        <f t="shared" ref="D157:I157" si="69">INDEX(RPBSScriptsChanged,$B148,D149)*(INDEX(DPMQCoPayChangedPub,$B148,$B157)/INDEX(CoPayCountChanged,$B148))</f>
        <v>0</v>
      </c>
      <c r="E157" s="238">
        <f t="shared" si="69"/>
        <v>0</v>
      </c>
      <c r="F157" s="238">
        <f t="shared" si="69"/>
        <v>0</v>
      </c>
      <c r="G157" s="238">
        <f t="shared" si="69"/>
        <v>0</v>
      </c>
      <c r="H157" s="238">
        <f t="shared" si="69"/>
        <v>0</v>
      </c>
      <c r="I157" s="238">
        <f t="shared" si="69"/>
        <v>0</v>
      </c>
    </row>
    <row r="158" spans="2:14" ht="12.75" hidden="1" customHeight="1" outlineLevel="1" x14ac:dyDescent="0.2">
      <c r="B158" s="121"/>
      <c r="C158" s="3" t="s">
        <v>86</v>
      </c>
      <c r="D158" s="238">
        <f t="shared" ref="D158:I158" si="70">D156+D157</f>
        <v>0</v>
      </c>
      <c r="E158" s="238">
        <f t="shared" si="70"/>
        <v>0</v>
      </c>
      <c r="F158" s="238">
        <f t="shared" si="70"/>
        <v>0</v>
      </c>
      <c r="G158" s="238">
        <f t="shared" si="70"/>
        <v>0</v>
      </c>
      <c r="H158" s="238">
        <f t="shared" si="70"/>
        <v>0</v>
      </c>
      <c r="I158" s="238">
        <f t="shared" si="70"/>
        <v>0</v>
      </c>
    </row>
    <row r="159" spans="2:14" ht="12.75" customHeight="1" collapsed="1" x14ac:dyDescent="0.2">
      <c r="B159" s="121"/>
      <c r="D159" s="457"/>
      <c r="E159" s="457"/>
      <c r="F159" s="31"/>
      <c r="G159" s="31"/>
      <c r="H159" s="31"/>
      <c r="I159" s="31"/>
      <c r="J159" s="31"/>
      <c r="K159" s="31"/>
      <c r="L159" s="31"/>
      <c r="M159" s="31"/>
      <c r="N159" s="31"/>
    </row>
    <row r="160" spans="2:14" ht="15" x14ac:dyDescent="0.2">
      <c r="B160" s="249">
        <v>12</v>
      </c>
      <c r="C160" s="129" t="str">
        <f>INDEX(PBSScriptsChanged,B160,1)</f>
        <v>** NOT USED **</v>
      </c>
      <c r="D160" s="123"/>
      <c r="E160" s="123"/>
      <c r="F160" s="123"/>
      <c r="G160" s="123"/>
      <c r="H160" s="123"/>
      <c r="I160" s="123"/>
      <c r="J160" s="116"/>
      <c r="K160" s="116"/>
      <c r="L160" s="588" t="str">
        <f>IF(AND(C160&lt;&gt;MsgNotUsed,C160&lt;&gt;MsgNotRequired),"Co-payment group " &amp; INDEX(DPMQCoPayChangedPub,B160,3),"")</f>
        <v/>
      </c>
      <c r="M160" s="588"/>
      <c r="N160" s="380"/>
    </row>
    <row r="161" spans="2:14" ht="12.75" hidden="1" customHeight="1" outlineLevel="1" x14ac:dyDescent="0.2">
      <c r="B161" s="209">
        <f>INDEX(SAChanged,B160,5)</f>
        <v>0</v>
      </c>
      <c r="C161" s="457"/>
      <c r="D161" s="319">
        <v>2</v>
      </c>
      <c r="E161" s="319">
        <v>3</v>
      </c>
      <c r="F161" s="319">
        <v>4</v>
      </c>
      <c r="G161" s="319">
        <v>5</v>
      </c>
      <c r="H161" s="319">
        <v>6</v>
      </c>
      <c r="I161" s="319">
        <v>7</v>
      </c>
      <c r="J161" s="31"/>
      <c r="K161" s="31"/>
      <c r="L161" s="31"/>
      <c r="M161" s="31"/>
      <c r="N161" s="31"/>
    </row>
    <row r="162" spans="2:14" ht="12.75" hidden="1" customHeight="1" outlineLevel="1" x14ac:dyDescent="0.2">
      <c r="B162" s="121"/>
      <c r="D162" s="74">
        <f>FirstYear</f>
        <v>2026</v>
      </c>
      <c r="E162" s="74">
        <f>D162+1</f>
        <v>2027</v>
      </c>
      <c r="F162" s="74">
        <f>E162+1</f>
        <v>2028</v>
      </c>
      <c r="G162" s="74">
        <f>F162+1</f>
        <v>2029</v>
      </c>
      <c r="H162" s="74">
        <f>G162+1</f>
        <v>2030</v>
      </c>
      <c r="I162" s="74">
        <f>H162+1</f>
        <v>2031</v>
      </c>
    </row>
    <row r="163" spans="2:14" ht="12.75" hidden="1" customHeight="1" outlineLevel="1" x14ac:dyDescent="0.2">
      <c r="B163" s="249">
        <v>1</v>
      </c>
      <c r="C163" s="76" t="s">
        <v>83</v>
      </c>
      <c r="D163" s="238">
        <f t="shared" ref="D163:I163" si="71">INDEX(PBSScriptsChanged,$B160,D161)*INDEX(DPMQCoPayChangedPub,$B160,$B163)</f>
        <v>0</v>
      </c>
      <c r="E163" s="238">
        <f t="shared" si="71"/>
        <v>0</v>
      </c>
      <c r="F163" s="238">
        <f t="shared" si="71"/>
        <v>0</v>
      </c>
      <c r="G163" s="238">
        <f t="shared" si="71"/>
        <v>0</v>
      </c>
      <c r="H163" s="238">
        <f t="shared" si="71"/>
        <v>0</v>
      </c>
      <c r="I163" s="238">
        <f t="shared" si="71"/>
        <v>0</v>
      </c>
    </row>
    <row r="164" spans="2:14" ht="12.75" hidden="1" customHeight="1" outlineLevel="1" x14ac:dyDescent="0.2">
      <c r="B164" s="249">
        <v>4</v>
      </c>
      <c r="C164" s="3" t="s">
        <v>108</v>
      </c>
      <c r="D164" s="238">
        <f t="shared" ref="D164:I164" si="72">INDEX(PBSScriptsChanged,$B160,D161)*(INDEX(DPMQCoPayChangedPub,$B160,$B164)/INDEX(CoPayCountChanged,$B160))</f>
        <v>0</v>
      </c>
      <c r="E164" s="238">
        <f t="shared" si="72"/>
        <v>0</v>
      </c>
      <c r="F164" s="238">
        <f t="shared" si="72"/>
        <v>0</v>
      </c>
      <c r="G164" s="238">
        <f t="shared" si="72"/>
        <v>0</v>
      </c>
      <c r="H164" s="238">
        <f t="shared" si="72"/>
        <v>0</v>
      </c>
      <c r="I164" s="238">
        <f t="shared" si="72"/>
        <v>0</v>
      </c>
      <c r="K164" s="579" t="str">
        <f>IF(B161&lt;&gt;0,MsgNote&amp;IF(B161="Yes",INDEX(CoPayMethod,1),INDEX(CoPayMethod,2)),"")</f>
        <v/>
      </c>
      <c r="L164" s="579"/>
      <c r="M164" s="579"/>
      <c r="N164" s="443"/>
    </row>
    <row r="165" spans="2:14" ht="12.75" hidden="1" customHeight="1" outlineLevel="1" x14ac:dyDescent="0.2">
      <c r="B165" s="121"/>
      <c r="C165" s="3" t="s">
        <v>85</v>
      </c>
      <c r="D165" s="238">
        <f t="shared" ref="D165:I165" si="73">D163+D164</f>
        <v>0</v>
      </c>
      <c r="E165" s="238">
        <f t="shared" si="73"/>
        <v>0</v>
      </c>
      <c r="F165" s="238">
        <f t="shared" si="73"/>
        <v>0</v>
      </c>
      <c r="G165" s="238">
        <f t="shared" si="73"/>
        <v>0</v>
      </c>
      <c r="H165" s="238">
        <f t="shared" si="73"/>
        <v>0</v>
      </c>
      <c r="I165" s="238">
        <f t="shared" si="73"/>
        <v>0</v>
      </c>
    </row>
    <row r="166" spans="2:14" ht="12.75" hidden="1" customHeight="1" outlineLevel="1" x14ac:dyDescent="0.2">
      <c r="B166" s="121"/>
    </row>
    <row r="167" spans="2:14" ht="15.75" hidden="1" customHeight="1" outlineLevel="1" x14ac:dyDescent="0.2">
      <c r="B167" s="121"/>
      <c r="D167" s="74">
        <f>FirstYear</f>
        <v>2026</v>
      </c>
      <c r="E167" s="74">
        <f>D167+1</f>
        <v>2027</v>
      </c>
      <c r="F167" s="74">
        <f>E167+1</f>
        <v>2028</v>
      </c>
      <c r="G167" s="74">
        <f>F167+1</f>
        <v>2029</v>
      </c>
      <c r="H167" s="74">
        <f>G167+1</f>
        <v>2030</v>
      </c>
      <c r="I167" s="74">
        <f>H167+1</f>
        <v>2031</v>
      </c>
    </row>
    <row r="168" spans="2:14" ht="12.75" hidden="1" customHeight="1" outlineLevel="1" x14ac:dyDescent="0.2">
      <c r="B168" s="249">
        <v>1</v>
      </c>
      <c r="C168" s="76" t="s">
        <v>84</v>
      </c>
      <c r="D168" s="238">
        <f t="shared" ref="D168:I168" si="74">INDEX(RPBSScriptsChanged,$B160,D161)*INDEX(DPMQCoPayChangedPub,$B160,$B168)</f>
        <v>0</v>
      </c>
      <c r="E168" s="238">
        <f t="shared" si="74"/>
        <v>0</v>
      </c>
      <c r="F168" s="238">
        <f t="shared" si="74"/>
        <v>0</v>
      </c>
      <c r="G168" s="238">
        <f t="shared" si="74"/>
        <v>0</v>
      </c>
      <c r="H168" s="238">
        <f t="shared" si="74"/>
        <v>0</v>
      </c>
      <c r="I168" s="238">
        <f t="shared" si="74"/>
        <v>0</v>
      </c>
    </row>
    <row r="169" spans="2:14" ht="12.75" hidden="1" customHeight="1" outlineLevel="1" x14ac:dyDescent="0.2">
      <c r="B169" s="249">
        <v>5</v>
      </c>
      <c r="C169" s="3" t="s">
        <v>108</v>
      </c>
      <c r="D169" s="238">
        <f t="shared" ref="D169:I169" si="75">INDEX(RPBSScriptsChanged,$B160,D161)*(INDEX(DPMQCoPayChangedPub,$B160,$B169)/INDEX(CoPayCountChanged,$B160))</f>
        <v>0</v>
      </c>
      <c r="E169" s="238">
        <f t="shared" si="75"/>
        <v>0</v>
      </c>
      <c r="F169" s="238">
        <f t="shared" si="75"/>
        <v>0</v>
      </c>
      <c r="G169" s="238">
        <f t="shared" si="75"/>
        <v>0</v>
      </c>
      <c r="H169" s="238">
        <f t="shared" si="75"/>
        <v>0</v>
      </c>
      <c r="I169" s="238">
        <f t="shared" si="75"/>
        <v>0</v>
      </c>
    </row>
    <row r="170" spans="2:14" ht="12.75" hidden="1" customHeight="1" outlineLevel="1" x14ac:dyDescent="0.2">
      <c r="B170" s="121"/>
      <c r="C170" s="3" t="s">
        <v>86</v>
      </c>
      <c r="D170" s="238">
        <f t="shared" ref="D170:I170" si="76">D168+D169</f>
        <v>0</v>
      </c>
      <c r="E170" s="238">
        <f t="shared" si="76"/>
        <v>0</v>
      </c>
      <c r="F170" s="238">
        <f t="shared" si="76"/>
        <v>0</v>
      </c>
      <c r="G170" s="238">
        <f t="shared" si="76"/>
        <v>0</v>
      </c>
      <c r="H170" s="238">
        <f t="shared" si="76"/>
        <v>0</v>
      </c>
      <c r="I170" s="238">
        <f t="shared" si="76"/>
        <v>0</v>
      </c>
    </row>
    <row r="171" spans="2:14" ht="12.75" customHeight="1" collapsed="1" x14ac:dyDescent="0.2">
      <c r="B171" s="121"/>
      <c r="D171" s="457"/>
      <c r="E171" s="457"/>
      <c r="F171" s="31"/>
      <c r="G171" s="31"/>
      <c r="H171" s="31"/>
      <c r="I171" s="31"/>
      <c r="J171" s="31"/>
      <c r="K171" s="31"/>
      <c r="L171" s="31"/>
      <c r="M171" s="31"/>
      <c r="N171" s="31"/>
    </row>
    <row r="172" spans="2:14" ht="15" x14ac:dyDescent="0.2">
      <c r="B172" s="249">
        <v>13</v>
      </c>
      <c r="C172" s="129" t="str">
        <f>INDEX(PBSScriptsChanged,B172,1)</f>
        <v>** NOT USED **</v>
      </c>
      <c r="D172" s="123"/>
      <c r="E172" s="123"/>
      <c r="F172" s="123"/>
      <c r="G172" s="123"/>
      <c r="H172" s="123"/>
      <c r="I172" s="123"/>
      <c r="J172" s="116"/>
      <c r="K172" s="116"/>
      <c r="L172" s="588" t="str">
        <f>IF(AND(C172&lt;&gt;MsgNotUsed,C172&lt;&gt;MsgNotRequired),"Co-payment group " &amp; INDEX(DPMQCoPayChangedPub,B172,3),"")</f>
        <v/>
      </c>
      <c r="M172" s="588"/>
      <c r="N172" s="380"/>
    </row>
    <row r="173" spans="2:14" ht="12.75" hidden="1" customHeight="1" outlineLevel="1" x14ac:dyDescent="0.2">
      <c r="B173" s="209">
        <f>INDEX(SAChanged,B172,5)</f>
        <v>0</v>
      </c>
      <c r="C173" s="457"/>
      <c r="D173" s="319">
        <v>2</v>
      </c>
      <c r="E173" s="319">
        <v>3</v>
      </c>
      <c r="F173" s="319">
        <v>4</v>
      </c>
      <c r="G173" s="319">
        <v>5</v>
      </c>
      <c r="H173" s="319">
        <v>6</v>
      </c>
      <c r="I173" s="319">
        <v>7</v>
      </c>
      <c r="J173" s="31"/>
      <c r="K173" s="31"/>
      <c r="L173" s="31"/>
      <c r="M173" s="31"/>
      <c r="N173" s="31"/>
    </row>
    <row r="174" spans="2:14" ht="12.75" hidden="1" customHeight="1" outlineLevel="1" x14ac:dyDescent="0.2">
      <c r="B174" s="121"/>
      <c r="D174" s="74">
        <f>FirstYear</f>
        <v>2026</v>
      </c>
      <c r="E174" s="74">
        <f>D174+1</f>
        <v>2027</v>
      </c>
      <c r="F174" s="74">
        <f>E174+1</f>
        <v>2028</v>
      </c>
      <c r="G174" s="74">
        <f>F174+1</f>
        <v>2029</v>
      </c>
      <c r="H174" s="74">
        <f>G174+1</f>
        <v>2030</v>
      </c>
      <c r="I174" s="74">
        <f>H174+1</f>
        <v>2031</v>
      </c>
    </row>
    <row r="175" spans="2:14" ht="12.75" hidden="1" customHeight="1" outlineLevel="1" x14ac:dyDescent="0.2">
      <c r="B175" s="249">
        <v>1</v>
      </c>
      <c r="C175" s="76" t="s">
        <v>83</v>
      </c>
      <c r="D175" s="238">
        <f t="shared" ref="D175:I175" si="77">INDEX(PBSScriptsChanged,$B172,D173)*INDEX(DPMQCoPayChangedPub,$B172,$B175)</f>
        <v>0</v>
      </c>
      <c r="E175" s="238">
        <f t="shared" si="77"/>
        <v>0</v>
      </c>
      <c r="F175" s="238">
        <f t="shared" si="77"/>
        <v>0</v>
      </c>
      <c r="G175" s="238">
        <f t="shared" si="77"/>
        <v>0</v>
      </c>
      <c r="H175" s="238">
        <f t="shared" si="77"/>
        <v>0</v>
      </c>
      <c r="I175" s="238">
        <f t="shared" si="77"/>
        <v>0</v>
      </c>
    </row>
    <row r="176" spans="2:14" ht="12.75" hidden="1" customHeight="1" outlineLevel="1" x14ac:dyDescent="0.2">
      <c r="B176" s="249">
        <v>4</v>
      </c>
      <c r="C176" s="3" t="s">
        <v>108</v>
      </c>
      <c r="D176" s="238">
        <f t="shared" ref="D176:I176" si="78">INDEX(PBSScriptsChanged,$B172,D173)*(INDEX(DPMQCoPayChangedPub,$B172,$B176)/INDEX(CoPayCountChanged,$B172))</f>
        <v>0</v>
      </c>
      <c r="E176" s="238">
        <f t="shared" si="78"/>
        <v>0</v>
      </c>
      <c r="F176" s="238">
        <f t="shared" si="78"/>
        <v>0</v>
      </c>
      <c r="G176" s="238">
        <f t="shared" si="78"/>
        <v>0</v>
      </c>
      <c r="H176" s="238">
        <f t="shared" si="78"/>
        <v>0</v>
      </c>
      <c r="I176" s="238">
        <f t="shared" si="78"/>
        <v>0</v>
      </c>
      <c r="K176" s="579" t="str">
        <f>IF(B173&lt;&gt;0,MsgNote&amp;IF(B173="Yes",INDEX(CoPayMethod,1),INDEX(CoPayMethod,2)),"")</f>
        <v/>
      </c>
      <c r="L176" s="579"/>
      <c r="M176" s="579"/>
      <c r="N176" s="443"/>
    </row>
    <row r="177" spans="2:14" ht="12.75" hidden="1" customHeight="1" outlineLevel="1" x14ac:dyDescent="0.2">
      <c r="B177" s="121"/>
      <c r="C177" s="3" t="s">
        <v>85</v>
      </c>
      <c r="D177" s="238">
        <f t="shared" ref="D177:I177" si="79">D175+D176</f>
        <v>0</v>
      </c>
      <c r="E177" s="238">
        <f t="shared" si="79"/>
        <v>0</v>
      </c>
      <c r="F177" s="238">
        <f t="shared" si="79"/>
        <v>0</v>
      </c>
      <c r="G177" s="238">
        <f t="shared" si="79"/>
        <v>0</v>
      </c>
      <c r="H177" s="238">
        <f t="shared" si="79"/>
        <v>0</v>
      </c>
      <c r="I177" s="238">
        <f t="shared" si="79"/>
        <v>0</v>
      </c>
    </row>
    <row r="178" spans="2:14" ht="12.75" hidden="1" customHeight="1" outlineLevel="1" x14ac:dyDescent="0.2">
      <c r="B178" s="121"/>
    </row>
    <row r="179" spans="2:14" ht="15.75" hidden="1" customHeight="1" outlineLevel="1" x14ac:dyDescent="0.2">
      <c r="B179" s="121"/>
      <c r="D179" s="74">
        <f>FirstYear</f>
        <v>2026</v>
      </c>
      <c r="E179" s="74">
        <f>D179+1</f>
        <v>2027</v>
      </c>
      <c r="F179" s="74">
        <f>E179+1</f>
        <v>2028</v>
      </c>
      <c r="G179" s="74">
        <f>F179+1</f>
        <v>2029</v>
      </c>
      <c r="H179" s="74">
        <f>G179+1</f>
        <v>2030</v>
      </c>
      <c r="I179" s="74">
        <f>H179+1</f>
        <v>2031</v>
      </c>
    </row>
    <row r="180" spans="2:14" ht="12.75" hidden="1" customHeight="1" outlineLevel="1" x14ac:dyDescent="0.2">
      <c r="B180" s="249">
        <v>1</v>
      </c>
      <c r="C180" s="76" t="s">
        <v>84</v>
      </c>
      <c r="D180" s="238">
        <f t="shared" ref="D180:I180" si="80">INDEX(RPBSScriptsChanged,$B172,D173)*INDEX(DPMQCoPayChangedPub,$B172,$B180)</f>
        <v>0</v>
      </c>
      <c r="E180" s="238">
        <f t="shared" si="80"/>
        <v>0</v>
      </c>
      <c r="F180" s="238">
        <f t="shared" si="80"/>
        <v>0</v>
      </c>
      <c r="G180" s="238">
        <f t="shared" si="80"/>
        <v>0</v>
      </c>
      <c r="H180" s="238">
        <f t="shared" si="80"/>
        <v>0</v>
      </c>
      <c r="I180" s="238">
        <f t="shared" si="80"/>
        <v>0</v>
      </c>
    </row>
    <row r="181" spans="2:14" ht="12.75" hidden="1" customHeight="1" outlineLevel="1" x14ac:dyDescent="0.2">
      <c r="B181" s="249">
        <v>5</v>
      </c>
      <c r="C181" s="3" t="s">
        <v>108</v>
      </c>
      <c r="D181" s="238">
        <f t="shared" ref="D181:I181" si="81">INDEX(RPBSScriptsChanged,$B172,D173)*(INDEX(DPMQCoPayChangedPub,$B172,$B181)/INDEX(CoPayCountChanged,$B172))</f>
        <v>0</v>
      </c>
      <c r="E181" s="238">
        <f t="shared" si="81"/>
        <v>0</v>
      </c>
      <c r="F181" s="238">
        <f t="shared" si="81"/>
        <v>0</v>
      </c>
      <c r="G181" s="238">
        <f t="shared" si="81"/>
        <v>0</v>
      </c>
      <c r="H181" s="238">
        <f t="shared" si="81"/>
        <v>0</v>
      </c>
      <c r="I181" s="238">
        <f t="shared" si="81"/>
        <v>0</v>
      </c>
    </row>
    <row r="182" spans="2:14" ht="12.75" hidden="1" customHeight="1" outlineLevel="1" x14ac:dyDescent="0.2">
      <c r="B182" s="121"/>
      <c r="C182" s="3" t="s">
        <v>86</v>
      </c>
      <c r="D182" s="238">
        <f t="shared" ref="D182:I182" si="82">D180+D181</f>
        <v>0</v>
      </c>
      <c r="E182" s="238">
        <f t="shared" si="82"/>
        <v>0</v>
      </c>
      <c r="F182" s="238">
        <f t="shared" si="82"/>
        <v>0</v>
      </c>
      <c r="G182" s="238">
        <f t="shared" si="82"/>
        <v>0</v>
      </c>
      <c r="H182" s="238">
        <f t="shared" si="82"/>
        <v>0</v>
      </c>
      <c r="I182" s="238">
        <f t="shared" si="82"/>
        <v>0</v>
      </c>
    </row>
    <row r="183" spans="2:14" ht="12.75" customHeight="1" collapsed="1" x14ac:dyDescent="0.2">
      <c r="B183" s="121"/>
      <c r="D183" s="457"/>
      <c r="E183" s="457"/>
      <c r="F183" s="31"/>
      <c r="G183" s="31"/>
      <c r="H183" s="31"/>
      <c r="I183" s="31"/>
      <c r="J183" s="31"/>
      <c r="K183" s="31"/>
      <c r="L183" s="31"/>
      <c r="M183" s="31"/>
      <c r="N183" s="31"/>
    </row>
    <row r="184" spans="2:14" ht="15" x14ac:dyDescent="0.2">
      <c r="B184" s="249">
        <v>14</v>
      </c>
      <c r="C184" s="129" t="str">
        <f>INDEX(PBSScriptsChanged,B184,1)</f>
        <v>** NOT USED **</v>
      </c>
      <c r="D184" s="123"/>
      <c r="E184" s="123"/>
      <c r="F184" s="123"/>
      <c r="G184" s="123"/>
      <c r="H184" s="123"/>
      <c r="I184" s="123"/>
      <c r="J184" s="116"/>
      <c r="K184" s="116"/>
      <c r="L184" s="588" t="str">
        <f>IF(AND(C184&lt;&gt;MsgNotUsed,C184&lt;&gt;MsgNotRequired),"Co-payment group " &amp; INDEX(DPMQCoPayChangedPub,B184,3),"")</f>
        <v/>
      </c>
      <c r="M184" s="588"/>
      <c r="N184" s="380"/>
    </row>
    <row r="185" spans="2:14" ht="12.75" hidden="1" customHeight="1" outlineLevel="1" x14ac:dyDescent="0.2">
      <c r="B185" s="209">
        <f>INDEX(SAChanged,B184,5)</f>
        <v>0</v>
      </c>
      <c r="C185" s="457"/>
      <c r="D185" s="319">
        <v>2</v>
      </c>
      <c r="E185" s="319">
        <v>3</v>
      </c>
      <c r="F185" s="319">
        <v>4</v>
      </c>
      <c r="G185" s="319">
        <v>5</v>
      </c>
      <c r="H185" s="319">
        <v>6</v>
      </c>
      <c r="I185" s="319">
        <v>7</v>
      </c>
      <c r="J185" s="31"/>
      <c r="K185" s="31"/>
      <c r="L185" s="31"/>
      <c r="M185" s="31"/>
      <c r="N185" s="31"/>
    </row>
    <row r="186" spans="2:14" ht="12.75" hidden="1" customHeight="1" outlineLevel="1" x14ac:dyDescent="0.2">
      <c r="B186" s="121"/>
      <c r="D186" s="74">
        <f>FirstYear</f>
        <v>2026</v>
      </c>
      <c r="E186" s="74">
        <f>D186+1</f>
        <v>2027</v>
      </c>
      <c r="F186" s="74">
        <f>E186+1</f>
        <v>2028</v>
      </c>
      <c r="G186" s="74">
        <f>F186+1</f>
        <v>2029</v>
      </c>
      <c r="H186" s="74">
        <f>G186+1</f>
        <v>2030</v>
      </c>
      <c r="I186" s="74">
        <f>H186+1</f>
        <v>2031</v>
      </c>
    </row>
    <row r="187" spans="2:14" ht="12.75" hidden="1" customHeight="1" outlineLevel="1" x14ac:dyDescent="0.2">
      <c r="B187" s="249">
        <v>1</v>
      </c>
      <c r="C187" s="76" t="s">
        <v>83</v>
      </c>
      <c r="D187" s="238">
        <f t="shared" ref="D187:I187" si="83">INDEX(PBSScriptsChanged,$B184,D185)*INDEX(DPMQCoPayChangedPub,$B184,$B187)</f>
        <v>0</v>
      </c>
      <c r="E187" s="238">
        <f t="shared" si="83"/>
        <v>0</v>
      </c>
      <c r="F187" s="238">
        <f t="shared" si="83"/>
        <v>0</v>
      </c>
      <c r="G187" s="238">
        <f t="shared" si="83"/>
        <v>0</v>
      </c>
      <c r="H187" s="238">
        <f t="shared" si="83"/>
        <v>0</v>
      </c>
      <c r="I187" s="238">
        <f t="shared" si="83"/>
        <v>0</v>
      </c>
    </row>
    <row r="188" spans="2:14" ht="12.75" hidden="1" customHeight="1" outlineLevel="1" x14ac:dyDescent="0.2">
      <c r="B188" s="249">
        <v>4</v>
      </c>
      <c r="C188" s="3" t="s">
        <v>108</v>
      </c>
      <c r="D188" s="238">
        <f t="shared" ref="D188:I188" si="84">INDEX(PBSScriptsChanged,$B184,D185)*(INDEX(DPMQCoPayChangedPub,$B184,$B188)/INDEX(CoPayCountChanged,$B184))</f>
        <v>0</v>
      </c>
      <c r="E188" s="238">
        <f t="shared" si="84"/>
        <v>0</v>
      </c>
      <c r="F188" s="238">
        <f t="shared" si="84"/>
        <v>0</v>
      </c>
      <c r="G188" s="238">
        <f t="shared" si="84"/>
        <v>0</v>
      </c>
      <c r="H188" s="238">
        <f t="shared" si="84"/>
        <v>0</v>
      </c>
      <c r="I188" s="238">
        <f t="shared" si="84"/>
        <v>0</v>
      </c>
      <c r="K188" s="579" t="str">
        <f>IF(B185&lt;&gt;0,MsgNote&amp;IF(B185="Yes",INDEX(CoPayMethod,1),INDEX(CoPayMethod,2)),"")</f>
        <v/>
      </c>
      <c r="L188" s="579"/>
      <c r="M188" s="579"/>
      <c r="N188" s="443"/>
    </row>
    <row r="189" spans="2:14" ht="12.75" hidden="1" customHeight="1" outlineLevel="1" x14ac:dyDescent="0.2">
      <c r="B189" s="121"/>
      <c r="C189" s="3" t="s">
        <v>85</v>
      </c>
      <c r="D189" s="238">
        <f t="shared" ref="D189:I189" si="85">D187+D188</f>
        <v>0</v>
      </c>
      <c r="E189" s="238">
        <f t="shared" si="85"/>
        <v>0</v>
      </c>
      <c r="F189" s="238">
        <f t="shared" si="85"/>
        <v>0</v>
      </c>
      <c r="G189" s="238">
        <f t="shared" si="85"/>
        <v>0</v>
      </c>
      <c r="H189" s="238">
        <f t="shared" si="85"/>
        <v>0</v>
      </c>
      <c r="I189" s="238">
        <f t="shared" si="85"/>
        <v>0</v>
      </c>
    </row>
    <row r="190" spans="2:14" ht="12.75" hidden="1" customHeight="1" outlineLevel="1" x14ac:dyDescent="0.2">
      <c r="B190" s="121"/>
    </row>
    <row r="191" spans="2:14" ht="15.75" hidden="1" customHeight="1" outlineLevel="1" x14ac:dyDescent="0.2">
      <c r="B191" s="121"/>
      <c r="D191" s="74">
        <f>FirstYear</f>
        <v>2026</v>
      </c>
      <c r="E191" s="74">
        <f>D191+1</f>
        <v>2027</v>
      </c>
      <c r="F191" s="74">
        <f>E191+1</f>
        <v>2028</v>
      </c>
      <c r="G191" s="74">
        <f>F191+1</f>
        <v>2029</v>
      </c>
      <c r="H191" s="74">
        <f>G191+1</f>
        <v>2030</v>
      </c>
      <c r="I191" s="74">
        <f>H191+1</f>
        <v>2031</v>
      </c>
    </row>
    <row r="192" spans="2:14" ht="12.75" hidden="1" customHeight="1" outlineLevel="1" x14ac:dyDescent="0.2">
      <c r="B192" s="249">
        <v>1</v>
      </c>
      <c r="C192" s="76" t="s">
        <v>84</v>
      </c>
      <c r="D192" s="238">
        <f t="shared" ref="D192:I192" si="86">INDEX(RPBSScriptsChanged,$B184,D185)*INDEX(DPMQCoPayChangedPub,$B184,$B192)</f>
        <v>0</v>
      </c>
      <c r="E192" s="238">
        <f t="shared" si="86"/>
        <v>0</v>
      </c>
      <c r="F192" s="238">
        <f t="shared" si="86"/>
        <v>0</v>
      </c>
      <c r="G192" s="238">
        <f t="shared" si="86"/>
        <v>0</v>
      </c>
      <c r="H192" s="238">
        <f t="shared" si="86"/>
        <v>0</v>
      </c>
      <c r="I192" s="238">
        <f t="shared" si="86"/>
        <v>0</v>
      </c>
    </row>
    <row r="193" spans="2:14" ht="12.75" hidden="1" customHeight="1" outlineLevel="1" x14ac:dyDescent="0.2">
      <c r="B193" s="249">
        <v>5</v>
      </c>
      <c r="C193" s="3" t="s">
        <v>108</v>
      </c>
      <c r="D193" s="238">
        <f t="shared" ref="D193:I193" si="87">INDEX(RPBSScriptsChanged,$B184,D185)*(INDEX(DPMQCoPayChangedPub,$B184,$B193)/INDEX(CoPayCountChanged,$B184))</f>
        <v>0</v>
      </c>
      <c r="E193" s="238">
        <f t="shared" si="87"/>
        <v>0</v>
      </c>
      <c r="F193" s="238">
        <f t="shared" si="87"/>
        <v>0</v>
      </c>
      <c r="G193" s="238">
        <f t="shared" si="87"/>
        <v>0</v>
      </c>
      <c r="H193" s="238">
        <f t="shared" si="87"/>
        <v>0</v>
      </c>
      <c r="I193" s="238">
        <f t="shared" si="87"/>
        <v>0</v>
      </c>
    </row>
    <row r="194" spans="2:14" ht="12.75" hidden="1" customHeight="1" outlineLevel="1" x14ac:dyDescent="0.2">
      <c r="B194" s="121"/>
      <c r="C194" s="3" t="s">
        <v>86</v>
      </c>
      <c r="D194" s="238">
        <f t="shared" ref="D194:I194" si="88">D192+D193</f>
        <v>0</v>
      </c>
      <c r="E194" s="238">
        <f t="shared" si="88"/>
        <v>0</v>
      </c>
      <c r="F194" s="238">
        <f t="shared" si="88"/>
        <v>0</v>
      </c>
      <c r="G194" s="238">
        <f t="shared" si="88"/>
        <v>0</v>
      </c>
      <c r="H194" s="238">
        <f t="shared" si="88"/>
        <v>0</v>
      </c>
      <c r="I194" s="238">
        <f t="shared" si="88"/>
        <v>0</v>
      </c>
    </row>
    <row r="195" spans="2:14" ht="12.75" customHeight="1" collapsed="1" x14ac:dyDescent="0.2">
      <c r="B195" s="121"/>
      <c r="D195" s="457"/>
      <c r="E195" s="457"/>
      <c r="F195" s="31"/>
      <c r="G195" s="31"/>
      <c r="H195" s="31"/>
      <c r="I195" s="31"/>
      <c r="J195" s="31"/>
      <c r="K195" s="31"/>
      <c r="L195" s="31"/>
      <c r="M195" s="31"/>
      <c r="N195" s="31"/>
    </row>
    <row r="196" spans="2:14" ht="15" x14ac:dyDescent="0.2">
      <c r="B196" s="249">
        <v>15</v>
      </c>
      <c r="C196" s="129" t="str">
        <f>INDEX(PBSScriptsChanged,B196,1)</f>
        <v>** NOT USED **</v>
      </c>
      <c r="D196" s="123"/>
      <c r="E196" s="123"/>
      <c r="F196" s="123"/>
      <c r="G196" s="123"/>
      <c r="H196" s="123"/>
      <c r="I196" s="123"/>
      <c r="J196" s="116"/>
      <c r="K196" s="116"/>
      <c r="L196" s="588" t="str">
        <f>IF(AND(C196&lt;&gt;MsgNotUsed,C196&lt;&gt;MsgNotRequired),"Co-payment group " &amp; INDEX(DPMQCoPayChangedPub,B196,3),"")</f>
        <v/>
      </c>
      <c r="M196" s="588"/>
      <c r="N196" s="380"/>
    </row>
    <row r="197" spans="2:14" ht="12.75" hidden="1" customHeight="1" outlineLevel="1" x14ac:dyDescent="0.2">
      <c r="B197" s="209">
        <f>INDEX(SAChanged,B196,5)</f>
        <v>0</v>
      </c>
      <c r="C197" s="457"/>
      <c r="D197" s="319">
        <v>2</v>
      </c>
      <c r="E197" s="319">
        <v>3</v>
      </c>
      <c r="F197" s="319">
        <v>4</v>
      </c>
      <c r="G197" s="319">
        <v>5</v>
      </c>
      <c r="H197" s="319">
        <v>6</v>
      </c>
      <c r="I197" s="319">
        <v>7</v>
      </c>
      <c r="J197" s="31"/>
      <c r="K197" s="31"/>
      <c r="L197" s="31"/>
      <c r="M197" s="31"/>
      <c r="N197" s="31"/>
    </row>
    <row r="198" spans="2:14" ht="12.75" hidden="1" customHeight="1" outlineLevel="1" x14ac:dyDescent="0.2">
      <c r="B198" s="121"/>
      <c r="D198" s="74">
        <f>FirstYear</f>
        <v>2026</v>
      </c>
      <c r="E198" s="74">
        <f>D198+1</f>
        <v>2027</v>
      </c>
      <c r="F198" s="74">
        <f>E198+1</f>
        <v>2028</v>
      </c>
      <c r="G198" s="74">
        <f>F198+1</f>
        <v>2029</v>
      </c>
      <c r="H198" s="74">
        <f>G198+1</f>
        <v>2030</v>
      </c>
      <c r="I198" s="74">
        <f>H198+1</f>
        <v>2031</v>
      </c>
    </row>
    <row r="199" spans="2:14" ht="12.75" hidden="1" customHeight="1" outlineLevel="1" x14ac:dyDescent="0.2">
      <c r="B199" s="249">
        <v>1</v>
      </c>
      <c r="C199" s="76" t="s">
        <v>83</v>
      </c>
      <c r="D199" s="238">
        <f t="shared" ref="D199:I199" si="89">INDEX(PBSScriptsChanged,$B196,D197)*INDEX(DPMQCoPayChangedPub,$B196,$B199)</f>
        <v>0</v>
      </c>
      <c r="E199" s="238">
        <f t="shared" si="89"/>
        <v>0</v>
      </c>
      <c r="F199" s="238">
        <f t="shared" si="89"/>
        <v>0</v>
      </c>
      <c r="G199" s="238">
        <f t="shared" si="89"/>
        <v>0</v>
      </c>
      <c r="H199" s="238">
        <f t="shared" si="89"/>
        <v>0</v>
      </c>
      <c r="I199" s="238">
        <f t="shared" si="89"/>
        <v>0</v>
      </c>
    </row>
    <row r="200" spans="2:14" ht="12.75" hidden="1" customHeight="1" outlineLevel="1" x14ac:dyDescent="0.2">
      <c r="B200" s="249">
        <v>4</v>
      </c>
      <c r="C200" s="3" t="s">
        <v>108</v>
      </c>
      <c r="D200" s="238">
        <f t="shared" ref="D200:I200" si="90">INDEX(PBSScriptsChanged,$B196,D197)*(INDEX(DPMQCoPayChangedPub,$B196,$B200)/INDEX(CoPayCountChanged,$B196))</f>
        <v>0</v>
      </c>
      <c r="E200" s="238">
        <f t="shared" si="90"/>
        <v>0</v>
      </c>
      <c r="F200" s="238">
        <f t="shared" si="90"/>
        <v>0</v>
      </c>
      <c r="G200" s="238">
        <f t="shared" si="90"/>
        <v>0</v>
      </c>
      <c r="H200" s="238">
        <f t="shared" si="90"/>
        <v>0</v>
      </c>
      <c r="I200" s="238">
        <f t="shared" si="90"/>
        <v>0</v>
      </c>
      <c r="K200" s="579" t="str">
        <f>IF(B197&lt;&gt;0,MsgNote&amp;IF(B197="Yes",INDEX(CoPayMethod,1),INDEX(CoPayMethod,2)),"")</f>
        <v/>
      </c>
      <c r="L200" s="579"/>
      <c r="M200" s="579"/>
      <c r="N200" s="443"/>
    </row>
    <row r="201" spans="2:14" ht="12.75" hidden="1" customHeight="1" outlineLevel="1" x14ac:dyDescent="0.2">
      <c r="B201" s="121"/>
      <c r="C201" s="3" t="s">
        <v>85</v>
      </c>
      <c r="D201" s="238">
        <f t="shared" ref="D201:I201" si="91">D199+D200</f>
        <v>0</v>
      </c>
      <c r="E201" s="238">
        <f t="shared" si="91"/>
        <v>0</v>
      </c>
      <c r="F201" s="238">
        <f t="shared" si="91"/>
        <v>0</v>
      </c>
      <c r="G201" s="238">
        <f t="shared" si="91"/>
        <v>0</v>
      </c>
      <c r="H201" s="238">
        <f t="shared" si="91"/>
        <v>0</v>
      </c>
      <c r="I201" s="238">
        <f t="shared" si="91"/>
        <v>0</v>
      </c>
    </row>
    <row r="202" spans="2:14" ht="12.75" hidden="1" customHeight="1" outlineLevel="1" x14ac:dyDescent="0.2">
      <c r="B202" s="121"/>
    </row>
    <row r="203" spans="2:14" ht="15.75" hidden="1" customHeight="1" outlineLevel="1" x14ac:dyDescent="0.2">
      <c r="B203" s="121"/>
      <c r="D203" s="74">
        <f>FirstYear</f>
        <v>2026</v>
      </c>
      <c r="E203" s="74">
        <f>D203+1</f>
        <v>2027</v>
      </c>
      <c r="F203" s="74">
        <f>E203+1</f>
        <v>2028</v>
      </c>
      <c r="G203" s="74">
        <f>F203+1</f>
        <v>2029</v>
      </c>
      <c r="H203" s="74">
        <f>G203+1</f>
        <v>2030</v>
      </c>
      <c r="I203" s="74">
        <f>H203+1</f>
        <v>2031</v>
      </c>
    </row>
    <row r="204" spans="2:14" ht="12.75" hidden="1" customHeight="1" outlineLevel="1" x14ac:dyDescent="0.2">
      <c r="B204" s="249">
        <v>1</v>
      </c>
      <c r="C204" s="76" t="s">
        <v>84</v>
      </c>
      <c r="D204" s="238">
        <f t="shared" ref="D204:I204" si="92">INDEX(RPBSScriptsChanged,$B196,D197)*INDEX(DPMQCoPayChangedPub,$B196,$B204)</f>
        <v>0</v>
      </c>
      <c r="E204" s="238">
        <f t="shared" si="92"/>
        <v>0</v>
      </c>
      <c r="F204" s="238">
        <f t="shared" si="92"/>
        <v>0</v>
      </c>
      <c r="G204" s="238">
        <f t="shared" si="92"/>
        <v>0</v>
      </c>
      <c r="H204" s="238">
        <f t="shared" si="92"/>
        <v>0</v>
      </c>
      <c r="I204" s="238">
        <f t="shared" si="92"/>
        <v>0</v>
      </c>
    </row>
    <row r="205" spans="2:14" ht="12.75" hidden="1" customHeight="1" outlineLevel="1" x14ac:dyDescent="0.2">
      <c r="B205" s="249">
        <v>5</v>
      </c>
      <c r="C205" s="3" t="s">
        <v>108</v>
      </c>
      <c r="D205" s="238">
        <f t="shared" ref="D205:I205" si="93">INDEX(RPBSScriptsChanged,$B196,D197)*(INDEX(DPMQCoPayChangedPub,$B196,$B205)/INDEX(CoPayCountChanged,$B196))</f>
        <v>0</v>
      </c>
      <c r="E205" s="238">
        <f t="shared" si="93"/>
        <v>0</v>
      </c>
      <c r="F205" s="238">
        <f t="shared" si="93"/>
        <v>0</v>
      </c>
      <c r="G205" s="238">
        <f t="shared" si="93"/>
        <v>0</v>
      </c>
      <c r="H205" s="238">
        <f t="shared" si="93"/>
        <v>0</v>
      </c>
      <c r="I205" s="238">
        <f t="shared" si="93"/>
        <v>0</v>
      </c>
    </row>
    <row r="206" spans="2:14" ht="12.75" hidden="1" customHeight="1" outlineLevel="1" x14ac:dyDescent="0.2">
      <c r="B206" s="121"/>
      <c r="C206" s="3" t="s">
        <v>86</v>
      </c>
      <c r="D206" s="238">
        <f t="shared" ref="D206:I206" si="94">D204+D205</f>
        <v>0</v>
      </c>
      <c r="E206" s="238">
        <f t="shared" si="94"/>
        <v>0</v>
      </c>
      <c r="F206" s="238">
        <f t="shared" si="94"/>
        <v>0</v>
      </c>
      <c r="G206" s="238">
        <f t="shared" si="94"/>
        <v>0</v>
      </c>
      <c r="H206" s="238">
        <f t="shared" si="94"/>
        <v>0</v>
      </c>
      <c r="I206" s="238">
        <f t="shared" si="94"/>
        <v>0</v>
      </c>
    </row>
    <row r="207" spans="2:14" ht="12.75" customHeight="1" collapsed="1" x14ac:dyDescent="0.2">
      <c r="B207" s="121"/>
      <c r="D207" s="457"/>
      <c r="E207" s="457"/>
      <c r="F207" s="31"/>
      <c r="G207" s="31"/>
      <c r="H207" s="31"/>
      <c r="I207" s="31"/>
      <c r="J207" s="31"/>
      <c r="K207" s="31"/>
      <c r="L207" s="31"/>
      <c r="M207" s="31"/>
      <c r="N207" s="31"/>
    </row>
    <row r="208" spans="2:14" ht="15" x14ac:dyDescent="0.2">
      <c r="B208" s="249">
        <v>16</v>
      </c>
      <c r="C208" s="129" t="str">
        <f>INDEX(PBSScriptsChanged,B208,1)</f>
        <v>** NOT USED **</v>
      </c>
      <c r="D208" s="123"/>
      <c r="E208" s="123"/>
      <c r="F208" s="123"/>
      <c r="G208" s="123"/>
      <c r="H208" s="123"/>
      <c r="I208" s="123"/>
      <c r="J208" s="116"/>
      <c r="K208" s="116"/>
      <c r="L208" s="588" t="str">
        <f>IF(AND(C208&lt;&gt;MsgNotUsed,C208&lt;&gt;MsgNotRequired),"Co-payment group " &amp; INDEX(DPMQCoPayChangedPub,B208,3),"")</f>
        <v/>
      </c>
      <c r="M208" s="588"/>
      <c r="N208" s="380"/>
    </row>
    <row r="209" spans="2:14" ht="12.75" hidden="1" customHeight="1" outlineLevel="1" x14ac:dyDescent="0.2">
      <c r="B209" s="209">
        <f>INDEX(SAChanged,B208,5)</f>
        <v>0</v>
      </c>
      <c r="C209" s="457"/>
      <c r="D209" s="319">
        <v>2</v>
      </c>
      <c r="E209" s="319">
        <v>3</v>
      </c>
      <c r="F209" s="319">
        <v>4</v>
      </c>
      <c r="G209" s="319">
        <v>5</v>
      </c>
      <c r="H209" s="319">
        <v>6</v>
      </c>
      <c r="I209" s="319">
        <v>7</v>
      </c>
      <c r="J209" s="31"/>
      <c r="K209" s="31"/>
      <c r="L209" s="31"/>
      <c r="M209" s="31"/>
      <c r="N209" s="31"/>
    </row>
    <row r="210" spans="2:14" ht="12.75" hidden="1" customHeight="1" outlineLevel="1" x14ac:dyDescent="0.2">
      <c r="B210" s="121"/>
      <c r="D210" s="74">
        <f>FirstYear</f>
        <v>2026</v>
      </c>
      <c r="E210" s="74">
        <f>D210+1</f>
        <v>2027</v>
      </c>
      <c r="F210" s="74">
        <f>E210+1</f>
        <v>2028</v>
      </c>
      <c r="G210" s="74">
        <f>F210+1</f>
        <v>2029</v>
      </c>
      <c r="H210" s="74">
        <f>G210+1</f>
        <v>2030</v>
      </c>
      <c r="I210" s="74">
        <f>H210+1</f>
        <v>2031</v>
      </c>
    </row>
    <row r="211" spans="2:14" ht="12.75" hidden="1" customHeight="1" outlineLevel="1" x14ac:dyDescent="0.2">
      <c r="B211" s="249">
        <v>1</v>
      </c>
      <c r="C211" s="76" t="s">
        <v>83</v>
      </c>
      <c r="D211" s="238">
        <f t="shared" ref="D211:I211" si="95">INDEX(PBSScriptsChanged,$B208,D209)*INDEX(DPMQCoPayChangedPub,$B208,$B211)</f>
        <v>0</v>
      </c>
      <c r="E211" s="238">
        <f t="shared" si="95"/>
        <v>0</v>
      </c>
      <c r="F211" s="238">
        <f t="shared" si="95"/>
        <v>0</v>
      </c>
      <c r="G211" s="238">
        <f t="shared" si="95"/>
        <v>0</v>
      </c>
      <c r="H211" s="238">
        <f t="shared" si="95"/>
        <v>0</v>
      </c>
      <c r="I211" s="238">
        <f t="shared" si="95"/>
        <v>0</v>
      </c>
    </row>
    <row r="212" spans="2:14" ht="12.75" hidden="1" customHeight="1" outlineLevel="1" x14ac:dyDescent="0.2">
      <c r="B212" s="249">
        <v>4</v>
      </c>
      <c r="C212" s="3" t="s">
        <v>108</v>
      </c>
      <c r="D212" s="238">
        <f t="shared" ref="D212:I212" si="96">INDEX(PBSScriptsChanged,$B208,D209)*(INDEX(DPMQCoPayChangedPub,$B208,$B212)/INDEX(CoPayCountChanged,$B208))</f>
        <v>0</v>
      </c>
      <c r="E212" s="238">
        <f t="shared" si="96"/>
        <v>0</v>
      </c>
      <c r="F212" s="238">
        <f t="shared" si="96"/>
        <v>0</v>
      </c>
      <c r="G212" s="238">
        <f t="shared" si="96"/>
        <v>0</v>
      </c>
      <c r="H212" s="238">
        <f t="shared" si="96"/>
        <v>0</v>
      </c>
      <c r="I212" s="238">
        <f t="shared" si="96"/>
        <v>0</v>
      </c>
      <c r="K212" s="579" t="str">
        <f>IF(B209&lt;&gt;0,MsgNote&amp;IF(B209="Yes",INDEX(CoPayMethod,1),INDEX(CoPayMethod,2)),"")</f>
        <v/>
      </c>
      <c r="L212" s="579"/>
      <c r="M212" s="579"/>
      <c r="N212" s="443"/>
    </row>
    <row r="213" spans="2:14" ht="12.75" hidden="1" customHeight="1" outlineLevel="1" x14ac:dyDescent="0.2">
      <c r="B213" s="121"/>
      <c r="C213" s="3" t="s">
        <v>85</v>
      </c>
      <c r="D213" s="238">
        <f t="shared" ref="D213:I213" si="97">D211+D212</f>
        <v>0</v>
      </c>
      <c r="E213" s="238">
        <f t="shared" si="97"/>
        <v>0</v>
      </c>
      <c r="F213" s="238">
        <f t="shared" si="97"/>
        <v>0</v>
      </c>
      <c r="G213" s="238">
        <f t="shared" si="97"/>
        <v>0</v>
      </c>
      <c r="H213" s="238">
        <f t="shared" si="97"/>
        <v>0</v>
      </c>
      <c r="I213" s="238">
        <f t="shared" si="97"/>
        <v>0</v>
      </c>
    </row>
    <row r="214" spans="2:14" ht="12.75" hidden="1" customHeight="1" outlineLevel="1" x14ac:dyDescent="0.2">
      <c r="B214" s="121"/>
    </row>
    <row r="215" spans="2:14" ht="15.75" hidden="1" customHeight="1" outlineLevel="1" x14ac:dyDescent="0.2">
      <c r="B215" s="121"/>
      <c r="D215" s="74">
        <f>FirstYear</f>
        <v>2026</v>
      </c>
      <c r="E215" s="74">
        <f>D215+1</f>
        <v>2027</v>
      </c>
      <c r="F215" s="74">
        <f>E215+1</f>
        <v>2028</v>
      </c>
      <c r="G215" s="74">
        <f>F215+1</f>
        <v>2029</v>
      </c>
      <c r="H215" s="74">
        <f>G215+1</f>
        <v>2030</v>
      </c>
      <c r="I215" s="74">
        <f>H215+1</f>
        <v>2031</v>
      </c>
    </row>
    <row r="216" spans="2:14" ht="12.75" hidden="1" customHeight="1" outlineLevel="1" x14ac:dyDescent="0.2">
      <c r="B216" s="249">
        <v>1</v>
      </c>
      <c r="C216" s="76" t="s">
        <v>84</v>
      </c>
      <c r="D216" s="238">
        <f t="shared" ref="D216:I216" si="98">INDEX(RPBSScriptsChanged,$B208,D209)*INDEX(DPMQCoPayChangedPub,$B208,$B216)</f>
        <v>0</v>
      </c>
      <c r="E216" s="238">
        <f t="shared" si="98"/>
        <v>0</v>
      </c>
      <c r="F216" s="238">
        <f t="shared" si="98"/>
        <v>0</v>
      </c>
      <c r="G216" s="238">
        <f t="shared" si="98"/>
        <v>0</v>
      </c>
      <c r="H216" s="238">
        <f t="shared" si="98"/>
        <v>0</v>
      </c>
      <c r="I216" s="238">
        <f t="shared" si="98"/>
        <v>0</v>
      </c>
    </row>
    <row r="217" spans="2:14" ht="12.75" hidden="1" customHeight="1" outlineLevel="1" x14ac:dyDescent="0.2">
      <c r="B217" s="249">
        <v>5</v>
      </c>
      <c r="C217" s="3" t="s">
        <v>108</v>
      </c>
      <c r="D217" s="238">
        <f t="shared" ref="D217:I217" si="99">INDEX(RPBSScriptsChanged,$B208,D209)*(INDEX(DPMQCoPayChangedPub,$B208,$B217)/INDEX(CoPayCountChanged,$B208))</f>
        <v>0</v>
      </c>
      <c r="E217" s="238">
        <f t="shared" si="99"/>
        <v>0</v>
      </c>
      <c r="F217" s="238">
        <f t="shared" si="99"/>
        <v>0</v>
      </c>
      <c r="G217" s="238">
        <f t="shared" si="99"/>
        <v>0</v>
      </c>
      <c r="H217" s="238">
        <f t="shared" si="99"/>
        <v>0</v>
      </c>
      <c r="I217" s="238">
        <f t="shared" si="99"/>
        <v>0</v>
      </c>
    </row>
    <row r="218" spans="2:14" ht="12.75" hidden="1" customHeight="1" outlineLevel="1" x14ac:dyDescent="0.2">
      <c r="B218" s="121"/>
      <c r="C218" s="3" t="s">
        <v>86</v>
      </c>
      <c r="D218" s="238">
        <f t="shared" ref="D218:I218" si="100">D216+D217</f>
        <v>0</v>
      </c>
      <c r="E218" s="238">
        <f t="shared" si="100"/>
        <v>0</v>
      </c>
      <c r="F218" s="238">
        <f t="shared" si="100"/>
        <v>0</v>
      </c>
      <c r="G218" s="238">
        <f t="shared" si="100"/>
        <v>0</v>
      </c>
      <c r="H218" s="238">
        <f t="shared" si="100"/>
        <v>0</v>
      </c>
      <c r="I218" s="238">
        <f t="shared" si="100"/>
        <v>0</v>
      </c>
    </row>
    <row r="219" spans="2:14" ht="12.75" customHeight="1" collapsed="1" x14ac:dyDescent="0.2">
      <c r="B219" s="121"/>
      <c r="D219" s="457"/>
      <c r="E219" s="457"/>
      <c r="F219" s="31"/>
      <c r="G219" s="31"/>
      <c r="H219" s="31"/>
      <c r="I219" s="31"/>
      <c r="J219" s="31"/>
      <c r="K219" s="31"/>
      <c r="L219" s="31"/>
      <c r="M219" s="31"/>
      <c r="N219" s="31"/>
    </row>
    <row r="220" spans="2:14" ht="15" x14ac:dyDescent="0.2">
      <c r="B220" s="249">
        <v>17</v>
      </c>
      <c r="C220" s="129" t="str">
        <f>INDEX(PBSScriptsChanged,B220,1)</f>
        <v>** NOT USED **</v>
      </c>
      <c r="D220" s="123"/>
      <c r="E220" s="123"/>
      <c r="F220" s="123"/>
      <c r="G220" s="123"/>
      <c r="H220" s="123"/>
      <c r="I220" s="123"/>
      <c r="J220" s="116"/>
      <c r="K220" s="116"/>
      <c r="L220" s="588" t="str">
        <f>IF(AND(C220&lt;&gt;MsgNotUsed,C220&lt;&gt;MsgNotRequired),"Co-payment group " &amp; INDEX(DPMQCoPayChangedPub,B220,3),"")</f>
        <v/>
      </c>
      <c r="M220" s="588"/>
      <c r="N220" s="380"/>
    </row>
    <row r="221" spans="2:14" ht="12.75" hidden="1" customHeight="1" outlineLevel="1" x14ac:dyDescent="0.2">
      <c r="B221" s="209">
        <f>INDEX(SAChanged,B220,5)</f>
        <v>0</v>
      </c>
      <c r="C221" s="457"/>
      <c r="D221" s="319">
        <v>2</v>
      </c>
      <c r="E221" s="319">
        <v>3</v>
      </c>
      <c r="F221" s="319">
        <v>4</v>
      </c>
      <c r="G221" s="319">
        <v>5</v>
      </c>
      <c r="H221" s="319">
        <v>6</v>
      </c>
      <c r="I221" s="319">
        <v>7</v>
      </c>
      <c r="J221" s="31"/>
      <c r="K221" s="31"/>
      <c r="L221" s="31"/>
      <c r="M221" s="31"/>
      <c r="N221" s="31"/>
    </row>
    <row r="222" spans="2:14" ht="12.75" hidden="1" customHeight="1" outlineLevel="1" x14ac:dyDescent="0.2">
      <c r="B222" s="121"/>
      <c r="D222" s="74">
        <f>FirstYear</f>
        <v>2026</v>
      </c>
      <c r="E222" s="74">
        <f>D222+1</f>
        <v>2027</v>
      </c>
      <c r="F222" s="74">
        <f>E222+1</f>
        <v>2028</v>
      </c>
      <c r="G222" s="74">
        <f>F222+1</f>
        <v>2029</v>
      </c>
      <c r="H222" s="74">
        <f>G222+1</f>
        <v>2030</v>
      </c>
      <c r="I222" s="74">
        <f>H222+1</f>
        <v>2031</v>
      </c>
    </row>
    <row r="223" spans="2:14" ht="12.75" hidden="1" customHeight="1" outlineLevel="1" x14ac:dyDescent="0.2">
      <c r="B223" s="249">
        <v>1</v>
      </c>
      <c r="C223" s="76" t="s">
        <v>83</v>
      </c>
      <c r="D223" s="238">
        <f t="shared" ref="D223:I223" si="101">INDEX(PBSScriptsChanged,$B220,D221)*INDEX(DPMQCoPayChangedPub,$B220,$B223)</f>
        <v>0</v>
      </c>
      <c r="E223" s="238">
        <f t="shared" si="101"/>
        <v>0</v>
      </c>
      <c r="F223" s="238">
        <f t="shared" si="101"/>
        <v>0</v>
      </c>
      <c r="G223" s="238">
        <f t="shared" si="101"/>
        <v>0</v>
      </c>
      <c r="H223" s="238">
        <f t="shared" si="101"/>
        <v>0</v>
      </c>
      <c r="I223" s="238">
        <f t="shared" si="101"/>
        <v>0</v>
      </c>
    </row>
    <row r="224" spans="2:14" ht="12.75" hidden="1" customHeight="1" outlineLevel="1" x14ac:dyDescent="0.2">
      <c r="B224" s="249">
        <v>4</v>
      </c>
      <c r="C224" s="3" t="s">
        <v>108</v>
      </c>
      <c r="D224" s="238">
        <f t="shared" ref="D224:I224" si="102">INDEX(PBSScriptsChanged,$B220,D221)*(INDEX(DPMQCoPayChangedPub,$B220,$B224)/INDEX(CoPayCountChanged,$B220))</f>
        <v>0</v>
      </c>
      <c r="E224" s="238">
        <f t="shared" si="102"/>
        <v>0</v>
      </c>
      <c r="F224" s="238">
        <f t="shared" si="102"/>
        <v>0</v>
      </c>
      <c r="G224" s="238">
        <f t="shared" si="102"/>
        <v>0</v>
      </c>
      <c r="H224" s="238">
        <f t="shared" si="102"/>
        <v>0</v>
      </c>
      <c r="I224" s="238">
        <f t="shared" si="102"/>
        <v>0</v>
      </c>
      <c r="K224" s="579" t="str">
        <f>IF(B221&lt;&gt;0,MsgNote&amp;IF(B221="Yes",INDEX(CoPayMethod,1),INDEX(CoPayMethod,2)),"")</f>
        <v/>
      </c>
      <c r="L224" s="579"/>
      <c r="M224" s="579"/>
      <c r="N224" s="443"/>
    </row>
    <row r="225" spans="2:14" ht="12.75" hidden="1" customHeight="1" outlineLevel="1" x14ac:dyDescent="0.2">
      <c r="B225" s="121"/>
      <c r="C225" s="3" t="s">
        <v>85</v>
      </c>
      <c r="D225" s="238">
        <f t="shared" ref="D225:I225" si="103">D223+D224</f>
        <v>0</v>
      </c>
      <c r="E225" s="238">
        <f t="shared" si="103"/>
        <v>0</v>
      </c>
      <c r="F225" s="238">
        <f t="shared" si="103"/>
        <v>0</v>
      </c>
      <c r="G225" s="238">
        <f t="shared" si="103"/>
        <v>0</v>
      </c>
      <c r="H225" s="238">
        <f t="shared" si="103"/>
        <v>0</v>
      </c>
      <c r="I225" s="238">
        <f t="shared" si="103"/>
        <v>0</v>
      </c>
    </row>
    <row r="226" spans="2:14" ht="12.75" hidden="1" customHeight="1" outlineLevel="1" x14ac:dyDescent="0.2">
      <c r="B226" s="121"/>
    </row>
    <row r="227" spans="2:14" ht="15.75" hidden="1" customHeight="1" outlineLevel="1" x14ac:dyDescent="0.2">
      <c r="B227" s="121"/>
      <c r="D227" s="74">
        <f>FirstYear</f>
        <v>2026</v>
      </c>
      <c r="E227" s="74">
        <f>D227+1</f>
        <v>2027</v>
      </c>
      <c r="F227" s="74">
        <f>E227+1</f>
        <v>2028</v>
      </c>
      <c r="G227" s="74">
        <f>F227+1</f>
        <v>2029</v>
      </c>
      <c r="H227" s="74">
        <f>G227+1</f>
        <v>2030</v>
      </c>
      <c r="I227" s="74">
        <f>H227+1</f>
        <v>2031</v>
      </c>
    </row>
    <row r="228" spans="2:14" ht="12.75" hidden="1" customHeight="1" outlineLevel="1" x14ac:dyDescent="0.2">
      <c r="B228" s="249">
        <v>1</v>
      </c>
      <c r="C228" s="76" t="s">
        <v>84</v>
      </c>
      <c r="D228" s="238">
        <f t="shared" ref="D228:I228" si="104">INDEX(RPBSScriptsChanged,$B220,D221)*INDEX(DPMQCoPayChangedPub,$B220,$B228)</f>
        <v>0</v>
      </c>
      <c r="E228" s="238">
        <f t="shared" si="104"/>
        <v>0</v>
      </c>
      <c r="F228" s="238">
        <f t="shared" si="104"/>
        <v>0</v>
      </c>
      <c r="G228" s="238">
        <f t="shared" si="104"/>
        <v>0</v>
      </c>
      <c r="H228" s="238">
        <f t="shared" si="104"/>
        <v>0</v>
      </c>
      <c r="I228" s="238">
        <f t="shared" si="104"/>
        <v>0</v>
      </c>
    </row>
    <row r="229" spans="2:14" ht="12.75" hidden="1" customHeight="1" outlineLevel="1" x14ac:dyDescent="0.2">
      <c r="B229" s="249">
        <v>5</v>
      </c>
      <c r="C229" s="3" t="s">
        <v>108</v>
      </c>
      <c r="D229" s="238">
        <f t="shared" ref="D229:I229" si="105">INDEX(RPBSScriptsChanged,$B220,D221)*(INDEX(DPMQCoPayChangedPub,$B220,$B229)/INDEX(CoPayCountChanged,$B220))</f>
        <v>0</v>
      </c>
      <c r="E229" s="238">
        <f t="shared" si="105"/>
        <v>0</v>
      </c>
      <c r="F229" s="238">
        <f t="shared" si="105"/>
        <v>0</v>
      </c>
      <c r="G229" s="238">
        <f t="shared" si="105"/>
        <v>0</v>
      </c>
      <c r="H229" s="238">
        <f t="shared" si="105"/>
        <v>0</v>
      </c>
      <c r="I229" s="238">
        <f t="shared" si="105"/>
        <v>0</v>
      </c>
    </row>
    <row r="230" spans="2:14" ht="12.75" hidden="1" customHeight="1" outlineLevel="1" x14ac:dyDescent="0.2">
      <c r="B230" s="121"/>
      <c r="C230" s="3" t="s">
        <v>86</v>
      </c>
      <c r="D230" s="238">
        <f t="shared" ref="D230:I230" si="106">D228+D229</f>
        <v>0</v>
      </c>
      <c r="E230" s="238">
        <f t="shared" si="106"/>
        <v>0</v>
      </c>
      <c r="F230" s="238">
        <f t="shared" si="106"/>
        <v>0</v>
      </c>
      <c r="G230" s="238">
        <f t="shared" si="106"/>
        <v>0</v>
      </c>
      <c r="H230" s="238">
        <f t="shared" si="106"/>
        <v>0</v>
      </c>
      <c r="I230" s="238">
        <f t="shared" si="106"/>
        <v>0</v>
      </c>
    </row>
    <row r="231" spans="2:14" ht="12.75" customHeight="1" collapsed="1" x14ac:dyDescent="0.2">
      <c r="B231" s="121"/>
      <c r="D231" s="457"/>
      <c r="E231" s="457"/>
      <c r="F231" s="31"/>
      <c r="G231" s="31"/>
      <c r="H231" s="31"/>
      <c r="I231" s="31"/>
      <c r="J231" s="31"/>
      <c r="K231" s="31"/>
      <c r="L231" s="31"/>
      <c r="M231" s="31"/>
      <c r="N231" s="31"/>
    </row>
    <row r="232" spans="2:14" ht="15" x14ac:dyDescent="0.2">
      <c r="B232" s="249">
        <v>18</v>
      </c>
      <c r="C232" s="129" t="str">
        <f>INDEX(PBSScriptsChanged,B232,1)</f>
        <v>** NOT USED **</v>
      </c>
      <c r="D232" s="123"/>
      <c r="E232" s="123"/>
      <c r="F232" s="123"/>
      <c r="G232" s="123"/>
      <c r="H232" s="123"/>
      <c r="I232" s="123"/>
      <c r="J232" s="116"/>
      <c r="K232" s="116"/>
      <c r="L232" s="588" t="str">
        <f>IF(AND(C232&lt;&gt;MsgNotUsed,C232&lt;&gt;MsgNotRequired),"Co-payment group " &amp; INDEX(DPMQCoPayChangedPub,B232,3),"")</f>
        <v/>
      </c>
      <c r="M232" s="588"/>
      <c r="N232" s="380"/>
    </row>
    <row r="233" spans="2:14" ht="12.75" hidden="1" customHeight="1" outlineLevel="1" x14ac:dyDescent="0.2">
      <c r="B233" s="209">
        <f>INDEX(SAChanged,B232,5)</f>
        <v>0</v>
      </c>
      <c r="C233" s="457"/>
      <c r="D233" s="319">
        <v>2</v>
      </c>
      <c r="E233" s="319">
        <v>3</v>
      </c>
      <c r="F233" s="319">
        <v>4</v>
      </c>
      <c r="G233" s="319">
        <v>5</v>
      </c>
      <c r="H233" s="319">
        <v>6</v>
      </c>
      <c r="I233" s="319">
        <v>7</v>
      </c>
      <c r="J233" s="31"/>
      <c r="K233" s="31"/>
      <c r="L233" s="31"/>
      <c r="M233" s="31"/>
      <c r="N233" s="31"/>
    </row>
    <row r="234" spans="2:14" ht="12.75" hidden="1" customHeight="1" outlineLevel="1" x14ac:dyDescent="0.2">
      <c r="B234" s="121"/>
      <c r="D234" s="74">
        <f>FirstYear</f>
        <v>2026</v>
      </c>
      <c r="E234" s="74">
        <f>D234+1</f>
        <v>2027</v>
      </c>
      <c r="F234" s="74">
        <f>E234+1</f>
        <v>2028</v>
      </c>
      <c r="G234" s="74">
        <f>F234+1</f>
        <v>2029</v>
      </c>
      <c r="H234" s="74">
        <f>G234+1</f>
        <v>2030</v>
      </c>
      <c r="I234" s="74">
        <f>H234+1</f>
        <v>2031</v>
      </c>
    </row>
    <row r="235" spans="2:14" ht="12.75" hidden="1" customHeight="1" outlineLevel="1" x14ac:dyDescent="0.2">
      <c r="B235" s="249">
        <v>1</v>
      </c>
      <c r="C235" s="76" t="s">
        <v>83</v>
      </c>
      <c r="D235" s="238">
        <f t="shared" ref="D235:I235" si="107">INDEX(PBSScriptsChanged,$B232,D233)*INDEX(DPMQCoPayChangedPub,$B232,$B235)</f>
        <v>0</v>
      </c>
      <c r="E235" s="238">
        <f t="shared" si="107"/>
        <v>0</v>
      </c>
      <c r="F235" s="238">
        <f t="shared" si="107"/>
        <v>0</v>
      </c>
      <c r="G235" s="238">
        <f t="shared" si="107"/>
        <v>0</v>
      </c>
      <c r="H235" s="238">
        <f t="shared" si="107"/>
        <v>0</v>
      </c>
      <c r="I235" s="238">
        <f t="shared" si="107"/>
        <v>0</v>
      </c>
    </row>
    <row r="236" spans="2:14" ht="12.75" hidden="1" customHeight="1" outlineLevel="1" x14ac:dyDescent="0.2">
      <c r="B236" s="249">
        <v>4</v>
      </c>
      <c r="C236" s="3" t="s">
        <v>108</v>
      </c>
      <c r="D236" s="238">
        <f t="shared" ref="D236:I236" si="108">INDEX(PBSScriptsChanged,$B232,D233)*(INDEX(DPMQCoPayChangedPub,$B232,$B236)/INDEX(CoPayCountChanged,$B232))</f>
        <v>0</v>
      </c>
      <c r="E236" s="238">
        <f t="shared" si="108"/>
        <v>0</v>
      </c>
      <c r="F236" s="238">
        <f t="shared" si="108"/>
        <v>0</v>
      </c>
      <c r="G236" s="238">
        <f t="shared" si="108"/>
        <v>0</v>
      </c>
      <c r="H236" s="238">
        <f t="shared" si="108"/>
        <v>0</v>
      </c>
      <c r="I236" s="238">
        <f t="shared" si="108"/>
        <v>0</v>
      </c>
      <c r="K236" s="579" t="str">
        <f>IF(B233&lt;&gt;0,MsgNote&amp;IF(B233="Yes",INDEX(CoPayMethod,1),INDEX(CoPayMethod,2)),"")</f>
        <v/>
      </c>
      <c r="L236" s="579"/>
      <c r="M236" s="579"/>
      <c r="N236" s="443"/>
    </row>
    <row r="237" spans="2:14" ht="12.75" hidden="1" customHeight="1" outlineLevel="1" x14ac:dyDescent="0.2">
      <c r="B237" s="121"/>
      <c r="C237" s="3" t="s">
        <v>85</v>
      </c>
      <c r="D237" s="238">
        <f t="shared" ref="D237:I237" si="109">D235+D236</f>
        <v>0</v>
      </c>
      <c r="E237" s="238">
        <f t="shared" si="109"/>
        <v>0</v>
      </c>
      <c r="F237" s="238">
        <f t="shared" si="109"/>
        <v>0</v>
      </c>
      <c r="G237" s="238">
        <f t="shared" si="109"/>
        <v>0</v>
      </c>
      <c r="H237" s="238">
        <f t="shared" si="109"/>
        <v>0</v>
      </c>
      <c r="I237" s="238">
        <f t="shared" si="109"/>
        <v>0</v>
      </c>
    </row>
    <row r="238" spans="2:14" ht="12.75" hidden="1" customHeight="1" outlineLevel="1" x14ac:dyDescent="0.2">
      <c r="B238" s="121"/>
    </row>
    <row r="239" spans="2:14" ht="15.75" hidden="1" customHeight="1" outlineLevel="1" x14ac:dyDescent="0.2">
      <c r="B239" s="121"/>
      <c r="D239" s="74">
        <f>FirstYear</f>
        <v>2026</v>
      </c>
      <c r="E239" s="74">
        <f>D239+1</f>
        <v>2027</v>
      </c>
      <c r="F239" s="74">
        <f>E239+1</f>
        <v>2028</v>
      </c>
      <c r="G239" s="74">
        <f>F239+1</f>
        <v>2029</v>
      </c>
      <c r="H239" s="74">
        <f>G239+1</f>
        <v>2030</v>
      </c>
      <c r="I239" s="74">
        <f>H239+1</f>
        <v>2031</v>
      </c>
    </row>
    <row r="240" spans="2:14" ht="12.75" hidden="1" customHeight="1" outlineLevel="1" x14ac:dyDescent="0.2">
      <c r="B240" s="249">
        <v>1</v>
      </c>
      <c r="C240" s="76" t="s">
        <v>84</v>
      </c>
      <c r="D240" s="238">
        <f t="shared" ref="D240:I240" si="110">INDEX(RPBSScriptsChanged,$B232,D233)*INDEX(DPMQCoPayChangedPub,$B232,$B240)</f>
        <v>0</v>
      </c>
      <c r="E240" s="238">
        <f t="shared" si="110"/>
        <v>0</v>
      </c>
      <c r="F240" s="238">
        <f t="shared" si="110"/>
        <v>0</v>
      </c>
      <c r="G240" s="238">
        <f t="shared" si="110"/>
        <v>0</v>
      </c>
      <c r="H240" s="238">
        <f t="shared" si="110"/>
        <v>0</v>
      </c>
      <c r="I240" s="238">
        <f t="shared" si="110"/>
        <v>0</v>
      </c>
    </row>
    <row r="241" spans="2:14" ht="12.75" hidden="1" customHeight="1" outlineLevel="1" x14ac:dyDescent="0.2">
      <c r="B241" s="249">
        <v>5</v>
      </c>
      <c r="C241" s="3" t="s">
        <v>108</v>
      </c>
      <c r="D241" s="238">
        <f t="shared" ref="D241:I241" si="111">INDEX(RPBSScriptsChanged,$B232,D233)*(INDEX(DPMQCoPayChangedPub,$B232,$B241)/INDEX(CoPayCountChanged,$B232))</f>
        <v>0</v>
      </c>
      <c r="E241" s="238">
        <f t="shared" si="111"/>
        <v>0</v>
      </c>
      <c r="F241" s="238">
        <f t="shared" si="111"/>
        <v>0</v>
      </c>
      <c r="G241" s="238">
        <f t="shared" si="111"/>
        <v>0</v>
      </c>
      <c r="H241" s="238">
        <f t="shared" si="111"/>
        <v>0</v>
      </c>
      <c r="I241" s="238">
        <f t="shared" si="111"/>
        <v>0</v>
      </c>
    </row>
    <row r="242" spans="2:14" ht="12.75" hidden="1" customHeight="1" outlineLevel="1" x14ac:dyDescent="0.2">
      <c r="B242" s="121"/>
      <c r="C242" s="3" t="s">
        <v>86</v>
      </c>
      <c r="D242" s="238">
        <f t="shared" ref="D242:I242" si="112">D240+D241</f>
        <v>0</v>
      </c>
      <c r="E242" s="238">
        <f t="shared" si="112"/>
        <v>0</v>
      </c>
      <c r="F242" s="238">
        <f t="shared" si="112"/>
        <v>0</v>
      </c>
      <c r="G242" s="238">
        <f t="shared" si="112"/>
        <v>0</v>
      </c>
      <c r="H242" s="238">
        <f t="shared" si="112"/>
        <v>0</v>
      </c>
      <c r="I242" s="238">
        <f t="shared" si="112"/>
        <v>0</v>
      </c>
    </row>
    <row r="243" spans="2:14" ht="12.75" customHeight="1" collapsed="1" x14ac:dyDescent="0.2">
      <c r="B243" s="121"/>
      <c r="D243" s="457"/>
      <c r="E243" s="457"/>
      <c r="F243" s="31"/>
      <c r="G243" s="31"/>
      <c r="H243" s="31"/>
      <c r="I243" s="31"/>
      <c r="J243" s="31"/>
      <c r="K243" s="31"/>
      <c r="L243" s="31"/>
      <c r="M243" s="31"/>
      <c r="N243" s="31"/>
    </row>
    <row r="244" spans="2:14" ht="15" x14ac:dyDescent="0.2">
      <c r="B244" s="249">
        <v>19</v>
      </c>
      <c r="C244" s="129" t="str">
        <f>INDEX(PBSScriptsChanged,B244,1)</f>
        <v>** NOT USED **</v>
      </c>
      <c r="D244" s="123"/>
      <c r="E244" s="123"/>
      <c r="F244" s="123"/>
      <c r="G244" s="123"/>
      <c r="H244" s="123"/>
      <c r="I244" s="123"/>
      <c r="J244" s="116"/>
      <c r="K244" s="116"/>
      <c r="L244" s="588" t="str">
        <f>IF(AND(C244&lt;&gt;MsgNotUsed,C244&lt;&gt;MsgNotRequired),"Co-payment group " &amp; INDEX(DPMQCoPayChangedPub,B244,3),"")</f>
        <v/>
      </c>
      <c r="M244" s="588"/>
      <c r="N244" s="380"/>
    </row>
    <row r="245" spans="2:14" ht="12.75" hidden="1" customHeight="1" outlineLevel="1" x14ac:dyDescent="0.2">
      <c r="B245" s="209">
        <f>INDEX(SAChanged,B244,5)</f>
        <v>0</v>
      </c>
      <c r="C245" s="457"/>
      <c r="D245" s="319">
        <v>2</v>
      </c>
      <c r="E245" s="319">
        <v>3</v>
      </c>
      <c r="F245" s="319">
        <v>4</v>
      </c>
      <c r="G245" s="319">
        <v>5</v>
      </c>
      <c r="H245" s="319">
        <v>6</v>
      </c>
      <c r="I245" s="319">
        <v>7</v>
      </c>
      <c r="J245" s="31"/>
      <c r="K245" s="31"/>
      <c r="L245" s="31"/>
      <c r="M245" s="31"/>
      <c r="N245" s="31"/>
    </row>
    <row r="246" spans="2:14" ht="12.75" hidden="1" customHeight="1" outlineLevel="1" x14ac:dyDescent="0.2">
      <c r="B246" s="121"/>
      <c r="D246" s="74">
        <f>FirstYear</f>
        <v>2026</v>
      </c>
      <c r="E246" s="74">
        <f>D246+1</f>
        <v>2027</v>
      </c>
      <c r="F246" s="74">
        <f>E246+1</f>
        <v>2028</v>
      </c>
      <c r="G246" s="74">
        <f>F246+1</f>
        <v>2029</v>
      </c>
      <c r="H246" s="74">
        <f>G246+1</f>
        <v>2030</v>
      </c>
      <c r="I246" s="74">
        <f>H246+1</f>
        <v>2031</v>
      </c>
    </row>
    <row r="247" spans="2:14" ht="12.75" hidden="1" customHeight="1" outlineLevel="1" x14ac:dyDescent="0.2">
      <c r="B247" s="249">
        <v>1</v>
      </c>
      <c r="C247" s="76" t="s">
        <v>83</v>
      </c>
      <c r="D247" s="238">
        <f t="shared" ref="D247:I247" si="113">INDEX(PBSScriptsChanged,$B244,D245)*INDEX(DPMQCoPayChangedPub,$B244,$B247)</f>
        <v>0</v>
      </c>
      <c r="E247" s="238">
        <f t="shared" si="113"/>
        <v>0</v>
      </c>
      <c r="F247" s="238">
        <f t="shared" si="113"/>
        <v>0</v>
      </c>
      <c r="G247" s="238">
        <f t="shared" si="113"/>
        <v>0</v>
      </c>
      <c r="H247" s="238">
        <f t="shared" si="113"/>
        <v>0</v>
      </c>
      <c r="I247" s="238">
        <f t="shared" si="113"/>
        <v>0</v>
      </c>
    </row>
    <row r="248" spans="2:14" ht="12.75" hidden="1" customHeight="1" outlineLevel="1" x14ac:dyDescent="0.2">
      <c r="B248" s="249">
        <v>4</v>
      </c>
      <c r="C248" s="3" t="s">
        <v>108</v>
      </c>
      <c r="D248" s="238">
        <f t="shared" ref="D248:I248" si="114">INDEX(PBSScriptsChanged,$B244,D245)*(INDEX(DPMQCoPayChangedPub,$B244,$B248)/INDEX(CoPayCountChanged,$B244))</f>
        <v>0</v>
      </c>
      <c r="E248" s="238">
        <f t="shared" si="114"/>
        <v>0</v>
      </c>
      <c r="F248" s="238">
        <f t="shared" si="114"/>
        <v>0</v>
      </c>
      <c r="G248" s="238">
        <f t="shared" si="114"/>
        <v>0</v>
      </c>
      <c r="H248" s="238">
        <f t="shared" si="114"/>
        <v>0</v>
      </c>
      <c r="I248" s="238">
        <f t="shared" si="114"/>
        <v>0</v>
      </c>
      <c r="K248" s="579" t="str">
        <f>IF(B245&lt;&gt;0,MsgNote&amp;IF(B245="Yes",INDEX(CoPayMethod,1),INDEX(CoPayMethod,2)),"")</f>
        <v/>
      </c>
      <c r="L248" s="579"/>
      <c r="M248" s="579"/>
      <c r="N248" s="443"/>
    </row>
    <row r="249" spans="2:14" ht="12.75" hidden="1" customHeight="1" outlineLevel="1" x14ac:dyDescent="0.2">
      <c r="B249" s="121"/>
      <c r="C249" s="3" t="s">
        <v>85</v>
      </c>
      <c r="D249" s="238">
        <f t="shared" ref="D249:I249" si="115">D247+D248</f>
        <v>0</v>
      </c>
      <c r="E249" s="238">
        <f t="shared" si="115"/>
        <v>0</v>
      </c>
      <c r="F249" s="238">
        <f t="shared" si="115"/>
        <v>0</v>
      </c>
      <c r="G249" s="238">
        <f t="shared" si="115"/>
        <v>0</v>
      </c>
      <c r="H249" s="238">
        <f t="shared" si="115"/>
        <v>0</v>
      </c>
      <c r="I249" s="238">
        <f t="shared" si="115"/>
        <v>0</v>
      </c>
    </row>
    <row r="250" spans="2:14" ht="12.75" hidden="1" customHeight="1" outlineLevel="1" x14ac:dyDescent="0.2">
      <c r="B250" s="121"/>
    </row>
    <row r="251" spans="2:14" ht="15.75" hidden="1" customHeight="1" outlineLevel="1" x14ac:dyDescent="0.2">
      <c r="B251" s="121"/>
      <c r="D251" s="74">
        <f>FirstYear</f>
        <v>2026</v>
      </c>
      <c r="E251" s="74">
        <f>D251+1</f>
        <v>2027</v>
      </c>
      <c r="F251" s="74">
        <f>E251+1</f>
        <v>2028</v>
      </c>
      <c r="G251" s="74">
        <f>F251+1</f>
        <v>2029</v>
      </c>
      <c r="H251" s="74">
        <f>G251+1</f>
        <v>2030</v>
      </c>
      <c r="I251" s="74">
        <f>H251+1</f>
        <v>2031</v>
      </c>
    </row>
    <row r="252" spans="2:14" ht="12.75" hidden="1" customHeight="1" outlineLevel="1" x14ac:dyDescent="0.2">
      <c r="B252" s="249">
        <v>1</v>
      </c>
      <c r="C252" s="76" t="s">
        <v>84</v>
      </c>
      <c r="D252" s="238">
        <f t="shared" ref="D252:I252" si="116">INDEX(RPBSScriptsChanged,$B244,D245)*INDEX(DPMQCoPayChangedPub,$B244,$B252)</f>
        <v>0</v>
      </c>
      <c r="E252" s="238">
        <f t="shared" si="116"/>
        <v>0</v>
      </c>
      <c r="F252" s="238">
        <f t="shared" si="116"/>
        <v>0</v>
      </c>
      <c r="G252" s="238">
        <f t="shared" si="116"/>
        <v>0</v>
      </c>
      <c r="H252" s="238">
        <f t="shared" si="116"/>
        <v>0</v>
      </c>
      <c r="I252" s="238">
        <f t="shared" si="116"/>
        <v>0</v>
      </c>
    </row>
    <row r="253" spans="2:14" ht="12.75" hidden="1" customHeight="1" outlineLevel="1" x14ac:dyDescent="0.2">
      <c r="B253" s="249">
        <v>5</v>
      </c>
      <c r="C253" s="3" t="s">
        <v>108</v>
      </c>
      <c r="D253" s="238">
        <f t="shared" ref="D253:I253" si="117">INDEX(RPBSScriptsChanged,$B244,D245)*(INDEX(DPMQCoPayChangedPub,$B244,$B253)/INDEX(CoPayCountChanged,$B244))</f>
        <v>0</v>
      </c>
      <c r="E253" s="238">
        <f t="shared" si="117"/>
        <v>0</v>
      </c>
      <c r="F253" s="238">
        <f t="shared" si="117"/>
        <v>0</v>
      </c>
      <c r="G253" s="238">
        <f t="shared" si="117"/>
        <v>0</v>
      </c>
      <c r="H253" s="238">
        <f t="shared" si="117"/>
        <v>0</v>
      </c>
      <c r="I253" s="238">
        <f t="shared" si="117"/>
        <v>0</v>
      </c>
    </row>
    <row r="254" spans="2:14" ht="12.75" hidden="1" customHeight="1" outlineLevel="1" x14ac:dyDescent="0.2">
      <c r="B254" s="121"/>
      <c r="C254" s="3" t="s">
        <v>86</v>
      </c>
      <c r="D254" s="238">
        <f t="shared" ref="D254:I254" si="118">D252+D253</f>
        <v>0</v>
      </c>
      <c r="E254" s="238">
        <f t="shared" si="118"/>
        <v>0</v>
      </c>
      <c r="F254" s="238">
        <f t="shared" si="118"/>
        <v>0</v>
      </c>
      <c r="G254" s="238">
        <f t="shared" si="118"/>
        <v>0</v>
      </c>
      <c r="H254" s="238">
        <f t="shared" si="118"/>
        <v>0</v>
      </c>
      <c r="I254" s="238">
        <f t="shared" si="118"/>
        <v>0</v>
      </c>
    </row>
    <row r="255" spans="2:14" ht="12.75" customHeight="1" collapsed="1" x14ac:dyDescent="0.2">
      <c r="B255" s="121"/>
      <c r="D255" s="457"/>
      <c r="E255" s="457"/>
      <c r="F255" s="31"/>
      <c r="G255" s="31"/>
      <c r="H255" s="31"/>
      <c r="I255" s="31"/>
      <c r="J255" s="31"/>
      <c r="K255" s="31"/>
      <c r="L255" s="31"/>
      <c r="M255" s="31"/>
      <c r="N255" s="31"/>
    </row>
    <row r="256" spans="2:14" ht="15" x14ac:dyDescent="0.2">
      <c r="B256" s="249">
        <v>20</v>
      </c>
      <c r="C256" s="129" t="str">
        <f>INDEX(PBSScriptsChanged,B256,1)</f>
        <v>** NOT USED **</v>
      </c>
      <c r="D256" s="123"/>
      <c r="E256" s="123"/>
      <c r="F256" s="123"/>
      <c r="G256" s="123"/>
      <c r="H256" s="123"/>
      <c r="I256" s="123"/>
      <c r="J256" s="116"/>
      <c r="K256" s="116"/>
      <c r="L256" s="588" t="str">
        <f>IF(AND(C256&lt;&gt;MsgNotUsed,C256&lt;&gt;MsgNotRequired),"Co-payment group " &amp; INDEX(DPMQCoPayChangedPub,B256,3),"")</f>
        <v/>
      </c>
      <c r="M256" s="588"/>
      <c r="N256" s="380"/>
    </row>
    <row r="257" spans="2:14" ht="12.75" hidden="1" customHeight="1" outlineLevel="1" x14ac:dyDescent="0.2">
      <c r="B257" s="209">
        <f>INDEX(SAChanged,B256,5)</f>
        <v>0</v>
      </c>
      <c r="C257" s="457"/>
      <c r="D257" s="319">
        <v>2</v>
      </c>
      <c r="E257" s="319">
        <v>3</v>
      </c>
      <c r="F257" s="319">
        <v>4</v>
      </c>
      <c r="G257" s="319">
        <v>5</v>
      </c>
      <c r="H257" s="319">
        <v>6</v>
      </c>
      <c r="I257" s="319">
        <v>7</v>
      </c>
      <c r="J257" s="31"/>
      <c r="K257" s="31"/>
      <c r="L257" s="31"/>
      <c r="M257" s="31"/>
      <c r="N257" s="31"/>
    </row>
    <row r="258" spans="2:14" ht="12.75" hidden="1" customHeight="1" outlineLevel="1" x14ac:dyDescent="0.2">
      <c r="B258" s="121"/>
      <c r="D258" s="74">
        <f>FirstYear</f>
        <v>2026</v>
      </c>
      <c r="E258" s="74">
        <f>D258+1</f>
        <v>2027</v>
      </c>
      <c r="F258" s="74">
        <f>E258+1</f>
        <v>2028</v>
      </c>
      <c r="G258" s="74">
        <f>F258+1</f>
        <v>2029</v>
      </c>
      <c r="H258" s="74">
        <f>G258+1</f>
        <v>2030</v>
      </c>
      <c r="I258" s="74">
        <f>H258+1</f>
        <v>2031</v>
      </c>
    </row>
    <row r="259" spans="2:14" ht="12.75" hidden="1" customHeight="1" outlineLevel="1" x14ac:dyDescent="0.2">
      <c r="B259" s="249">
        <v>1</v>
      </c>
      <c r="C259" s="76" t="s">
        <v>83</v>
      </c>
      <c r="D259" s="238">
        <f t="shared" ref="D259:I259" si="119">INDEX(PBSScriptsChanged,$B256,D257)*INDEX(DPMQCoPayChangedPub,$B256,$B259)</f>
        <v>0</v>
      </c>
      <c r="E259" s="238">
        <f t="shared" si="119"/>
        <v>0</v>
      </c>
      <c r="F259" s="238">
        <f t="shared" si="119"/>
        <v>0</v>
      </c>
      <c r="G259" s="238">
        <f t="shared" si="119"/>
        <v>0</v>
      </c>
      <c r="H259" s="238">
        <f t="shared" si="119"/>
        <v>0</v>
      </c>
      <c r="I259" s="238">
        <f t="shared" si="119"/>
        <v>0</v>
      </c>
    </row>
    <row r="260" spans="2:14" ht="12.75" hidden="1" customHeight="1" outlineLevel="1" x14ac:dyDescent="0.2">
      <c r="B260" s="249">
        <v>4</v>
      </c>
      <c r="C260" s="3" t="s">
        <v>108</v>
      </c>
      <c r="D260" s="238">
        <f t="shared" ref="D260:I260" si="120">INDEX(PBSScriptsChanged,$B256,D257)*(INDEX(DPMQCoPayChangedPub,$B256,$B260)/INDEX(CoPayCountChanged,$B256))</f>
        <v>0</v>
      </c>
      <c r="E260" s="238">
        <f t="shared" si="120"/>
        <v>0</v>
      </c>
      <c r="F260" s="238">
        <f t="shared" si="120"/>
        <v>0</v>
      </c>
      <c r="G260" s="238">
        <f t="shared" si="120"/>
        <v>0</v>
      </c>
      <c r="H260" s="238">
        <f t="shared" si="120"/>
        <v>0</v>
      </c>
      <c r="I260" s="238">
        <f t="shared" si="120"/>
        <v>0</v>
      </c>
      <c r="K260" s="579" t="str">
        <f>IF(B257&lt;&gt;0,MsgNote&amp;IF(B257="Yes",INDEX(CoPayMethod,1),INDEX(CoPayMethod,2)),"")</f>
        <v/>
      </c>
      <c r="L260" s="579"/>
      <c r="M260" s="579"/>
      <c r="N260" s="443"/>
    </row>
    <row r="261" spans="2:14" ht="12.75" hidden="1" customHeight="1" outlineLevel="1" x14ac:dyDescent="0.2">
      <c r="B261" s="121"/>
      <c r="C261" s="3" t="s">
        <v>85</v>
      </c>
      <c r="D261" s="238">
        <f t="shared" ref="D261:I261" si="121">D259+D260</f>
        <v>0</v>
      </c>
      <c r="E261" s="238">
        <f t="shared" si="121"/>
        <v>0</v>
      </c>
      <c r="F261" s="238">
        <f t="shared" si="121"/>
        <v>0</v>
      </c>
      <c r="G261" s="238">
        <f t="shared" si="121"/>
        <v>0</v>
      </c>
      <c r="H261" s="238">
        <f t="shared" si="121"/>
        <v>0</v>
      </c>
      <c r="I261" s="238">
        <f t="shared" si="121"/>
        <v>0</v>
      </c>
    </row>
    <row r="262" spans="2:14" ht="12.75" hidden="1" customHeight="1" outlineLevel="1" x14ac:dyDescent="0.2">
      <c r="B262" s="121"/>
    </row>
    <row r="263" spans="2:14" ht="15.75" hidden="1" customHeight="1" outlineLevel="1" x14ac:dyDescent="0.2">
      <c r="B263" s="121"/>
      <c r="D263" s="74">
        <f>FirstYear</f>
        <v>2026</v>
      </c>
      <c r="E263" s="74">
        <f>D263+1</f>
        <v>2027</v>
      </c>
      <c r="F263" s="74">
        <f>E263+1</f>
        <v>2028</v>
      </c>
      <c r="G263" s="74">
        <f>F263+1</f>
        <v>2029</v>
      </c>
      <c r="H263" s="74">
        <f>G263+1</f>
        <v>2030</v>
      </c>
      <c r="I263" s="74">
        <f>H263+1</f>
        <v>2031</v>
      </c>
    </row>
    <row r="264" spans="2:14" ht="12.75" hidden="1" customHeight="1" outlineLevel="1" x14ac:dyDescent="0.2">
      <c r="B264" s="249">
        <v>1</v>
      </c>
      <c r="C264" s="76" t="s">
        <v>84</v>
      </c>
      <c r="D264" s="238">
        <f t="shared" ref="D264:I264" si="122">INDEX(RPBSScriptsChanged,$B256,D257)*INDEX(DPMQCoPayChangedPub,$B256,$B264)</f>
        <v>0</v>
      </c>
      <c r="E264" s="238">
        <f t="shared" si="122"/>
        <v>0</v>
      </c>
      <c r="F264" s="238">
        <f t="shared" si="122"/>
        <v>0</v>
      </c>
      <c r="G264" s="238">
        <f t="shared" si="122"/>
        <v>0</v>
      </c>
      <c r="H264" s="238">
        <f t="shared" si="122"/>
        <v>0</v>
      </c>
      <c r="I264" s="238">
        <f t="shared" si="122"/>
        <v>0</v>
      </c>
    </row>
    <row r="265" spans="2:14" ht="12.75" hidden="1" customHeight="1" outlineLevel="1" x14ac:dyDescent="0.2">
      <c r="B265" s="249">
        <v>5</v>
      </c>
      <c r="C265" s="3" t="s">
        <v>108</v>
      </c>
      <c r="D265" s="238">
        <f t="shared" ref="D265:I265" si="123">INDEX(RPBSScriptsChanged,$B256,D257)*(INDEX(DPMQCoPayChangedPub,$B256,$B265)/INDEX(CoPayCountChanged,$B256))</f>
        <v>0</v>
      </c>
      <c r="E265" s="238">
        <f t="shared" si="123"/>
        <v>0</v>
      </c>
      <c r="F265" s="238">
        <f t="shared" si="123"/>
        <v>0</v>
      </c>
      <c r="G265" s="238">
        <f t="shared" si="123"/>
        <v>0</v>
      </c>
      <c r="H265" s="238">
        <f t="shared" si="123"/>
        <v>0</v>
      </c>
      <c r="I265" s="238">
        <f t="shared" si="123"/>
        <v>0</v>
      </c>
    </row>
    <row r="266" spans="2:14" ht="12.75" hidden="1" customHeight="1" outlineLevel="1" x14ac:dyDescent="0.2">
      <c r="B266" s="121"/>
      <c r="C266" s="3" t="s">
        <v>86</v>
      </c>
      <c r="D266" s="238">
        <f t="shared" ref="D266:I266" si="124">D264+D265</f>
        <v>0</v>
      </c>
      <c r="E266" s="238">
        <f t="shared" si="124"/>
        <v>0</v>
      </c>
      <c r="F266" s="238">
        <f t="shared" si="124"/>
        <v>0</v>
      </c>
      <c r="G266" s="238">
        <f t="shared" si="124"/>
        <v>0</v>
      </c>
      <c r="H266" s="238">
        <f t="shared" si="124"/>
        <v>0</v>
      </c>
      <c r="I266" s="238">
        <f t="shared" si="124"/>
        <v>0</v>
      </c>
    </row>
    <row r="267" spans="2:14" hidden="1" outlineLevel="1" x14ac:dyDescent="0.2">
      <c r="B267" s="121"/>
      <c r="D267" s="457"/>
      <c r="E267" s="457"/>
      <c r="F267" s="31"/>
      <c r="G267" s="31"/>
      <c r="H267" s="31"/>
      <c r="I267" s="31"/>
      <c r="J267" s="31"/>
      <c r="K267" s="31"/>
      <c r="L267" s="31"/>
      <c r="M267" s="31"/>
      <c r="N267" s="31"/>
    </row>
    <row r="268" spans="2:14" collapsed="1" x14ac:dyDescent="0.2">
      <c r="B268" s="121"/>
    </row>
    <row r="269" spans="2:14" ht="15.75" x14ac:dyDescent="0.2">
      <c r="B269" s="121"/>
      <c r="C269" s="111" t="s">
        <v>909</v>
      </c>
      <c r="D269" s="111"/>
      <c r="E269" s="111"/>
      <c r="F269" s="126"/>
      <c r="G269" s="113"/>
      <c r="H269" s="113"/>
      <c r="I269" s="113"/>
      <c r="J269" s="113"/>
      <c r="K269" s="113"/>
      <c r="L269" s="113"/>
      <c r="M269" s="113"/>
      <c r="N269" s="113"/>
    </row>
    <row r="270" spans="2:14" x14ac:dyDescent="0.2">
      <c r="F270" s="455"/>
    </row>
    <row r="271" spans="2:14" x14ac:dyDescent="0.2">
      <c r="C271" t="s">
        <v>820</v>
      </c>
      <c r="F271" s="455"/>
    </row>
    <row r="272" spans="2:14" x14ac:dyDescent="0.2">
      <c r="F272" s="455"/>
      <c r="H272" s="625" t="str">
        <f>IF(S294&gt;0,"DPMA / DPMQ","")</f>
        <v/>
      </c>
      <c r="I272" s="625"/>
      <c r="J272" s="625"/>
    </row>
    <row r="273" spans="2:21" ht="25.5" x14ac:dyDescent="0.2">
      <c r="C273" s="596" t="s">
        <v>800</v>
      </c>
      <c r="D273" s="626"/>
      <c r="E273" s="627"/>
      <c r="F273" s="5" t="s">
        <v>109</v>
      </c>
      <c r="G273" s="5" t="s">
        <v>919</v>
      </c>
      <c r="H273" s="61" t="str">
        <f>IF(S294&gt;0,"Public","DPMA / DPMQ")</f>
        <v>DPMA / DPMQ</v>
      </c>
      <c r="I273" s="61" t="str">
        <f>IF(S294&gt;0,"Private","")</f>
        <v/>
      </c>
      <c r="J273" s="61" t="str">
        <f>IF(S294&gt;0,"Weighted","DPMA / DPMQ")</f>
        <v>DPMA / DPMQ</v>
      </c>
      <c r="K273" s="61" t="s">
        <v>743</v>
      </c>
      <c r="L273" s="61" t="s">
        <v>743</v>
      </c>
      <c r="M273" s="5" t="s">
        <v>418</v>
      </c>
      <c r="N273" s="5" t="s">
        <v>419</v>
      </c>
      <c r="P273" s="517" t="s">
        <v>1177</v>
      </c>
      <c r="Q273" s="517" t="s">
        <v>418</v>
      </c>
      <c r="R273" s="517" t="s">
        <v>419</v>
      </c>
    </row>
    <row r="274" spans="2:21" x14ac:dyDescent="0.2">
      <c r="B274" s="249">
        <v>1</v>
      </c>
      <c r="C274" s="622" t="str">
        <f t="shared" ref="C274:C293" si="125">INDEX(PBSScriptsChanged,B274,1)</f>
        <v>** NOT USED **</v>
      </c>
      <c r="D274" s="623"/>
      <c r="E274" s="624"/>
      <c r="F274" s="243"/>
      <c r="G274" s="42"/>
      <c r="H274" s="243"/>
      <c r="I274" s="243"/>
      <c r="J274" s="244">
        <f>IF(AND(ISBLANK(H274),COUNT(I274)=1),I274,IF(AND(COUNT(H274)=1,ISBLANK(I274)),H274,IF(COUNT(H274:I274)=2,H274*S274+I274*T274,0)))</f>
        <v>0</v>
      </c>
      <c r="K274" s="368"/>
      <c r="L274" s="62" t="str">
        <f t="shared" ref="L274:L293" si="126">IF(AND(C274&lt;&gt;MsgNotUsed,ISERROR(P274)=FALSE),IF(K274&lt;&gt;"",K274,P274),"")</f>
        <v/>
      </c>
      <c r="M274" s="244">
        <f>IF(J274&gt;Q274,-Q274,-J274)</f>
        <v>0</v>
      </c>
      <c r="N274" s="244">
        <f>IF(J274&gt;R274,-R274,-J274)</f>
        <v>0</v>
      </c>
      <c r="P274" s="519" t="str">
        <f t="shared" ref="P274:P293" si="127">IF(C274&lt;&gt;MsgNotUsed,INDEX(CoPayBandChanged,B274),"")</f>
        <v/>
      </c>
      <c r="Q274" s="516">
        <f t="shared" ref="Q274:Q293" si="128">IFERROR(INDEX(CoPayPBS,L274),0)</f>
        <v>0</v>
      </c>
      <c r="R274" s="516">
        <f t="shared" ref="R274:R293" si="129">IFERROR(INDEX(CoPayRPBS,L274),0)</f>
        <v>0</v>
      </c>
      <c r="S274" s="394" t="str">
        <f t="shared" ref="S274:S293" si="130">IFERROR(INDEX(ServiceSplitPublic,L274),"")</f>
        <v/>
      </c>
      <c r="T274" s="394" t="str">
        <f t="shared" ref="T274:T293" si="131">IFERROR(INDEX(ServiceSplitPrivate,L274),"")</f>
        <v/>
      </c>
      <c r="U274" s="383"/>
    </row>
    <row r="275" spans="2:21" x14ac:dyDescent="0.2">
      <c r="B275" s="249">
        <v>2</v>
      </c>
      <c r="C275" s="622" t="str">
        <f t="shared" si="125"/>
        <v>** NOT USED **</v>
      </c>
      <c r="D275" s="623"/>
      <c r="E275" s="624"/>
      <c r="F275" s="243"/>
      <c r="G275" s="42"/>
      <c r="H275" s="243"/>
      <c r="I275" s="243"/>
      <c r="J275" s="244">
        <f t="shared" ref="J275:J293" si="132">IF(AND(ISBLANK(H275),COUNT(I275)=1),I275,IF(AND(COUNT(H275)=1,ISBLANK(I275)),H275,IF(COUNT(H275:I275)=2,H275*S275+I275*T275,0)))</f>
        <v>0</v>
      </c>
      <c r="K275" s="368"/>
      <c r="L275" s="62" t="str">
        <f t="shared" si="126"/>
        <v/>
      </c>
      <c r="M275" s="244">
        <f t="shared" ref="M275:M293" si="133">IF(J275&gt;Q275,-Q275,-J275)</f>
        <v>0</v>
      </c>
      <c r="N275" s="244">
        <f t="shared" ref="N275:N293" si="134">IF(J275&gt;R275,-R275,-J275)</f>
        <v>0</v>
      </c>
      <c r="P275" s="519" t="str">
        <f t="shared" si="127"/>
        <v/>
      </c>
      <c r="Q275" s="516">
        <f t="shared" si="128"/>
        <v>0</v>
      </c>
      <c r="R275" s="516">
        <f t="shared" si="129"/>
        <v>0</v>
      </c>
      <c r="S275" s="394" t="str">
        <f t="shared" si="130"/>
        <v/>
      </c>
      <c r="T275" s="394" t="str">
        <f t="shared" si="131"/>
        <v/>
      </c>
    </row>
    <row r="276" spans="2:21" x14ac:dyDescent="0.2">
      <c r="B276" s="249">
        <v>3</v>
      </c>
      <c r="C276" s="622" t="str">
        <f t="shared" si="125"/>
        <v>** NOT USED **</v>
      </c>
      <c r="D276" s="623"/>
      <c r="E276" s="624"/>
      <c r="F276" s="243"/>
      <c r="G276" s="42"/>
      <c r="H276" s="243"/>
      <c r="I276" s="243"/>
      <c r="J276" s="244">
        <f t="shared" si="132"/>
        <v>0</v>
      </c>
      <c r="K276" s="368"/>
      <c r="L276" s="62" t="str">
        <f t="shared" si="126"/>
        <v/>
      </c>
      <c r="M276" s="244">
        <f t="shared" si="133"/>
        <v>0</v>
      </c>
      <c r="N276" s="244">
        <f t="shared" si="134"/>
        <v>0</v>
      </c>
      <c r="P276" s="519" t="str">
        <f t="shared" si="127"/>
        <v/>
      </c>
      <c r="Q276" s="516">
        <f t="shared" si="128"/>
        <v>0</v>
      </c>
      <c r="R276" s="516">
        <f t="shared" si="129"/>
        <v>0</v>
      </c>
      <c r="S276" s="394" t="str">
        <f t="shared" si="130"/>
        <v/>
      </c>
      <c r="T276" s="394" t="str">
        <f t="shared" si="131"/>
        <v/>
      </c>
    </row>
    <row r="277" spans="2:21" x14ac:dyDescent="0.2">
      <c r="B277" s="249">
        <v>4</v>
      </c>
      <c r="C277" s="622" t="str">
        <f t="shared" si="125"/>
        <v>** NOT USED **</v>
      </c>
      <c r="D277" s="623"/>
      <c r="E277" s="624"/>
      <c r="F277" s="243"/>
      <c r="G277" s="42"/>
      <c r="H277" s="243"/>
      <c r="I277" s="243"/>
      <c r="J277" s="244">
        <f t="shared" si="132"/>
        <v>0</v>
      </c>
      <c r="K277" s="368"/>
      <c r="L277" s="62" t="str">
        <f t="shared" si="126"/>
        <v/>
      </c>
      <c r="M277" s="244">
        <f t="shared" si="133"/>
        <v>0</v>
      </c>
      <c r="N277" s="244">
        <f t="shared" si="134"/>
        <v>0</v>
      </c>
      <c r="P277" s="519" t="str">
        <f t="shared" si="127"/>
        <v/>
      </c>
      <c r="Q277" s="516">
        <f t="shared" si="128"/>
        <v>0</v>
      </c>
      <c r="R277" s="516">
        <f t="shared" si="129"/>
        <v>0</v>
      </c>
      <c r="S277" s="394" t="str">
        <f t="shared" si="130"/>
        <v/>
      </c>
      <c r="T277" s="394" t="str">
        <f t="shared" si="131"/>
        <v/>
      </c>
    </row>
    <row r="278" spans="2:21" x14ac:dyDescent="0.2">
      <c r="B278" s="249">
        <v>5</v>
      </c>
      <c r="C278" s="622" t="str">
        <f t="shared" si="125"/>
        <v>** NOT USED **</v>
      </c>
      <c r="D278" s="623"/>
      <c r="E278" s="624"/>
      <c r="F278" s="243"/>
      <c r="G278" s="42"/>
      <c r="H278" s="243"/>
      <c r="I278" s="243"/>
      <c r="J278" s="244">
        <f t="shared" si="132"/>
        <v>0</v>
      </c>
      <c r="K278" s="368"/>
      <c r="L278" s="62" t="str">
        <f t="shared" si="126"/>
        <v/>
      </c>
      <c r="M278" s="244">
        <f t="shared" si="133"/>
        <v>0</v>
      </c>
      <c r="N278" s="244">
        <f t="shared" si="134"/>
        <v>0</v>
      </c>
      <c r="P278" s="519" t="str">
        <f t="shared" si="127"/>
        <v/>
      </c>
      <c r="Q278" s="516">
        <f t="shared" si="128"/>
        <v>0</v>
      </c>
      <c r="R278" s="516">
        <f t="shared" si="129"/>
        <v>0</v>
      </c>
      <c r="S278" s="394" t="str">
        <f t="shared" si="130"/>
        <v/>
      </c>
      <c r="T278" s="394" t="str">
        <f t="shared" si="131"/>
        <v/>
      </c>
    </row>
    <row r="279" spans="2:21" x14ac:dyDescent="0.2">
      <c r="B279" s="249">
        <v>6</v>
      </c>
      <c r="C279" s="622" t="str">
        <f t="shared" si="125"/>
        <v>** NOT USED **</v>
      </c>
      <c r="D279" s="623"/>
      <c r="E279" s="624"/>
      <c r="F279" s="243"/>
      <c r="G279" s="42"/>
      <c r="H279" s="243"/>
      <c r="I279" s="243"/>
      <c r="J279" s="244">
        <f t="shared" si="132"/>
        <v>0</v>
      </c>
      <c r="K279" s="368"/>
      <c r="L279" s="62" t="str">
        <f t="shared" si="126"/>
        <v/>
      </c>
      <c r="M279" s="244">
        <f t="shared" si="133"/>
        <v>0</v>
      </c>
      <c r="N279" s="244">
        <f t="shared" si="134"/>
        <v>0</v>
      </c>
      <c r="P279" s="519" t="str">
        <f t="shared" si="127"/>
        <v/>
      </c>
      <c r="Q279" s="516">
        <f t="shared" si="128"/>
        <v>0</v>
      </c>
      <c r="R279" s="516">
        <f t="shared" si="129"/>
        <v>0</v>
      </c>
      <c r="S279" s="394" t="str">
        <f t="shared" si="130"/>
        <v/>
      </c>
      <c r="T279" s="394" t="str">
        <f t="shared" si="131"/>
        <v/>
      </c>
    </row>
    <row r="280" spans="2:21" x14ac:dyDescent="0.2">
      <c r="B280" s="249">
        <v>7</v>
      </c>
      <c r="C280" s="622" t="str">
        <f t="shared" si="125"/>
        <v>** NOT USED **</v>
      </c>
      <c r="D280" s="623"/>
      <c r="E280" s="624"/>
      <c r="F280" s="243"/>
      <c r="G280" s="42"/>
      <c r="H280" s="243"/>
      <c r="I280" s="243"/>
      <c r="J280" s="244">
        <f t="shared" si="132"/>
        <v>0</v>
      </c>
      <c r="K280" s="368"/>
      <c r="L280" s="62" t="str">
        <f t="shared" si="126"/>
        <v/>
      </c>
      <c r="M280" s="244">
        <f t="shared" si="133"/>
        <v>0</v>
      </c>
      <c r="N280" s="244">
        <f t="shared" si="134"/>
        <v>0</v>
      </c>
      <c r="P280" s="519" t="str">
        <f t="shared" si="127"/>
        <v/>
      </c>
      <c r="Q280" s="516">
        <f t="shared" si="128"/>
        <v>0</v>
      </c>
      <c r="R280" s="516">
        <f t="shared" si="129"/>
        <v>0</v>
      </c>
      <c r="S280" s="394" t="str">
        <f t="shared" si="130"/>
        <v/>
      </c>
      <c r="T280" s="394" t="str">
        <f t="shared" si="131"/>
        <v/>
      </c>
    </row>
    <row r="281" spans="2:21" x14ac:dyDescent="0.2">
      <c r="B281" s="249">
        <v>8</v>
      </c>
      <c r="C281" s="622" t="str">
        <f t="shared" si="125"/>
        <v>** NOT USED **</v>
      </c>
      <c r="D281" s="623"/>
      <c r="E281" s="624"/>
      <c r="F281" s="243"/>
      <c r="G281" s="42"/>
      <c r="H281" s="243"/>
      <c r="I281" s="243"/>
      <c r="J281" s="244">
        <f t="shared" si="132"/>
        <v>0</v>
      </c>
      <c r="K281" s="368"/>
      <c r="L281" s="62" t="str">
        <f t="shared" si="126"/>
        <v/>
      </c>
      <c r="M281" s="244">
        <f t="shared" si="133"/>
        <v>0</v>
      </c>
      <c r="N281" s="244">
        <f t="shared" si="134"/>
        <v>0</v>
      </c>
      <c r="P281" s="519" t="str">
        <f t="shared" si="127"/>
        <v/>
      </c>
      <c r="Q281" s="516">
        <f t="shared" si="128"/>
        <v>0</v>
      </c>
      <c r="R281" s="516">
        <f t="shared" si="129"/>
        <v>0</v>
      </c>
      <c r="S281" s="394" t="str">
        <f t="shared" si="130"/>
        <v/>
      </c>
      <c r="T281" s="394" t="str">
        <f t="shared" si="131"/>
        <v/>
      </c>
    </row>
    <row r="282" spans="2:21" x14ac:dyDescent="0.2">
      <c r="B282" s="249">
        <v>9</v>
      </c>
      <c r="C282" s="622" t="str">
        <f t="shared" si="125"/>
        <v>** NOT USED **</v>
      </c>
      <c r="D282" s="623"/>
      <c r="E282" s="624"/>
      <c r="F282" s="243"/>
      <c r="G282" s="42"/>
      <c r="H282" s="243"/>
      <c r="I282" s="243"/>
      <c r="J282" s="244">
        <f t="shared" si="132"/>
        <v>0</v>
      </c>
      <c r="K282" s="368"/>
      <c r="L282" s="62" t="str">
        <f t="shared" si="126"/>
        <v/>
      </c>
      <c r="M282" s="244">
        <f t="shared" si="133"/>
        <v>0</v>
      </c>
      <c r="N282" s="244">
        <f t="shared" si="134"/>
        <v>0</v>
      </c>
      <c r="P282" s="519" t="str">
        <f t="shared" si="127"/>
        <v/>
      </c>
      <c r="Q282" s="516">
        <f t="shared" si="128"/>
        <v>0</v>
      </c>
      <c r="R282" s="516">
        <f t="shared" si="129"/>
        <v>0</v>
      </c>
      <c r="S282" s="394" t="str">
        <f t="shared" si="130"/>
        <v/>
      </c>
      <c r="T282" s="394" t="str">
        <f t="shared" si="131"/>
        <v/>
      </c>
    </row>
    <row r="283" spans="2:21" x14ac:dyDescent="0.2">
      <c r="B283" s="249">
        <v>10</v>
      </c>
      <c r="C283" s="622" t="str">
        <f t="shared" si="125"/>
        <v>** NOT USED **</v>
      </c>
      <c r="D283" s="623"/>
      <c r="E283" s="624"/>
      <c r="F283" s="243"/>
      <c r="G283" s="42"/>
      <c r="H283" s="243"/>
      <c r="I283" s="243"/>
      <c r="J283" s="244">
        <f t="shared" si="132"/>
        <v>0</v>
      </c>
      <c r="K283" s="368"/>
      <c r="L283" s="62" t="str">
        <f t="shared" si="126"/>
        <v/>
      </c>
      <c r="M283" s="244">
        <f t="shared" si="133"/>
        <v>0</v>
      </c>
      <c r="N283" s="244">
        <f t="shared" si="134"/>
        <v>0</v>
      </c>
      <c r="P283" s="519" t="str">
        <f t="shared" si="127"/>
        <v/>
      </c>
      <c r="Q283" s="516">
        <f t="shared" si="128"/>
        <v>0</v>
      </c>
      <c r="R283" s="516">
        <f t="shared" si="129"/>
        <v>0</v>
      </c>
      <c r="S283" s="394" t="str">
        <f t="shared" si="130"/>
        <v/>
      </c>
      <c r="T283" s="394" t="str">
        <f t="shared" si="131"/>
        <v/>
      </c>
    </row>
    <row r="284" spans="2:21" x14ac:dyDescent="0.2">
      <c r="B284" s="249">
        <v>11</v>
      </c>
      <c r="C284" s="622" t="str">
        <f t="shared" si="125"/>
        <v>** NOT USED **</v>
      </c>
      <c r="D284" s="623"/>
      <c r="E284" s="624"/>
      <c r="F284" s="243"/>
      <c r="G284" s="42"/>
      <c r="H284" s="243"/>
      <c r="I284" s="243"/>
      <c r="J284" s="244">
        <f t="shared" si="132"/>
        <v>0</v>
      </c>
      <c r="K284" s="368"/>
      <c r="L284" s="62" t="str">
        <f t="shared" si="126"/>
        <v/>
      </c>
      <c r="M284" s="244">
        <f t="shared" si="133"/>
        <v>0</v>
      </c>
      <c r="N284" s="244">
        <f t="shared" si="134"/>
        <v>0</v>
      </c>
      <c r="P284" s="519" t="str">
        <f t="shared" si="127"/>
        <v/>
      </c>
      <c r="Q284" s="516">
        <f t="shared" si="128"/>
        <v>0</v>
      </c>
      <c r="R284" s="516">
        <f t="shared" si="129"/>
        <v>0</v>
      </c>
      <c r="S284" s="394" t="str">
        <f t="shared" si="130"/>
        <v/>
      </c>
      <c r="T284" s="394" t="str">
        <f t="shared" si="131"/>
        <v/>
      </c>
    </row>
    <row r="285" spans="2:21" x14ac:dyDescent="0.2">
      <c r="B285" s="249">
        <v>12</v>
      </c>
      <c r="C285" s="622" t="str">
        <f t="shared" si="125"/>
        <v>** NOT USED **</v>
      </c>
      <c r="D285" s="623"/>
      <c r="E285" s="624"/>
      <c r="F285" s="243"/>
      <c r="G285" s="42"/>
      <c r="H285" s="243"/>
      <c r="I285" s="243"/>
      <c r="J285" s="244">
        <f t="shared" si="132"/>
        <v>0</v>
      </c>
      <c r="K285" s="368"/>
      <c r="L285" s="62" t="str">
        <f t="shared" si="126"/>
        <v/>
      </c>
      <c r="M285" s="244">
        <f t="shared" si="133"/>
        <v>0</v>
      </c>
      <c r="N285" s="244">
        <f t="shared" si="134"/>
        <v>0</v>
      </c>
      <c r="P285" s="519" t="str">
        <f t="shared" si="127"/>
        <v/>
      </c>
      <c r="Q285" s="516">
        <f t="shared" si="128"/>
        <v>0</v>
      </c>
      <c r="R285" s="516">
        <f t="shared" si="129"/>
        <v>0</v>
      </c>
      <c r="S285" s="394" t="str">
        <f t="shared" si="130"/>
        <v/>
      </c>
      <c r="T285" s="394" t="str">
        <f t="shared" si="131"/>
        <v/>
      </c>
    </row>
    <row r="286" spans="2:21" x14ac:dyDescent="0.2">
      <c r="B286" s="249">
        <v>13</v>
      </c>
      <c r="C286" s="622" t="str">
        <f t="shared" si="125"/>
        <v>** NOT USED **</v>
      </c>
      <c r="D286" s="623"/>
      <c r="E286" s="624"/>
      <c r="F286" s="243"/>
      <c r="G286" s="42"/>
      <c r="H286" s="243"/>
      <c r="I286" s="243"/>
      <c r="J286" s="244">
        <f t="shared" si="132"/>
        <v>0</v>
      </c>
      <c r="K286" s="368"/>
      <c r="L286" s="62" t="str">
        <f t="shared" si="126"/>
        <v/>
      </c>
      <c r="M286" s="244">
        <f t="shared" si="133"/>
        <v>0</v>
      </c>
      <c r="N286" s="244">
        <f t="shared" si="134"/>
        <v>0</v>
      </c>
      <c r="P286" s="519" t="str">
        <f t="shared" si="127"/>
        <v/>
      </c>
      <c r="Q286" s="516">
        <f t="shared" si="128"/>
        <v>0</v>
      </c>
      <c r="R286" s="516">
        <f t="shared" si="129"/>
        <v>0</v>
      </c>
      <c r="S286" s="394" t="str">
        <f t="shared" si="130"/>
        <v/>
      </c>
      <c r="T286" s="394" t="str">
        <f t="shared" si="131"/>
        <v/>
      </c>
      <c r="U286" s="383"/>
    </row>
    <row r="287" spans="2:21" x14ac:dyDescent="0.2">
      <c r="B287" s="249">
        <v>14</v>
      </c>
      <c r="C287" s="622" t="str">
        <f t="shared" si="125"/>
        <v>** NOT USED **</v>
      </c>
      <c r="D287" s="623"/>
      <c r="E287" s="624"/>
      <c r="F287" s="243"/>
      <c r="G287" s="42"/>
      <c r="H287" s="243"/>
      <c r="I287" s="243"/>
      <c r="J287" s="244">
        <f t="shared" si="132"/>
        <v>0</v>
      </c>
      <c r="K287" s="368"/>
      <c r="L287" s="62" t="str">
        <f t="shared" si="126"/>
        <v/>
      </c>
      <c r="M287" s="244">
        <f t="shared" si="133"/>
        <v>0</v>
      </c>
      <c r="N287" s="244">
        <f t="shared" si="134"/>
        <v>0</v>
      </c>
      <c r="P287" s="519" t="str">
        <f t="shared" si="127"/>
        <v/>
      </c>
      <c r="Q287" s="516">
        <f t="shared" si="128"/>
        <v>0</v>
      </c>
      <c r="R287" s="516">
        <f t="shared" si="129"/>
        <v>0</v>
      </c>
      <c r="S287" s="394" t="str">
        <f t="shared" si="130"/>
        <v/>
      </c>
      <c r="T287" s="394" t="str">
        <f t="shared" si="131"/>
        <v/>
      </c>
      <c r="U287" s="383"/>
    </row>
    <row r="288" spans="2:21" x14ac:dyDescent="0.2">
      <c r="B288" s="249">
        <v>15</v>
      </c>
      <c r="C288" s="622" t="str">
        <f t="shared" si="125"/>
        <v>** NOT USED **</v>
      </c>
      <c r="D288" s="623"/>
      <c r="E288" s="624"/>
      <c r="F288" s="243"/>
      <c r="G288" s="42"/>
      <c r="H288" s="243"/>
      <c r="I288" s="243"/>
      <c r="J288" s="244">
        <f t="shared" si="132"/>
        <v>0</v>
      </c>
      <c r="K288" s="368"/>
      <c r="L288" s="62" t="str">
        <f t="shared" si="126"/>
        <v/>
      </c>
      <c r="M288" s="244">
        <f t="shared" si="133"/>
        <v>0</v>
      </c>
      <c r="N288" s="244">
        <f t="shared" si="134"/>
        <v>0</v>
      </c>
      <c r="P288" s="519" t="str">
        <f t="shared" si="127"/>
        <v/>
      </c>
      <c r="Q288" s="516">
        <f t="shared" si="128"/>
        <v>0</v>
      </c>
      <c r="R288" s="516">
        <f t="shared" si="129"/>
        <v>0</v>
      </c>
      <c r="S288" s="394" t="str">
        <f t="shared" si="130"/>
        <v/>
      </c>
      <c r="T288" s="394" t="str">
        <f t="shared" si="131"/>
        <v/>
      </c>
      <c r="U288" s="383"/>
    </row>
    <row r="289" spans="2:21" x14ac:dyDescent="0.2">
      <c r="B289" s="249">
        <v>16</v>
      </c>
      <c r="C289" s="622" t="str">
        <f t="shared" si="125"/>
        <v>** NOT USED **</v>
      </c>
      <c r="D289" s="623"/>
      <c r="E289" s="624"/>
      <c r="F289" s="243"/>
      <c r="G289" s="42"/>
      <c r="H289" s="243"/>
      <c r="I289" s="243"/>
      <c r="J289" s="244">
        <f t="shared" si="132"/>
        <v>0</v>
      </c>
      <c r="K289" s="368"/>
      <c r="L289" s="62" t="str">
        <f t="shared" si="126"/>
        <v/>
      </c>
      <c r="M289" s="244">
        <f t="shared" si="133"/>
        <v>0</v>
      </c>
      <c r="N289" s="244">
        <f t="shared" si="134"/>
        <v>0</v>
      </c>
      <c r="P289" s="519" t="str">
        <f t="shared" si="127"/>
        <v/>
      </c>
      <c r="Q289" s="516">
        <f t="shared" si="128"/>
        <v>0</v>
      </c>
      <c r="R289" s="516">
        <f t="shared" si="129"/>
        <v>0</v>
      </c>
      <c r="S289" s="394" t="str">
        <f t="shared" si="130"/>
        <v/>
      </c>
      <c r="T289" s="394" t="str">
        <f t="shared" si="131"/>
        <v/>
      </c>
      <c r="U289" s="383"/>
    </row>
    <row r="290" spans="2:21" x14ac:dyDescent="0.2">
      <c r="B290" s="249">
        <v>17</v>
      </c>
      <c r="C290" s="622" t="str">
        <f t="shared" si="125"/>
        <v>** NOT USED **</v>
      </c>
      <c r="D290" s="623"/>
      <c r="E290" s="624"/>
      <c r="F290" s="243"/>
      <c r="G290" s="42"/>
      <c r="H290" s="243"/>
      <c r="I290" s="243"/>
      <c r="J290" s="244">
        <f t="shared" si="132"/>
        <v>0</v>
      </c>
      <c r="K290" s="368"/>
      <c r="L290" s="62" t="str">
        <f t="shared" si="126"/>
        <v/>
      </c>
      <c r="M290" s="244">
        <f t="shared" si="133"/>
        <v>0</v>
      </c>
      <c r="N290" s="244">
        <f t="shared" si="134"/>
        <v>0</v>
      </c>
      <c r="P290" s="519" t="str">
        <f t="shared" si="127"/>
        <v/>
      </c>
      <c r="Q290" s="516">
        <f t="shared" si="128"/>
        <v>0</v>
      </c>
      <c r="R290" s="516">
        <f t="shared" si="129"/>
        <v>0</v>
      </c>
      <c r="S290" s="394" t="str">
        <f t="shared" si="130"/>
        <v/>
      </c>
      <c r="T290" s="394" t="str">
        <f t="shared" si="131"/>
        <v/>
      </c>
      <c r="U290" s="383"/>
    </row>
    <row r="291" spans="2:21" x14ac:dyDescent="0.2">
      <c r="B291" s="249">
        <v>18</v>
      </c>
      <c r="C291" s="622" t="str">
        <f t="shared" si="125"/>
        <v>** NOT USED **</v>
      </c>
      <c r="D291" s="623"/>
      <c r="E291" s="624"/>
      <c r="F291" s="243"/>
      <c r="G291" s="42"/>
      <c r="H291" s="243"/>
      <c r="I291" s="243"/>
      <c r="J291" s="244">
        <f t="shared" si="132"/>
        <v>0</v>
      </c>
      <c r="K291" s="368"/>
      <c r="L291" s="62" t="str">
        <f t="shared" si="126"/>
        <v/>
      </c>
      <c r="M291" s="244">
        <f t="shared" si="133"/>
        <v>0</v>
      </c>
      <c r="N291" s="244">
        <f t="shared" si="134"/>
        <v>0</v>
      </c>
      <c r="P291" s="519" t="str">
        <f t="shared" si="127"/>
        <v/>
      </c>
      <c r="Q291" s="516">
        <f t="shared" si="128"/>
        <v>0</v>
      </c>
      <c r="R291" s="516">
        <f t="shared" si="129"/>
        <v>0</v>
      </c>
      <c r="S291" s="394" t="str">
        <f t="shared" si="130"/>
        <v/>
      </c>
      <c r="T291" s="394" t="str">
        <f t="shared" si="131"/>
        <v/>
      </c>
      <c r="U291" s="383"/>
    </row>
    <row r="292" spans="2:21" x14ac:dyDescent="0.2">
      <c r="B292" s="249">
        <v>19</v>
      </c>
      <c r="C292" s="622" t="str">
        <f t="shared" si="125"/>
        <v>** NOT USED **</v>
      </c>
      <c r="D292" s="623"/>
      <c r="E292" s="624"/>
      <c r="F292" s="243"/>
      <c r="G292" s="42"/>
      <c r="H292" s="243"/>
      <c r="I292" s="243"/>
      <c r="J292" s="244">
        <f t="shared" si="132"/>
        <v>0</v>
      </c>
      <c r="K292" s="368"/>
      <c r="L292" s="62" t="str">
        <f t="shared" si="126"/>
        <v/>
      </c>
      <c r="M292" s="244">
        <f t="shared" si="133"/>
        <v>0</v>
      </c>
      <c r="N292" s="244">
        <f t="shared" si="134"/>
        <v>0</v>
      </c>
      <c r="P292" s="519" t="str">
        <f t="shared" si="127"/>
        <v/>
      </c>
      <c r="Q292" s="516">
        <f t="shared" si="128"/>
        <v>0</v>
      </c>
      <c r="R292" s="516">
        <f t="shared" si="129"/>
        <v>0</v>
      </c>
      <c r="S292" s="394" t="str">
        <f t="shared" si="130"/>
        <v/>
      </c>
      <c r="T292" s="394" t="str">
        <f t="shared" si="131"/>
        <v/>
      </c>
    </row>
    <row r="293" spans="2:21" x14ac:dyDescent="0.2">
      <c r="B293" s="249">
        <v>20</v>
      </c>
      <c r="C293" s="622" t="str">
        <f t="shared" si="125"/>
        <v>** NOT USED **</v>
      </c>
      <c r="D293" s="623"/>
      <c r="E293" s="624"/>
      <c r="F293" s="243"/>
      <c r="G293" s="42"/>
      <c r="H293" s="243"/>
      <c r="I293" s="243"/>
      <c r="J293" s="244">
        <f t="shared" si="132"/>
        <v>0</v>
      </c>
      <c r="K293" s="368"/>
      <c r="L293" s="62" t="str">
        <f t="shared" si="126"/>
        <v/>
      </c>
      <c r="M293" s="244">
        <f t="shared" si="133"/>
        <v>0</v>
      </c>
      <c r="N293" s="244">
        <f t="shared" si="134"/>
        <v>0</v>
      </c>
      <c r="P293" s="519" t="str">
        <f t="shared" si="127"/>
        <v/>
      </c>
      <c r="Q293" s="516">
        <f t="shared" si="128"/>
        <v>0</v>
      </c>
      <c r="R293" s="516">
        <f t="shared" si="129"/>
        <v>0</v>
      </c>
      <c r="S293" s="394" t="str">
        <f t="shared" si="130"/>
        <v/>
      </c>
      <c r="T293" s="394" t="str">
        <f t="shared" si="131"/>
        <v/>
      </c>
    </row>
    <row r="294" spans="2:21" x14ac:dyDescent="0.2">
      <c r="S294" s="518">
        <f>SUM(S274:S293)</f>
        <v>0</v>
      </c>
    </row>
    <row r="295" spans="2:21" x14ac:dyDescent="0.2">
      <c r="F295" s="455"/>
    </row>
    <row r="296" spans="2:21" ht="15.75" x14ac:dyDescent="0.2">
      <c r="C296" s="111" t="s">
        <v>851</v>
      </c>
      <c r="D296" s="111"/>
      <c r="E296" s="111"/>
      <c r="F296" s="137"/>
      <c r="G296" s="112"/>
      <c r="H296" s="112"/>
      <c r="I296" s="112"/>
      <c r="J296" s="112"/>
      <c r="K296" s="112"/>
      <c r="L296" s="112"/>
      <c r="M296" s="112"/>
      <c r="N296" s="112"/>
    </row>
    <row r="297" spans="2:21" x14ac:dyDescent="0.2">
      <c r="C297" s="484"/>
      <c r="D297" s="484"/>
      <c r="E297" s="484"/>
      <c r="F297" s="484"/>
      <c r="G297" s="484"/>
      <c r="H297" s="484"/>
      <c r="I297" s="484"/>
      <c r="J297" s="484"/>
      <c r="K297" s="484"/>
      <c r="L297" s="484"/>
      <c r="M297" s="484"/>
      <c r="N297" s="484"/>
    </row>
    <row r="298" spans="2:21" x14ac:dyDescent="0.2">
      <c r="C298" s="484" t="s">
        <v>861</v>
      </c>
      <c r="D298" s="484"/>
      <c r="E298" s="484"/>
      <c r="F298" s="484"/>
      <c r="G298" s="484"/>
      <c r="H298" s="484"/>
      <c r="I298" s="484"/>
      <c r="J298" s="484"/>
      <c r="K298" s="484"/>
      <c r="L298" s="484"/>
    </row>
  </sheetData>
  <mergeCells count="63">
    <mergeCell ref="L1:N1"/>
    <mergeCell ref="C293:E293"/>
    <mergeCell ref="K152:M152"/>
    <mergeCell ref="K164:M164"/>
    <mergeCell ref="K176:M176"/>
    <mergeCell ref="K188:M188"/>
    <mergeCell ref="K200:M200"/>
    <mergeCell ref="K212:M212"/>
    <mergeCell ref="K224:M224"/>
    <mergeCell ref="K236:M236"/>
    <mergeCell ref="K248:M248"/>
    <mergeCell ref="K260:M260"/>
    <mergeCell ref="C288:E288"/>
    <mergeCell ref="C289:E289"/>
    <mergeCell ref="C290:E290"/>
    <mergeCell ref="C291:E291"/>
    <mergeCell ref="C292:E292"/>
    <mergeCell ref="C284:E284"/>
    <mergeCell ref="C285:E285"/>
    <mergeCell ref="C286:E286"/>
    <mergeCell ref="C287:E287"/>
    <mergeCell ref="C283:E283"/>
    <mergeCell ref="C277:E277"/>
    <mergeCell ref="C278:E278"/>
    <mergeCell ref="C279:E279"/>
    <mergeCell ref="C280:E280"/>
    <mergeCell ref="C281:E281"/>
    <mergeCell ref="C282:E282"/>
    <mergeCell ref="K80:M80"/>
    <mergeCell ref="C276:E276"/>
    <mergeCell ref="C273:E273"/>
    <mergeCell ref="C274:E274"/>
    <mergeCell ref="C275:E275"/>
    <mergeCell ref="H272:J272"/>
    <mergeCell ref="K92:M92"/>
    <mergeCell ref="K104:M104"/>
    <mergeCell ref="K116:M116"/>
    <mergeCell ref="K128:M128"/>
    <mergeCell ref="K140:M140"/>
    <mergeCell ref="L148:M148"/>
    <mergeCell ref="L160:M160"/>
    <mergeCell ref="L172:M172"/>
    <mergeCell ref="L184:M184"/>
    <mergeCell ref="L196:M196"/>
    <mergeCell ref="L208:M208"/>
    <mergeCell ref="L220:M220"/>
    <mergeCell ref="L232:M232"/>
    <mergeCell ref="L244:M244"/>
    <mergeCell ref="L256:M256"/>
    <mergeCell ref="L28:M28"/>
    <mergeCell ref="L40:M40"/>
    <mergeCell ref="L52:M52"/>
    <mergeCell ref="L64:M64"/>
    <mergeCell ref="L76:M76"/>
    <mergeCell ref="K32:M32"/>
    <mergeCell ref="K44:M44"/>
    <mergeCell ref="K56:M56"/>
    <mergeCell ref="K68:M68"/>
    <mergeCell ref="L88:M88"/>
    <mergeCell ref="L100:M100"/>
    <mergeCell ref="L112:M112"/>
    <mergeCell ref="L124:M124"/>
    <mergeCell ref="L136:M136"/>
  </mergeCells>
  <conditionalFormatting sqref="F274:I293">
    <cfRule type="expression" dxfId="82" priority="2">
      <formula>$C274=MsgNotUsed</formula>
    </cfRule>
  </conditionalFormatting>
  <conditionalFormatting sqref="H272:J272">
    <cfRule type="notContainsBlanks" dxfId="81" priority="44">
      <formula>LEN(TRIM(H272))&gt;0</formula>
    </cfRule>
  </conditionalFormatting>
  <conditionalFormatting sqref="I273">
    <cfRule type="expression" dxfId="80" priority="43">
      <formula>$S$294=0</formula>
    </cfRule>
  </conditionalFormatting>
  <conditionalFormatting sqref="I274:I293">
    <cfRule type="expression" dxfId="79" priority="1">
      <formula>$S274=0</formula>
    </cfRule>
    <cfRule type="expression" dxfId="78" priority="154">
      <formula>SplitPPMarket&lt;&gt;"Y"</formula>
    </cfRule>
  </conditionalFormatting>
  <conditionalFormatting sqref="K32:N32">
    <cfRule type="notContainsBlanks" dxfId="77" priority="85">
      <formula>LEN(TRIM(K32))&gt;0</formula>
    </cfRule>
  </conditionalFormatting>
  <conditionalFormatting sqref="K44:N44">
    <cfRule type="notContainsBlanks" dxfId="76" priority="21">
      <formula>LEN(TRIM(K44))&gt;0</formula>
    </cfRule>
  </conditionalFormatting>
  <conditionalFormatting sqref="K56:N56">
    <cfRule type="notContainsBlanks" dxfId="75" priority="20">
      <formula>LEN(TRIM(K56))&gt;0</formula>
    </cfRule>
  </conditionalFormatting>
  <conditionalFormatting sqref="K68:N68">
    <cfRule type="notContainsBlanks" dxfId="74" priority="19">
      <formula>LEN(TRIM(K68))&gt;0</formula>
    </cfRule>
  </conditionalFormatting>
  <conditionalFormatting sqref="K80:N80">
    <cfRule type="notContainsBlanks" dxfId="73" priority="18">
      <formula>LEN(TRIM(K80))&gt;0</formula>
    </cfRule>
  </conditionalFormatting>
  <conditionalFormatting sqref="K92:N92">
    <cfRule type="notContainsBlanks" dxfId="72" priority="17">
      <formula>LEN(TRIM(K92))&gt;0</formula>
    </cfRule>
  </conditionalFormatting>
  <conditionalFormatting sqref="K104:N104">
    <cfRule type="notContainsBlanks" dxfId="71" priority="16">
      <formula>LEN(TRIM(K104))&gt;0</formula>
    </cfRule>
  </conditionalFormatting>
  <conditionalFormatting sqref="K116:N116">
    <cfRule type="notContainsBlanks" dxfId="70" priority="15">
      <formula>LEN(TRIM(K116))&gt;0</formula>
    </cfRule>
  </conditionalFormatting>
  <conditionalFormatting sqref="K128:N128">
    <cfRule type="notContainsBlanks" dxfId="69" priority="14">
      <formula>LEN(TRIM(K128))&gt;0</formula>
    </cfRule>
  </conditionalFormatting>
  <conditionalFormatting sqref="K140:N140">
    <cfRule type="notContainsBlanks" dxfId="68" priority="13">
      <formula>LEN(TRIM(K140))&gt;0</formula>
    </cfRule>
  </conditionalFormatting>
  <conditionalFormatting sqref="K152:N152">
    <cfRule type="notContainsBlanks" dxfId="67" priority="12">
      <formula>LEN(TRIM(K152))&gt;0</formula>
    </cfRule>
  </conditionalFormatting>
  <conditionalFormatting sqref="K164:N164">
    <cfRule type="notContainsBlanks" dxfId="66" priority="11">
      <formula>LEN(TRIM(K164))&gt;0</formula>
    </cfRule>
  </conditionalFormatting>
  <conditionalFormatting sqref="K176:N176">
    <cfRule type="notContainsBlanks" dxfId="65" priority="10">
      <formula>LEN(TRIM(K176))&gt;0</formula>
    </cfRule>
  </conditionalFormatting>
  <conditionalFormatting sqref="K188:N188">
    <cfRule type="notContainsBlanks" dxfId="64" priority="9">
      <formula>LEN(TRIM(K188))&gt;0</formula>
    </cfRule>
  </conditionalFormatting>
  <conditionalFormatting sqref="K200:N200">
    <cfRule type="notContainsBlanks" dxfId="63" priority="8">
      <formula>LEN(TRIM(K200))&gt;0</formula>
    </cfRule>
  </conditionalFormatting>
  <conditionalFormatting sqref="K212:N212">
    <cfRule type="notContainsBlanks" dxfId="62" priority="7">
      <formula>LEN(TRIM(K212))&gt;0</formula>
    </cfRule>
  </conditionalFormatting>
  <conditionalFormatting sqref="K224:N224">
    <cfRule type="notContainsBlanks" dxfId="61" priority="6">
      <formula>LEN(TRIM(K224))&gt;0</formula>
    </cfRule>
  </conditionalFormatting>
  <conditionalFormatting sqref="K236:N236">
    <cfRule type="notContainsBlanks" dxfId="60" priority="5">
      <formula>LEN(TRIM(K236))&gt;0</formula>
    </cfRule>
  </conditionalFormatting>
  <conditionalFormatting sqref="K248:N248">
    <cfRule type="notContainsBlanks" dxfId="59" priority="4">
      <formula>LEN(TRIM(K248))&gt;0</formula>
    </cfRule>
  </conditionalFormatting>
  <conditionalFormatting sqref="K260:N260">
    <cfRule type="notContainsBlanks" dxfId="58" priority="3">
      <formula>LEN(TRIM(K260))&gt;0</formula>
    </cfRule>
  </conditionalFormatting>
  <dataValidations count="2">
    <dataValidation allowBlank="1" showErrorMessage="1" sqref="D60:I62 D36:I38 D127:I129 D48:I50 D55:I57 D31:I34 D67:I69 D264:I266 D120:I122 D72:I74 D79:I81 D84:I86 D91:I93 D96:I98 D103:I105 D108:I110 D115:I117 D43:I45 D24:I24 D139:I141 D15:I17 F58:I58 D132:I134 D144:I146 D151:I153 D156:I158 D163:I165 D168:I170 D175:I177 D180:I182 D187:I189 D192:I194 D199:I201 D204:I206 D211:I213 D216:I218 D223:I225 D228:I230 D235:I237 D240:I242 D247:I249 D252:I254 D259:I261 D20:I22 J58:N62" xr:uid="{00000000-0002-0000-0B00-000000000000}"/>
    <dataValidation type="list" allowBlank="1" showInputMessage="1" showErrorMessage="1" sqref="K274:K293" xr:uid="{00000000-0002-0000-0B00-000001000000}">
      <formula1>CoPayBands</formula1>
    </dataValidation>
  </dataValidations>
  <pageMargins left="0.11811023622047245" right="0.11811023622047245" top="0.19685039370078741" bottom="0.15748031496062992" header="0.31496062992125984" footer="0.31496062992125984"/>
  <pageSetup paperSize="9" scale="47" orientation="landscape" horizontalDpi="300" verticalDpi="300" r:id="rId1"/>
  <headerFooter>
    <oddHeader>&amp;C&amp;"Calibri"&amp;12&amp;KFF0000 OFFICIAL&amp;1#_x000D_</oddHeader>
    <oddFooter>&amp;C_x000D_&amp;1#&amp;"Calibri"&amp;12&amp;KFF0000 OFFICIAL</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6">
    <tabColor theme="4"/>
    <pageSetUpPr fitToPage="1"/>
  </sheetPr>
  <dimension ref="A1:T298"/>
  <sheetViews>
    <sheetView showGridLines="0" zoomScaleNormal="100" workbookViewId="0">
      <pane ySplit="3" topLeftCell="A4" activePane="bottomLeft" state="frozen"/>
      <selection activeCell="B7" sqref="B7:G7"/>
      <selection pane="bottomLeft" activeCell="A4" sqref="A4"/>
    </sheetView>
  </sheetViews>
  <sheetFormatPr defaultRowHeight="12.75" customHeight="1" outlineLevelRow="1" x14ac:dyDescent="0.2"/>
  <cols>
    <col min="1" max="1" width="3.7109375" customWidth="1"/>
    <col min="2" max="2" width="3.7109375" hidden="1" customWidth="1"/>
    <col min="3" max="3" width="20.7109375" customWidth="1"/>
    <col min="4" max="14" width="15.7109375" customWidth="1"/>
    <col min="15" max="16" width="3.7109375" hidden="1" customWidth="1"/>
    <col min="17" max="20" width="10.7109375" hidden="1" customWidth="1"/>
  </cols>
  <sheetData>
    <row r="1" spans="1:14" ht="23.25" x14ac:dyDescent="0.2">
      <c r="A1" s="284">
        <f>IF((SUM(D24:I24)&lt;&gt;0),2,0)</f>
        <v>0</v>
      </c>
      <c r="B1" s="280"/>
      <c r="C1" s="281" t="s">
        <v>928</v>
      </c>
      <c r="D1" s="281"/>
      <c r="E1" s="281"/>
      <c r="F1" s="280"/>
      <c r="G1" s="280"/>
      <c r="H1" s="280"/>
      <c r="I1" s="280"/>
      <c r="J1" s="280"/>
      <c r="K1" s="280"/>
      <c r="L1" s="628" t="str">
        <f>IF(SPAChangeFlag=0,MsgNotRequired,IF(A1=0,MsgNotUsed,""))</f>
        <v>** NOT REQUIRED **</v>
      </c>
      <c r="M1" s="628"/>
      <c r="N1" s="628"/>
    </row>
    <row r="2" spans="1:14" ht="15.75" x14ac:dyDescent="0.2">
      <c r="A2" s="280"/>
      <c r="B2" s="280"/>
      <c r="C2" s="282" t="str">
        <f>CONCATENATE("Name of medicine: ", MedicineBrand)</f>
        <v xml:space="preserve">Name of medicine: </v>
      </c>
      <c r="D2" s="283"/>
      <c r="E2" s="283"/>
      <c r="F2" s="280"/>
      <c r="G2" s="280"/>
      <c r="H2" s="280"/>
      <c r="I2" s="280"/>
      <c r="J2" s="280"/>
      <c r="K2" s="280"/>
      <c r="L2" s="280"/>
      <c r="M2" s="280"/>
      <c r="N2" s="280"/>
    </row>
    <row r="3" spans="1:14" ht="15.75" x14ac:dyDescent="0.2">
      <c r="A3" s="280"/>
      <c r="B3" s="280"/>
      <c r="C3" s="282" t="str">
        <f>CONCATENATE("Indication: ",Indication)</f>
        <v xml:space="preserve">Indication: </v>
      </c>
      <c r="D3" s="283"/>
      <c r="E3" s="283"/>
      <c r="F3" s="280"/>
      <c r="G3" s="280"/>
      <c r="H3" s="280"/>
      <c r="I3" s="280"/>
      <c r="J3" s="280"/>
      <c r="K3" s="280"/>
      <c r="L3" s="280"/>
      <c r="M3" s="280"/>
      <c r="N3" s="280"/>
    </row>
    <row r="4" spans="1:14" x14ac:dyDescent="0.2">
      <c r="A4" s="319"/>
      <c r="B4" s="319"/>
      <c r="C4" s="461"/>
      <c r="D4" s="461"/>
      <c r="E4" s="461"/>
      <c r="F4" s="319"/>
      <c r="G4" s="319"/>
      <c r="H4" s="319"/>
      <c r="I4" s="319"/>
      <c r="J4" s="319"/>
      <c r="K4" s="319"/>
      <c r="L4" s="319"/>
      <c r="M4" s="319"/>
      <c r="N4" s="319"/>
    </row>
    <row r="5" spans="1:14" ht="15.75" x14ac:dyDescent="0.2">
      <c r="A5" s="110"/>
      <c r="B5" s="110"/>
      <c r="C5" s="111" t="s">
        <v>2</v>
      </c>
      <c r="D5" s="111"/>
      <c r="E5" s="111"/>
      <c r="F5" s="126"/>
      <c r="G5" s="113"/>
      <c r="H5" s="113"/>
      <c r="I5" s="113"/>
      <c r="J5" s="113"/>
      <c r="K5" s="113"/>
      <c r="L5" s="113"/>
      <c r="M5" s="113"/>
      <c r="N5" s="113"/>
    </row>
    <row r="6" spans="1:14" ht="14.25" x14ac:dyDescent="0.2">
      <c r="C6" s="449"/>
      <c r="D6" s="449"/>
      <c r="E6" s="449"/>
      <c r="F6" s="455"/>
    </row>
    <row r="7" spans="1:14" x14ac:dyDescent="0.2">
      <c r="C7" t="s">
        <v>769</v>
      </c>
    </row>
    <row r="8" spans="1:14" x14ac:dyDescent="0.2">
      <c r="C8" s="447"/>
      <c r="D8" s="447"/>
      <c r="E8" s="447"/>
      <c r="F8" s="459"/>
      <c r="G8" s="459"/>
      <c r="H8" s="459"/>
      <c r="I8" s="459"/>
      <c r="J8" s="459"/>
      <c r="K8" s="459"/>
      <c r="L8" s="459"/>
      <c r="M8" s="459"/>
      <c r="N8" s="459"/>
    </row>
    <row r="9" spans="1:14" x14ac:dyDescent="0.2"/>
    <row r="10" spans="1:14" ht="15.75" x14ac:dyDescent="0.2">
      <c r="C10" s="111" t="s">
        <v>856</v>
      </c>
      <c r="D10" s="111"/>
      <c r="E10" s="111"/>
      <c r="F10" s="126"/>
      <c r="G10" s="113"/>
      <c r="H10" s="113"/>
      <c r="I10" s="113"/>
      <c r="J10" s="113"/>
      <c r="K10" s="113"/>
      <c r="L10" s="113"/>
      <c r="M10" s="113"/>
      <c r="N10" s="113"/>
    </row>
    <row r="11" spans="1:14" ht="15.75" x14ac:dyDescent="0.2">
      <c r="C11" s="454"/>
      <c r="D11" s="454"/>
      <c r="E11" s="454"/>
      <c r="F11" s="455"/>
    </row>
    <row r="12" spans="1:14" x14ac:dyDescent="0.2">
      <c r="C12" s="172" t="s">
        <v>821</v>
      </c>
      <c r="D12" s="172"/>
      <c r="E12" s="172"/>
      <c r="F12" s="172"/>
      <c r="G12" s="172"/>
      <c r="H12" s="172"/>
      <c r="I12" s="172"/>
      <c r="J12" s="172"/>
      <c r="K12" s="172"/>
      <c r="L12" s="172"/>
      <c r="M12" s="172"/>
      <c r="N12" s="172"/>
    </row>
    <row r="13" spans="1:14" x14ac:dyDescent="0.2">
      <c r="C13" s="456"/>
      <c r="D13" s="456"/>
      <c r="E13" s="456"/>
      <c r="L13" s="456"/>
      <c r="M13" s="456"/>
      <c r="N13" s="456"/>
    </row>
    <row r="14" spans="1:14" ht="15.75" x14ac:dyDescent="0.2">
      <c r="C14" s="454" t="s">
        <v>98</v>
      </c>
      <c r="D14" s="74">
        <f>FirstYear</f>
        <v>2026</v>
      </c>
      <c r="E14" s="74">
        <f>D14+1</f>
        <v>2027</v>
      </c>
      <c r="F14" s="74">
        <f>E14+1</f>
        <v>2028</v>
      </c>
      <c r="G14" s="74">
        <f>F14+1</f>
        <v>2029</v>
      </c>
      <c r="H14" s="74">
        <f>G14+1</f>
        <v>2030</v>
      </c>
      <c r="I14" s="74">
        <f>H14+1</f>
        <v>2031</v>
      </c>
    </row>
    <row r="15" spans="1:14" x14ac:dyDescent="0.2">
      <c r="C15" s="76" t="s">
        <v>83</v>
      </c>
      <c r="D15" s="239">
        <f>D31+D43+D55+D67+D79+D91+D103+D115+D127+D139+D151+D163+D175+D187+D199+D211+D223+D235+D247+D259</f>
        <v>0</v>
      </c>
      <c r="E15" s="239">
        <f t="shared" ref="E15:I16" si="0">E31+E43+E55+E67+E79+E91+E103+E115+E127+E139+E151+E163+E175+E187+E199+E211+E223+E235+E247+E259</f>
        <v>0</v>
      </c>
      <c r="F15" s="239">
        <f t="shared" si="0"/>
        <v>0</v>
      </c>
      <c r="G15" s="239">
        <f t="shared" si="0"/>
        <v>0</v>
      </c>
      <c r="H15" s="239">
        <f t="shared" si="0"/>
        <v>0</v>
      </c>
      <c r="I15" s="239">
        <f t="shared" si="0"/>
        <v>0</v>
      </c>
    </row>
    <row r="16" spans="1:14" x14ac:dyDescent="0.2">
      <c r="C16" s="3" t="s">
        <v>108</v>
      </c>
      <c r="D16" s="239">
        <f>D32+D44+D56+D68+D80+D92+D104+D116+D128+D140+D152+D164+D176+D188+D200+D212+D224+D236+D248+D260</f>
        <v>0</v>
      </c>
      <c r="E16" s="239">
        <f t="shared" si="0"/>
        <v>0</v>
      </c>
      <c r="F16" s="239">
        <f t="shared" si="0"/>
        <v>0</v>
      </c>
      <c r="G16" s="239">
        <f t="shared" si="0"/>
        <v>0</v>
      </c>
      <c r="H16" s="239">
        <f t="shared" si="0"/>
        <v>0</v>
      </c>
      <c r="I16" s="239">
        <f t="shared" si="0"/>
        <v>0</v>
      </c>
    </row>
    <row r="17" spans="2:14" x14ac:dyDescent="0.2">
      <c r="C17" s="3" t="s">
        <v>85</v>
      </c>
      <c r="D17" s="240">
        <f t="shared" ref="D17:I17" si="1">D15+D16</f>
        <v>0</v>
      </c>
      <c r="E17" s="240">
        <f t="shared" si="1"/>
        <v>0</v>
      </c>
      <c r="F17" s="240">
        <f t="shared" si="1"/>
        <v>0</v>
      </c>
      <c r="G17" s="240">
        <f t="shared" si="1"/>
        <v>0</v>
      </c>
      <c r="H17" s="240">
        <f t="shared" si="1"/>
        <v>0</v>
      </c>
      <c r="I17" s="240">
        <f t="shared" si="1"/>
        <v>0</v>
      </c>
    </row>
    <row r="18" spans="2:14" x14ac:dyDescent="0.2">
      <c r="C18" s="457"/>
      <c r="D18" s="457"/>
      <c r="E18" s="457"/>
      <c r="F18" s="31"/>
      <c r="G18" s="31"/>
      <c r="H18" s="31"/>
      <c r="I18" s="31"/>
      <c r="J18" s="31"/>
      <c r="K18" s="31"/>
    </row>
    <row r="19" spans="2:14" ht="15.75" x14ac:dyDescent="0.2">
      <c r="C19" s="454" t="s">
        <v>99</v>
      </c>
      <c r="D19" s="74">
        <f>FirstYear</f>
        <v>2026</v>
      </c>
      <c r="E19" s="74">
        <f>D19+1</f>
        <v>2027</v>
      </c>
      <c r="F19" s="74">
        <f>E19+1</f>
        <v>2028</v>
      </c>
      <c r="G19" s="74">
        <f>F19+1</f>
        <v>2029</v>
      </c>
      <c r="H19" s="74">
        <f>G19+1</f>
        <v>2030</v>
      </c>
      <c r="I19" s="74">
        <f>H19+1</f>
        <v>2031</v>
      </c>
    </row>
    <row r="20" spans="2:14" x14ac:dyDescent="0.2">
      <c r="C20" s="76" t="s">
        <v>84</v>
      </c>
      <c r="D20" s="238">
        <f>D36+D48+D60+D72+D84+D96+D108+D120+D132+D144+D156+D168+D180+D192+D204+D216+D228+D240+D252+D264</f>
        <v>0</v>
      </c>
      <c r="E20" s="238">
        <f t="shared" ref="E20:I21" si="2">E36+E48+E60+E72+E84+E96+E108+E120+E132+E144+E156+E168+E180+E192+E204+E216+E228+E240+E252+E264</f>
        <v>0</v>
      </c>
      <c r="F20" s="238">
        <f t="shared" si="2"/>
        <v>0</v>
      </c>
      <c r="G20" s="238">
        <f t="shared" si="2"/>
        <v>0</v>
      </c>
      <c r="H20" s="238">
        <f t="shared" si="2"/>
        <v>0</v>
      </c>
      <c r="I20" s="238">
        <f t="shared" si="2"/>
        <v>0</v>
      </c>
    </row>
    <row r="21" spans="2:14" x14ac:dyDescent="0.2">
      <c r="C21" s="3" t="s">
        <v>108</v>
      </c>
      <c r="D21" s="238">
        <f>D37+D49+D61+D73+D85+D97+D109+D121+D133+D145+D157+D169+D181+D193+D205+D217+D229+D241+D253+D265</f>
        <v>0</v>
      </c>
      <c r="E21" s="238">
        <f t="shared" si="2"/>
        <v>0</v>
      </c>
      <c r="F21" s="238">
        <f t="shared" si="2"/>
        <v>0</v>
      </c>
      <c r="G21" s="238">
        <f t="shared" si="2"/>
        <v>0</v>
      </c>
      <c r="H21" s="238">
        <f t="shared" si="2"/>
        <v>0</v>
      </c>
      <c r="I21" s="238">
        <f t="shared" si="2"/>
        <v>0</v>
      </c>
    </row>
    <row r="22" spans="2:14" x14ac:dyDescent="0.2">
      <c r="C22" s="3" t="s">
        <v>86</v>
      </c>
      <c r="D22" s="242">
        <f t="shared" ref="D22:I22" si="3">D20+D21</f>
        <v>0</v>
      </c>
      <c r="E22" s="242">
        <f t="shared" si="3"/>
        <v>0</v>
      </c>
      <c r="F22" s="242">
        <f t="shared" si="3"/>
        <v>0</v>
      </c>
      <c r="G22" s="242">
        <f t="shared" si="3"/>
        <v>0</v>
      </c>
      <c r="H22" s="242">
        <f t="shared" si="3"/>
        <v>0</v>
      </c>
      <c r="I22" s="242">
        <f t="shared" si="3"/>
        <v>0</v>
      </c>
    </row>
    <row r="23" spans="2:14" x14ac:dyDescent="0.2">
      <c r="C23" s="457"/>
      <c r="D23" s="457"/>
      <c r="E23" s="457"/>
      <c r="F23" s="31"/>
      <c r="G23" s="31"/>
      <c r="H23" s="31"/>
      <c r="I23" s="31"/>
      <c r="J23" s="31"/>
      <c r="K23" s="31"/>
    </row>
    <row r="24" spans="2:14" x14ac:dyDescent="0.2">
      <c r="C24" s="233" t="s">
        <v>832</v>
      </c>
      <c r="D24" s="241">
        <f t="shared" ref="D24:I24" si="4">D22+D17</f>
        <v>0</v>
      </c>
      <c r="E24" s="241">
        <f t="shared" si="4"/>
        <v>0</v>
      </c>
      <c r="F24" s="241">
        <f t="shared" si="4"/>
        <v>0</v>
      </c>
      <c r="G24" s="241">
        <f t="shared" si="4"/>
        <v>0</v>
      </c>
      <c r="H24" s="241">
        <f t="shared" si="4"/>
        <v>0</v>
      </c>
      <c r="I24" s="241">
        <f t="shared" si="4"/>
        <v>0</v>
      </c>
      <c r="J24" s="31"/>
      <c r="K24" s="31"/>
    </row>
    <row r="25" spans="2:14" x14ac:dyDescent="0.2">
      <c r="C25" s="457"/>
      <c r="D25" s="457"/>
      <c r="E25" s="457"/>
      <c r="F25" s="31"/>
      <c r="G25" s="31"/>
      <c r="H25" s="31"/>
      <c r="I25" s="31"/>
      <c r="J25" s="31"/>
      <c r="K25" s="31"/>
    </row>
    <row r="26" spans="2:14" ht="15.75" x14ac:dyDescent="0.2">
      <c r="C26" s="111" t="s">
        <v>857</v>
      </c>
      <c r="D26" s="111"/>
      <c r="E26" s="111"/>
      <c r="F26" s="116"/>
      <c r="G26" s="116"/>
      <c r="H26" s="116"/>
      <c r="I26" s="116"/>
      <c r="J26" s="116"/>
      <c r="K26" s="116"/>
      <c r="L26" s="116"/>
      <c r="M26" s="113"/>
      <c r="N26" s="113"/>
    </row>
    <row r="27" spans="2:14" x14ac:dyDescent="0.2">
      <c r="C27" s="457"/>
      <c r="D27" s="457"/>
      <c r="E27" s="457"/>
      <c r="F27" s="31"/>
      <c r="G27" s="31"/>
      <c r="H27" s="31"/>
      <c r="I27" s="31"/>
      <c r="J27" s="31"/>
      <c r="K27" s="31"/>
      <c r="L27" s="31"/>
      <c r="M27" s="31"/>
      <c r="N27" s="31"/>
    </row>
    <row r="28" spans="2:14" ht="15" x14ac:dyDescent="0.2">
      <c r="B28" s="249">
        <v>1</v>
      </c>
      <c r="C28" s="129" t="str">
        <f>IF(SPAChangeFlag&lt;&gt;0,INDEX(PBSScriptsChanged,B28,1),MsgNotRequired)</f>
        <v>** NOT REQUIRED **</v>
      </c>
      <c r="D28" s="123"/>
      <c r="E28" s="123"/>
      <c r="F28" s="123"/>
      <c r="G28" s="123"/>
      <c r="H28" s="123"/>
      <c r="I28" s="123"/>
      <c r="J28" s="116"/>
      <c r="K28" s="116"/>
      <c r="L28" s="588" t="str">
        <f>IF(AND(C28&lt;&gt;MsgNotUsed,C28&lt;&gt;MsgNotRequired),"Co-payment group " &amp; INDEX(DPMQCoPayChangedEff,B28,2),"")</f>
        <v/>
      </c>
      <c r="M28" s="588"/>
      <c r="N28" s="380"/>
    </row>
    <row r="29" spans="2:14" ht="12.75" hidden="1" customHeight="1" outlineLevel="1" x14ac:dyDescent="0.2">
      <c r="B29" s="209">
        <f>INDEX(SAChanged,B28,5)</f>
        <v>0</v>
      </c>
      <c r="C29" s="457"/>
      <c r="D29" s="319">
        <v>2</v>
      </c>
      <c r="E29" s="319">
        <v>3</v>
      </c>
      <c r="F29" s="319">
        <v>4</v>
      </c>
      <c r="G29" s="319">
        <v>5</v>
      </c>
      <c r="H29" s="319">
        <v>6</v>
      </c>
      <c r="I29" s="319">
        <v>7</v>
      </c>
      <c r="J29" s="31"/>
      <c r="K29" s="31"/>
      <c r="L29" s="31"/>
      <c r="M29" s="31"/>
      <c r="N29" s="31"/>
    </row>
    <row r="30" spans="2:14" ht="12.75" hidden="1" customHeight="1" outlineLevel="1" x14ac:dyDescent="0.2">
      <c r="B30" s="121"/>
      <c r="D30" s="74">
        <f>FirstYear</f>
        <v>2026</v>
      </c>
      <c r="E30" s="74">
        <f>D30+1</f>
        <v>2027</v>
      </c>
      <c r="F30" s="74">
        <f>E30+1</f>
        <v>2028</v>
      </c>
      <c r="G30" s="74">
        <f>F30+1</f>
        <v>2029</v>
      </c>
      <c r="H30" s="74">
        <f>G30+1</f>
        <v>2030</v>
      </c>
      <c r="I30" s="74">
        <f>H30+1</f>
        <v>2031</v>
      </c>
    </row>
    <row r="31" spans="2:14" ht="12.75" hidden="1" customHeight="1" outlineLevel="1" x14ac:dyDescent="0.2">
      <c r="B31" s="249">
        <v>1</v>
      </c>
      <c r="C31" s="76" t="s">
        <v>83</v>
      </c>
      <c r="D31" s="238">
        <f t="shared" ref="D31:I31" si="5">INDEX(PBSScriptsChanged,$B28,D29)*INDEX(DPMQCoPayChangedEff,$B28,$B31)</f>
        <v>0</v>
      </c>
      <c r="E31" s="238">
        <f t="shared" si="5"/>
        <v>0</v>
      </c>
      <c r="F31" s="238">
        <f t="shared" si="5"/>
        <v>0</v>
      </c>
      <c r="G31" s="238">
        <f t="shared" si="5"/>
        <v>0</v>
      </c>
      <c r="H31" s="238">
        <f t="shared" si="5"/>
        <v>0</v>
      </c>
      <c r="I31" s="238">
        <f t="shared" si="5"/>
        <v>0</v>
      </c>
    </row>
    <row r="32" spans="2:14" ht="12.75" hidden="1" customHeight="1" outlineLevel="1" x14ac:dyDescent="0.2">
      <c r="B32" s="249">
        <v>3</v>
      </c>
      <c r="C32" s="3" t="s">
        <v>108</v>
      </c>
      <c r="D32" s="238">
        <f t="shared" ref="D32:I32" si="6">INDEX(PBSScriptsChanged,$B28,D29)*(INDEX(DPMQCoPayChangedEff,$B28,$B32)/INDEX(CoPayCountChanged,$B28))</f>
        <v>0</v>
      </c>
      <c r="E32" s="238">
        <f t="shared" si="6"/>
        <v>0</v>
      </c>
      <c r="F32" s="238">
        <f t="shared" si="6"/>
        <v>0</v>
      </c>
      <c r="G32" s="238">
        <f t="shared" si="6"/>
        <v>0</v>
      </c>
      <c r="H32" s="238">
        <f t="shared" si="6"/>
        <v>0</v>
      </c>
      <c r="I32" s="238">
        <f t="shared" si="6"/>
        <v>0</v>
      </c>
      <c r="K32" s="579" t="str">
        <f>IF(B29&lt;&gt;0,MsgNote&amp;IF(B29="Yes",INDEX(CoPayMethod,1),INDEX(CoPayMethod,2)),"")</f>
        <v/>
      </c>
      <c r="L32" s="579"/>
      <c r="M32" s="579"/>
      <c r="N32" s="443"/>
    </row>
    <row r="33" spans="2:14" ht="12.75" hidden="1" customHeight="1" outlineLevel="1" x14ac:dyDescent="0.2">
      <c r="B33" s="121"/>
      <c r="C33" s="3" t="s">
        <v>85</v>
      </c>
      <c r="D33" s="238">
        <f t="shared" ref="D33:I33" si="7">D31+D32</f>
        <v>0</v>
      </c>
      <c r="E33" s="238">
        <f t="shared" si="7"/>
        <v>0</v>
      </c>
      <c r="F33" s="238">
        <f t="shared" si="7"/>
        <v>0</v>
      </c>
      <c r="G33" s="238">
        <f t="shared" si="7"/>
        <v>0</v>
      </c>
      <c r="H33" s="238">
        <f t="shared" si="7"/>
        <v>0</v>
      </c>
      <c r="I33" s="238">
        <f t="shared" si="7"/>
        <v>0</v>
      </c>
    </row>
    <row r="34" spans="2:14" ht="12.75" hidden="1" customHeight="1" outlineLevel="1" x14ac:dyDescent="0.2">
      <c r="B34" s="121"/>
    </row>
    <row r="35" spans="2:14" ht="15.75" hidden="1" customHeight="1" outlineLevel="1" x14ac:dyDescent="0.2">
      <c r="B35" s="121"/>
      <c r="C35" s="454"/>
      <c r="D35" s="74">
        <f>FirstYear</f>
        <v>2026</v>
      </c>
      <c r="E35" s="74">
        <f>D35+1</f>
        <v>2027</v>
      </c>
      <c r="F35" s="74">
        <f>E35+1</f>
        <v>2028</v>
      </c>
      <c r="G35" s="74">
        <f>F35+1</f>
        <v>2029</v>
      </c>
      <c r="H35" s="74">
        <f>G35+1</f>
        <v>2030</v>
      </c>
      <c r="I35" s="74">
        <f>H35+1</f>
        <v>2031</v>
      </c>
    </row>
    <row r="36" spans="2:14" ht="12.75" hidden="1" customHeight="1" outlineLevel="1" x14ac:dyDescent="0.2">
      <c r="B36" s="249">
        <v>1</v>
      </c>
      <c r="C36" s="76" t="s">
        <v>84</v>
      </c>
      <c r="D36" s="238">
        <f t="shared" ref="D36:I36" si="8">INDEX(RPBSScriptsChanged,$B28,D29)*INDEX(DPMQCoPayChangedEff,$B28,$B36)</f>
        <v>0</v>
      </c>
      <c r="E36" s="238">
        <f t="shared" si="8"/>
        <v>0</v>
      </c>
      <c r="F36" s="238">
        <f t="shared" si="8"/>
        <v>0</v>
      </c>
      <c r="G36" s="238">
        <f t="shared" si="8"/>
        <v>0</v>
      </c>
      <c r="H36" s="238">
        <f t="shared" si="8"/>
        <v>0</v>
      </c>
      <c r="I36" s="238">
        <f t="shared" si="8"/>
        <v>0</v>
      </c>
    </row>
    <row r="37" spans="2:14" ht="12.75" hidden="1" customHeight="1" outlineLevel="1" x14ac:dyDescent="0.2">
      <c r="B37" s="249">
        <v>4</v>
      </c>
      <c r="C37" s="3" t="s">
        <v>108</v>
      </c>
      <c r="D37" s="238">
        <f t="shared" ref="D37:I37" si="9">INDEX(RPBSScriptsChanged,$B28,D29)*(INDEX(DPMQCoPayChangedEff,$B28,$B37)/INDEX(CoPayCountChanged,$B28))</f>
        <v>0</v>
      </c>
      <c r="E37" s="238">
        <f t="shared" si="9"/>
        <v>0</v>
      </c>
      <c r="F37" s="238">
        <f t="shared" si="9"/>
        <v>0</v>
      </c>
      <c r="G37" s="238">
        <f t="shared" si="9"/>
        <v>0</v>
      </c>
      <c r="H37" s="238">
        <f t="shared" si="9"/>
        <v>0</v>
      </c>
      <c r="I37" s="238">
        <f t="shared" si="9"/>
        <v>0</v>
      </c>
    </row>
    <row r="38" spans="2:14" ht="12.75" hidden="1" customHeight="1" outlineLevel="1" x14ac:dyDescent="0.2">
      <c r="B38" s="121"/>
      <c r="C38" s="3" t="s">
        <v>86</v>
      </c>
      <c r="D38" s="238">
        <f t="shared" ref="D38:I38" si="10">D36+D37</f>
        <v>0</v>
      </c>
      <c r="E38" s="238">
        <f t="shared" si="10"/>
        <v>0</v>
      </c>
      <c r="F38" s="238">
        <f t="shared" si="10"/>
        <v>0</v>
      </c>
      <c r="G38" s="238">
        <f t="shared" si="10"/>
        <v>0</v>
      </c>
      <c r="H38" s="238">
        <f t="shared" si="10"/>
        <v>0</v>
      </c>
      <c r="I38" s="238">
        <f t="shared" si="10"/>
        <v>0</v>
      </c>
    </row>
    <row r="39" spans="2:14" ht="12.75" customHeight="1" collapsed="1" x14ac:dyDescent="0.2">
      <c r="B39" s="121"/>
      <c r="C39" s="457"/>
      <c r="D39" s="457"/>
      <c r="E39" s="457"/>
      <c r="F39" s="31"/>
      <c r="G39" s="31"/>
      <c r="H39" s="31"/>
      <c r="I39" s="31"/>
      <c r="J39" s="31"/>
      <c r="K39" s="31"/>
      <c r="L39" s="31"/>
      <c r="M39" s="31"/>
      <c r="N39" s="31"/>
    </row>
    <row r="40" spans="2:14" ht="15" x14ac:dyDescent="0.2">
      <c r="B40" s="249">
        <v>2</v>
      </c>
      <c r="C40" s="129" t="str">
        <f>IF(SPAChangeFlag&lt;&gt;0,INDEX(PBSScriptsChanged,B40,1),MsgNotRequired)</f>
        <v>** NOT REQUIRED **</v>
      </c>
      <c r="D40" s="123"/>
      <c r="E40" s="123"/>
      <c r="F40" s="123"/>
      <c r="G40" s="123"/>
      <c r="H40" s="123"/>
      <c r="I40" s="123"/>
      <c r="J40" s="116"/>
      <c r="K40" s="116"/>
      <c r="L40" s="588" t="str">
        <f>IF(AND(C40&lt;&gt;MsgNotUsed,C40&lt;&gt;MsgNotRequired),"Co-payment group " &amp; INDEX(DPMQCoPayChangedEff,B40,2),"")</f>
        <v/>
      </c>
      <c r="M40" s="588"/>
      <c r="N40" s="380"/>
    </row>
    <row r="41" spans="2:14" ht="12.75" hidden="1" customHeight="1" outlineLevel="1" x14ac:dyDescent="0.2">
      <c r="B41" s="209">
        <f>INDEX(SAChanged,B40,5)</f>
        <v>0</v>
      </c>
      <c r="C41" s="457"/>
      <c r="D41" s="319">
        <v>2</v>
      </c>
      <c r="E41" s="319">
        <v>3</v>
      </c>
      <c r="F41" s="319">
        <v>4</v>
      </c>
      <c r="G41" s="319">
        <v>5</v>
      </c>
      <c r="H41" s="319">
        <v>6</v>
      </c>
      <c r="I41" s="319">
        <v>7</v>
      </c>
      <c r="J41" s="31"/>
      <c r="K41" s="31"/>
      <c r="L41" s="31"/>
      <c r="M41" s="31"/>
      <c r="N41" s="31"/>
    </row>
    <row r="42" spans="2:14" ht="12.75" hidden="1" customHeight="1" outlineLevel="1" x14ac:dyDescent="0.2">
      <c r="B42" s="121"/>
      <c r="D42" s="74">
        <f>FirstYear</f>
        <v>2026</v>
      </c>
      <c r="E42" s="74">
        <f>D42+1</f>
        <v>2027</v>
      </c>
      <c r="F42" s="74">
        <f>E42+1</f>
        <v>2028</v>
      </c>
      <c r="G42" s="74">
        <f>F42+1</f>
        <v>2029</v>
      </c>
      <c r="H42" s="74">
        <f>G42+1</f>
        <v>2030</v>
      </c>
      <c r="I42" s="74">
        <f>H42+1</f>
        <v>2031</v>
      </c>
    </row>
    <row r="43" spans="2:14" ht="12.75" hidden="1" customHeight="1" outlineLevel="1" x14ac:dyDescent="0.2">
      <c r="B43" s="249">
        <v>1</v>
      </c>
      <c r="C43" s="76" t="s">
        <v>83</v>
      </c>
      <c r="D43" s="238">
        <f t="shared" ref="D43:I43" si="11">INDEX(PBSScriptsChanged,$B40,D41)*INDEX(DPMQCoPayChangedEff,$B40,$B43)</f>
        <v>0</v>
      </c>
      <c r="E43" s="238">
        <f t="shared" si="11"/>
        <v>0</v>
      </c>
      <c r="F43" s="238">
        <f t="shared" si="11"/>
        <v>0</v>
      </c>
      <c r="G43" s="238">
        <f t="shared" si="11"/>
        <v>0</v>
      </c>
      <c r="H43" s="238">
        <f t="shared" si="11"/>
        <v>0</v>
      </c>
      <c r="I43" s="238">
        <f t="shared" si="11"/>
        <v>0</v>
      </c>
    </row>
    <row r="44" spans="2:14" ht="12.75" hidden="1" customHeight="1" outlineLevel="1" x14ac:dyDescent="0.2">
      <c r="B44" s="249">
        <v>3</v>
      </c>
      <c r="C44" s="3" t="s">
        <v>108</v>
      </c>
      <c r="D44" s="238">
        <f t="shared" ref="D44:I44" si="12">INDEX(PBSScriptsChanged,$B40,D41)*(INDEX(DPMQCoPayChangedEff,$B40,$B44)/INDEX(CoPayCountChanged,$B40))</f>
        <v>0</v>
      </c>
      <c r="E44" s="238">
        <f t="shared" si="12"/>
        <v>0</v>
      </c>
      <c r="F44" s="238">
        <f t="shared" si="12"/>
        <v>0</v>
      </c>
      <c r="G44" s="238">
        <f t="shared" si="12"/>
        <v>0</v>
      </c>
      <c r="H44" s="238">
        <f t="shared" si="12"/>
        <v>0</v>
      </c>
      <c r="I44" s="238">
        <f t="shared" si="12"/>
        <v>0</v>
      </c>
      <c r="K44" s="579" t="str">
        <f>IF(B41&lt;&gt;0,MsgNote&amp;IF(B41="Yes",INDEX(CoPayMethod,1),INDEX(CoPayMethod,2)),"")</f>
        <v/>
      </c>
      <c r="L44" s="579"/>
      <c r="M44" s="579"/>
      <c r="N44" s="443"/>
    </row>
    <row r="45" spans="2:14" ht="12.75" hidden="1" customHeight="1" outlineLevel="1" x14ac:dyDescent="0.2">
      <c r="B45" s="121"/>
      <c r="C45" s="3" t="s">
        <v>85</v>
      </c>
      <c r="D45" s="238">
        <f t="shared" ref="D45:I45" si="13">D43+D44</f>
        <v>0</v>
      </c>
      <c r="E45" s="238">
        <f t="shared" si="13"/>
        <v>0</v>
      </c>
      <c r="F45" s="238">
        <f t="shared" si="13"/>
        <v>0</v>
      </c>
      <c r="G45" s="238">
        <f t="shared" si="13"/>
        <v>0</v>
      </c>
      <c r="H45" s="238">
        <f t="shared" si="13"/>
        <v>0</v>
      </c>
      <c r="I45" s="238">
        <f t="shared" si="13"/>
        <v>0</v>
      </c>
    </row>
    <row r="46" spans="2:14" ht="12.75" hidden="1" customHeight="1" outlineLevel="1" x14ac:dyDescent="0.2">
      <c r="B46" s="121"/>
    </row>
    <row r="47" spans="2:14" ht="15.75" hidden="1" customHeight="1" outlineLevel="1" x14ac:dyDescent="0.2">
      <c r="B47" s="121"/>
      <c r="C47" s="454"/>
      <c r="D47" s="74">
        <f>FirstYear</f>
        <v>2026</v>
      </c>
      <c r="E47" s="74">
        <f>D47+1</f>
        <v>2027</v>
      </c>
      <c r="F47" s="74">
        <f>E47+1</f>
        <v>2028</v>
      </c>
      <c r="G47" s="74">
        <f>F47+1</f>
        <v>2029</v>
      </c>
      <c r="H47" s="74">
        <f>G47+1</f>
        <v>2030</v>
      </c>
      <c r="I47" s="74">
        <f>H47+1</f>
        <v>2031</v>
      </c>
    </row>
    <row r="48" spans="2:14" ht="12.75" hidden="1" customHeight="1" outlineLevel="1" x14ac:dyDescent="0.2">
      <c r="B48" s="249">
        <v>1</v>
      </c>
      <c r="C48" s="76" t="s">
        <v>84</v>
      </c>
      <c r="D48" s="238">
        <f t="shared" ref="D48:I48" si="14">INDEX(RPBSScriptsChanged,$B40,D41)*INDEX(DPMQCoPayChangedEff,$B40,$B48)</f>
        <v>0</v>
      </c>
      <c r="E48" s="238">
        <f t="shared" si="14"/>
        <v>0</v>
      </c>
      <c r="F48" s="238">
        <f t="shared" si="14"/>
        <v>0</v>
      </c>
      <c r="G48" s="238">
        <f t="shared" si="14"/>
        <v>0</v>
      </c>
      <c r="H48" s="238">
        <f t="shared" si="14"/>
        <v>0</v>
      </c>
      <c r="I48" s="238">
        <f t="shared" si="14"/>
        <v>0</v>
      </c>
    </row>
    <row r="49" spans="2:14" ht="12.75" hidden="1" customHeight="1" outlineLevel="1" x14ac:dyDescent="0.2">
      <c r="B49" s="249">
        <v>4</v>
      </c>
      <c r="C49" s="3" t="s">
        <v>108</v>
      </c>
      <c r="D49" s="238">
        <f t="shared" ref="D49:I49" si="15">INDEX(RPBSScriptsChanged,$B40,D41)*(INDEX(DPMQCoPayChangedEff,$B40,$B49)/INDEX(CoPayCountChanged,$B40))</f>
        <v>0</v>
      </c>
      <c r="E49" s="238">
        <f t="shared" si="15"/>
        <v>0</v>
      </c>
      <c r="F49" s="238">
        <f t="shared" si="15"/>
        <v>0</v>
      </c>
      <c r="G49" s="238">
        <f t="shared" si="15"/>
        <v>0</v>
      </c>
      <c r="H49" s="238">
        <f t="shared" si="15"/>
        <v>0</v>
      </c>
      <c r="I49" s="238">
        <f t="shared" si="15"/>
        <v>0</v>
      </c>
    </row>
    <row r="50" spans="2:14" ht="12.75" hidden="1" customHeight="1" outlineLevel="1" x14ac:dyDescent="0.2">
      <c r="B50" s="121"/>
      <c r="C50" s="3" t="s">
        <v>86</v>
      </c>
      <c r="D50" s="238">
        <f t="shared" ref="D50:I50" si="16">D48+D49</f>
        <v>0</v>
      </c>
      <c r="E50" s="238">
        <f t="shared" si="16"/>
        <v>0</v>
      </c>
      <c r="F50" s="238">
        <f t="shared" si="16"/>
        <v>0</v>
      </c>
      <c r="G50" s="238">
        <f t="shared" si="16"/>
        <v>0</v>
      </c>
      <c r="H50" s="238">
        <f t="shared" si="16"/>
        <v>0</v>
      </c>
      <c r="I50" s="238">
        <f t="shared" si="16"/>
        <v>0</v>
      </c>
    </row>
    <row r="51" spans="2:14" ht="12.75" customHeight="1" collapsed="1" x14ac:dyDescent="0.2">
      <c r="B51" s="121"/>
      <c r="C51" s="457"/>
      <c r="D51" s="457"/>
      <c r="E51" s="457"/>
      <c r="F51" s="31"/>
      <c r="G51" s="31"/>
      <c r="H51" s="31"/>
      <c r="I51" s="31"/>
      <c r="J51" s="31"/>
      <c r="K51" s="31"/>
      <c r="L51" s="31"/>
      <c r="M51" s="31"/>
      <c r="N51" s="31"/>
    </row>
    <row r="52" spans="2:14" ht="15" x14ac:dyDescent="0.2">
      <c r="B52" s="249">
        <v>3</v>
      </c>
      <c r="C52" s="129" t="str">
        <f>IF(SPAChangeFlag&lt;&gt;0,INDEX(PBSScriptsChanged,B52,1),MsgNotRequired)</f>
        <v>** NOT REQUIRED **</v>
      </c>
      <c r="D52" s="123"/>
      <c r="E52" s="123"/>
      <c r="F52" s="123"/>
      <c r="G52" s="123"/>
      <c r="H52" s="123"/>
      <c r="I52" s="123"/>
      <c r="J52" s="116"/>
      <c r="K52" s="116"/>
      <c r="L52" s="588" t="str">
        <f>IF(AND(C52&lt;&gt;MsgNotUsed,C52&lt;&gt;MsgNotRequired),"Co-payment group " &amp; INDEX(DPMQCoPayChangedEff,B52,2),"")</f>
        <v/>
      </c>
      <c r="M52" s="588"/>
      <c r="N52" s="380"/>
    </row>
    <row r="53" spans="2:14" ht="12.75" hidden="1" customHeight="1" outlineLevel="1" x14ac:dyDescent="0.2">
      <c r="B53" s="209">
        <f>INDEX(SAChanged,B52,5)</f>
        <v>0</v>
      </c>
      <c r="C53" s="457"/>
      <c r="D53" s="319">
        <v>2</v>
      </c>
      <c r="E53" s="319">
        <v>3</v>
      </c>
      <c r="F53" s="319">
        <v>4</v>
      </c>
      <c r="G53" s="319">
        <v>5</v>
      </c>
      <c r="H53" s="319">
        <v>6</v>
      </c>
      <c r="I53" s="319">
        <v>7</v>
      </c>
      <c r="J53" s="31"/>
      <c r="K53" s="31"/>
      <c r="L53" s="31"/>
      <c r="M53" s="31"/>
      <c r="N53" s="31"/>
    </row>
    <row r="54" spans="2:14" ht="12.75" hidden="1" customHeight="1" outlineLevel="1" x14ac:dyDescent="0.2">
      <c r="B54" s="121"/>
      <c r="D54" s="74">
        <f>FirstYear</f>
        <v>2026</v>
      </c>
      <c r="E54" s="74">
        <f>D54+1</f>
        <v>2027</v>
      </c>
      <c r="F54" s="74">
        <f>E54+1</f>
        <v>2028</v>
      </c>
      <c r="G54" s="74">
        <f>F54+1</f>
        <v>2029</v>
      </c>
      <c r="H54" s="74">
        <f>G54+1</f>
        <v>2030</v>
      </c>
      <c r="I54" s="74">
        <f>H54+1</f>
        <v>2031</v>
      </c>
    </row>
    <row r="55" spans="2:14" ht="12.75" hidden="1" customHeight="1" outlineLevel="1" x14ac:dyDescent="0.2">
      <c r="B55" s="249">
        <v>1</v>
      </c>
      <c r="C55" s="76" t="s">
        <v>83</v>
      </c>
      <c r="D55" s="238">
        <f t="shared" ref="D55:I55" si="17">INDEX(PBSScriptsChanged,$B52,D53)*INDEX(DPMQCoPayChangedEff,$B52,$B55)</f>
        <v>0</v>
      </c>
      <c r="E55" s="238">
        <f t="shared" si="17"/>
        <v>0</v>
      </c>
      <c r="F55" s="238">
        <f t="shared" si="17"/>
        <v>0</v>
      </c>
      <c r="G55" s="238">
        <f t="shared" si="17"/>
        <v>0</v>
      </c>
      <c r="H55" s="238">
        <f t="shared" si="17"/>
        <v>0</v>
      </c>
      <c r="I55" s="238">
        <f t="shared" si="17"/>
        <v>0</v>
      </c>
    </row>
    <row r="56" spans="2:14" ht="12.75" hidden="1" customHeight="1" outlineLevel="1" x14ac:dyDescent="0.2">
      <c r="B56" s="249">
        <v>3</v>
      </c>
      <c r="C56" s="3" t="s">
        <v>108</v>
      </c>
      <c r="D56" s="238">
        <f t="shared" ref="D56:I56" si="18">INDEX(PBSScriptsChanged,$B52,D53)*(INDEX(DPMQCoPayChangedEff,$B52,$B56)/INDEX(CoPayCountChanged,$B52))</f>
        <v>0</v>
      </c>
      <c r="E56" s="238">
        <f t="shared" si="18"/>
        <v>0</v>
      </c>
      <c r="F56" s="238">
        <f t="shared" si="18"/>
        <v>0</v>
      </c>
      <c r="G56" s="238">
        <f t="shared" si="18"/>
        <v>0</v>
      </c>
      <c r="H56" s="238">
        <f t="shared" si="18"/>
        <v>0</v>
      </c>
      <c r="I56" s="238">
        <f t="shared" si="18"/>
        <v>0</v>
      </c>
      <c r="K56" s="579" t="str">
        <f>IF(B53&lt;&gt;0,MsgNote&amp;IF(B53="Yes",INDEX(CoPayMethod,1),INDEX(CoPayMethod,2)),"")</f>
        <v/>
      </c>
      <c r="L56" s="579"/>
      <c r="M56" s="579"/>
      <c r="N56" s="443"/>
    </row>
    <row r="57" spans="2:14" ht="12.75" hidden="1" customHeight="1" outlineLevel="1" x14ac:dyDescent="0.2">
      <c r="B57" s="121"/>
      <c r="C57" s="3" t="s">
        <v>85</v>
      </c>
      <c r="D57" s="238">
        <f t="shared" ref="D57:I57" si="19">D55+D56</f>
        <v>0</v>
      </c>
      <c r="E57" s="238">
        <f t="shared" si="19"/>
        <v>0</v>
      </c>
      <c r="F57" s="238">
        <f t="shared" si="19"/>
        <v>0</v>
      </c>
      <c r="G57" s="238">
        <f t="shared" si="19"/>
        <v>0</v>
      </c>
      <c r="H57" s="238">
        <f t="shared" si="19"/>
        <v>0</v>
      </c>
      <c r="I57" s="238">
        <f t="shared" si="19"/>
        <v>0</v>
      </c>
    </row>
    <row r="58" spans="2:14" ht="12.75" hidden="1" customHeight="1" outlineLevel="1" x14ac:dyDescent="0.2">
      <c r="B58" s="121"/>
    </row>
    <row r="59" spans="2:14" ht="15.75" hidden="1" customHeight="1" outlineLevel="1" x14ac:dyDescent="0.2">
      <c r="B59" s="121"/>
      <c r="C59" s="454"/>
      <c r="D59" s="74">
        <f>FirstYear</f>
        <v>2026</v>
      </c>
      <c r="E59" s="74">
        <f>D59+1</f>
        <v>2027</v>
      </c>
      <c r="F59" s="74">
        <f>E59+1</f>
        <v>2028</v>
      </c>
      <c r="G59" s="74">
        <f>F59+1</f>
        <v>2029</v>
      </c>
      <c r="H59" s="74">
        <f>G59+1</f>
        <v>2030</v>
      </c>
      <c r="I59" s="74">
        <f>H59+1</f>
        <v>2031</v>
      </c>
    </row>
    <row r="60" spans="2:14" ht="12.75" hidden="1" customHeight="1" outlineLevel="1" x14ac:dyDescent="0.2">
      <c r="B60" s="249">
        <v>1</v>
      </c>
      <c r="C60" s="76" t="s">
        <v>84</v>
      </c>
      <c r="D60" s="238">
        <f t="shared" ref="D60:I60" si="20">INDEX(RPBSScriptsChanged,$B52,D53)*INDEX(DPMQCoPayChangedEff,$B52,$B60)</f>
        <v>0</v>
      </c>
      <c r="E60" s="238">
        <f t="shared" si="20"/>
        <v>0</v>
      </c>
      <c r="F60" s="238">
        <f t="shared" si="20"/>
        <v>0</v>
      </c>
      <c r="G60" s="238">
        <f t="shared" si="20"/>
        <v>0</v>
      </c>
      <c r="H60" s="238">
        <f t="shared" si="20"/>
        <v>0</v>
      </c>
      <c r="I60" s="238">
        <f t="shared" si="20"/>
        <v>0</v>
      </c>
    </row>
    <row r="61" spans="2:14" ht="12.75" hidden="1" customHeight="1" outlineLevel="1" x14ac:dyDescent="0.2">
      <c r="B61" s="249">
        <v>4</v>
      </c>
      <c r="C61" s="3" t="s">
        <v>108</v>
      </c>
      <c r="D61" s="238">
        <f t="shared" ref="D61:I61" si="21">INDEX(RPBSScriptsChanged,$B52,D53)*(INDEX(DPMQCoPayChangedEff,$B52,$B61)/INDEX(CoPayCountChanged,$B52))</f>
        <v>0</v>
      </c>
      <c r="E61" s="238">
        <f t="shared" si="21"/>
        <v>0</v>
      </c>
      <c r="F61" s="238">
        <f t="shared" si="21"/>
        <v>0</v>
      </c>
      <c r="G61" s="238">
        <f t="shared" si="21"/>
        <v>0</v>
      </c>
      <c r="H61" s="238">
        <f t="shared" si="21"/>
        <v>0</v>
      </c>
      <c r="I61" s="238">
        <f t="shared" si="21"/>
        <v>0</v>
      </c>
    </row>
    <row r="62" spans="2:14" ht="12.75" hidden="1" customHeight="1" outlineLevel="1" x14ac:dyDescent="0.2">
      <c r="B62" s="121"/>
      <c r="C62" s="3" t="s">
        <v>86</v>
      </c>
      <c r="D62" s="238">
        <f t="shared" ref="D62:I62" si="22">D60+D61</f>
        <v>0</v>
      </c>
      <c r="E62" s="238">
        <f t="shared" si="22"/>
        <v>0</v>
      </c>
      <c r="F62" s="238">
        <f t="shared" si="22"/>
        <v>0</v>
      </c>
      <c r="G62" s="238">
        <f t="shared" si="22"/>
        <v>0</v>
      </c>
      <c r="H62" s="238">
        <f t="shared" si="22"/>
        <v>0</v>
      </c>
      <c r="I62" s="238">
        <f t="shared" si="22"/>
        <v>0</v>
      </c>
    </row>
    <row r="63" spans="2:14" ht="12.75" customHeight="1" collapsed="1" x14ac:dyDescent="0.2">
      <c r="B63" s="121"/>
      <c r="C63" s="457"/>
      <c r="D63" s="457"/>
      <c r="E63" s="457"/>
      <c r="F63" s="31"/>
      <c r="G63" s="31"/>
      <c r="H63" s="31"/>
      <c r="I63" s="31"/>
      <c r="J63" s="31"/>
      <c r="K63" s="31"/>
      <c r="L63" s="31"/>
      <c r="M63" s="31"/>
      <c r="N63" s="31"/>
    </row>
    <row r="64" spans="2:14" ht="15" x14ac:dyDescent="0.2">
      <c r="B64" s="249">
        <v>4</v>
      </c>
      <c r="C64" s="129" t="str">
        <f>IF(SPAChangeFlag&lt;&gt;0,INDEX(PBSScriptsChanged,B64,1),MsgNotRequired)</f>
        <v>** NOT REQUIRED **</v>
      </c>
      <c r="D64" s="123"/>
      <c r="E64" s="123"/>
      <c r="F64" s="123"/>
      <c r="G64" s="123"/>
      <c r="H64" s="123"/>
      <c r="I64" s="123"/>
      <c r="J64" s="116"/>
      <c r="K64" s="116"/>
      <c r="L64" s="588" t="str">
        <f>IF(AND(C64&lt;&gt;MsgNotUsed,C64&lt;&gt;MsgNotRequired),"Co-payment group " &amp; INDEX(DPMQCoPayChangedEff,B64,2),"")</f>
        <v/>
      </c>
      <c r="M64" s="588"/>
      <c r="N64" s="380"/>
    </row>
    <row r="65" spans="2:14" ht="12.75" hidden="1" customHeight="1" outlineLevel="1" x14ac:dyDescent="0.2">
      <c r="B65" s="209">
        <f>INDEX(SAChanged,B64,5)</f>
        <v>0</v>
      </c>
      <c r="C65" s="457"/>
      <c r="D65" s="319">
        <v>2</v>
      </c>
      <c r="E65" s="319">
        <v>3</v>
      </c>
      <c r="F65" s="319">
        <v>4</v>
      </c>
      <c r="G65" s="319">
        <v>5</v>
      </c>
      <c r="H65" s="319">
        <v>6</v>
      </c>
      <c r="I65" s="319">
        <v>7</v>
      </c>
      <c r="J65" s="31"/>
      <c r="K65" s="31"/>
      <c r="L65" s="31"/>
      <c r="M65" s="31"/>
      <c r="N65" s="31"/>
    </row>
    <row r="66" spans="2:14" ht="12.75" hidden="1" customHeight="1" outlineLevel="1" x14ac:dyDescent="0.2">
      <c r="B66" s="121"/>
      <c r="D66" s="74">
        <f>FirstYear</f>
        <v>2026</v>
      </c>
      <c r="E66" s="74">
        <f>D66+1</f>
        <v>2027</v>
      </c>
      <c r="F66" s="74">
        <f>E66+1</f>
        <v>2028</v>
      </c>
      <c r="G66" s="74">
        <f>F66+1</f>
        <v>2029</v>
      </c>
      <c r="H66" s="74">
        <f>G66+1</f>
        <v>2030</v>
      </c>
      <c r="I66" s="74">
        <f>H66+1</f>
        <v>2031</v>
      </c>
    </row>
    <row r="67" spans="2:14" ht="12.75" hidden="1" customHeight="1" outlineLevel="1" x14ac:dyDescent="0.2">
      <c r="B67" s="249">
        <v>1</v>
      </c>
      <c r="C67" s="76" t="s">
        <v>83</v>
      </c>
      <c r="D67" s="238">
        <f t="shared" ref="D67:I67" si="23">INDEX(PBSScriptsChanged,$B64,D65)*INDEX(DPMQCoPayChangedEff,$B64,$B67)</f>
        <v>0</v>
      </c>
      <c r="E67" s="238">
        <f t="shared" si="23"/>
        <v>0</v>
      </c>
      <c r="F67" s="238">
        <f t="shared" si="23"/>
        <v>0</v>
      </c>
      <c r="G67" s="238">
        <f t="shared" si="23"/>
        <v>0</v>
      </c>
      <c r="H67" s="238">
        <f t="shared" si="23"/>
        <v>0</v>
      </c>
      <c r="I67" s="238">
        <f t="shared" si="23"/>
        <v>0</v>
      </c>
    </row>
    <row r="68" spans="2:14" ht="12.75" hidden="1" customHeight="1" outlineLevel="1" x14ac:dyDescent="0.2">
      <c r="B68" s="249">
        <v>3</v>
      </c>
      <c r="C68" s="3" t="s">
        <v>108</v>
      </c>
      <c r="D68" s="238">
        <f t="shared" ref="D68:I68" si="24">INDEX(PBSScriptsChanged,$B64,D65)*(INDEX(DPMQCoPayChangedEff,$B64,$B68)/INDEX(CoPayCountChanged,$B64))</f>
        <v>0</v>
      </c>
      <c r="E68" s="238">
        <f t="shared" si="24"/>
        <v>0</v>
      </c>
      <c r="F68" s="238">
        <f t="shared" si="24"/>
        <v>0</v>
      </c>
      <c r="G68" s="238">
        <f t="shared" si="24"/>
        <v>0</v>
      </c>
      <c r="H68" s="238">
        <f t="shared" si="24"/>
        <v>0</v>
      </c>
      <c r="I68" s="238">
        <f t="shared" si="24"/>
        <v>0</v>
      </c>
      <c r="K68" s="579" t="str">
        <f>IF(B65&lt;&gt;0,MsgNote&amp;IF(B65="Yes",INDEX(CoPayMethod,1),INDEX(CoPayMethod,2)),"")</f>
        <v/>
      </c>
      <c r="L68" s="579"/>
      <c r="M68" s="579"/>
      <c r="N68" s="443"/>
    </row>
    <row r="69" spans="2:14" ht="12.75" hidden="1" customHeight="1" outlineLevel="1" x14ac:dyDescent="0.2">
      <c r="B69" s="121"/>
      <c r="C69" s="3" t="s">
        <v>85</v>
      </c>
      <c r="D69" s="238">
        <f t="shared" ref="D69:I69" si="25">D67+D68</f>
        <v>0</v>
      </c>
      <c r="E69" s="238">
        <f t="shared" si="25"/>
        <v>0</v>
      </c>
      <c r="F69" s="238">
        <f t="shared" si="25"/>
        <v>0</v>
      </c>
      <c r="G69" s="238">
        <f t="shared" si="25"/>
        <v>0</v>
      </c>
      <c r="H69" s="238">
        <f t="shared" si="25"/>
        <v>0</v>
      </c>
      <c r="I69" s="238">
        <f t="shared" si="25"/>
        <v>0</v>
      </c>
    </row>
    <row r="70" spans="2:14" ht="12.75" hidden="1" customHeight="1" outlineLevel="1" x14ac:dyDescent="0.2">
      <c r="B70" s="121"/>
    </row>
    <row r="71" spans="2:14" ht="15.75" hidden="1" customHeight="1" outlineLevel="1" x14ac:dyDescent="0.2">
      <c r="B71" s="121"/>
      <c r="C71" s="454"/>
      <c r="D71" s="74">
        <f>FirstYear</f>
        <v>2026</v>
      </c>
      <c r="E71" s="74">
        <f>D71+1</f>
        <v>2027</v>
      </c>
      <c r="F71" s="74">
        <f>E71+1</f>
        <v>2028</v>
      </c>
      <c r="G71" s="74">
        <f>F71+1</f>
        <v>2029</v>
      </c>
      <c r="H71" s="74">
        <f>G71+1</f>
        <v>2030</v>
      </c>
      <c r="I71" s="74">
        <f>H71+1</f>
        <v>2031</v>
      </c>
    </row>
    <row r="72" spans="2:14" ht="12.75" hidden="1" customHeight="1" outlineLevel="1" x14ac:dyDescent="0.2">
      <c r="B72" s="249">
        <v>1</v>
      </c>
      <c r="C72" s="76" t="s">
        <v>84</v>
      </c>
      <c r="D72" s="238">
        <f t="shared" ref="D72:I72" si="26">INDEX(RPBSScriptsChanged,$B64,D65)*INDEX(DPMQCoPayChangedEff,$B64,$B72)</f>
        <v>0</v>
      </c>
      <c r="E72" s="238">
        <f t="shared" si="26"/>
        <v>0</v>
      </c>
      <c r="F72" s="238">
        <f t="shared" si="26"/>
        <v>0</v>
      </c>
      <c r="G72" s="238">
        <f t="shared" si="26"/>
        <v>0</v>
      </c>
      <c r="H72" s="238">
        <f t="shared" si="26"/>
        <v>0</v>
      </c>
      <c r="I72" s="238">
        <f t="shared" si="26"/>
        <v>0</v>
      </c>
    </row>
    <row r="73" spans="2:14" ht="12.75" hidden="1" customHeight="1" outlineLevel="1" x14ac:dyDescent="0.2">
      <c r="B73" s="249">
        <v>4</v>
      </c>
      <c r="C73" s="3" t="s">
        <v>108</v>
      </c>
      <c r="D73" s="238">
        <f t="shared" ref="D73:I73" si="27">INDEX(RPBSScriptsChanged,$B64,D65)*(INDEX(DPMQCoPayChangedEff,$B64,$B73)/INDEX(CoPayCountChanged,$B64))</f>
        <v>0</v>
      </c>
      <c r="E73" s="238">
        <f t="shared" si="27"/>
        <v>0</v>
      </c>
      <c r="F73" s="238">
        <f t="shared" si="27"/>
        <v>0</v>
      </c>
      <c r="G73" s="238">
        <f t="shared" si="27"/>
        <v>0</v>
      </c>
      <c r="H73" s="238">
        <f t="shared" si="27"/>
        <v>0</v>
      </c>
      <c r="I73" s="238">
        <f t="shared" si="27"/>
        <v>0</v>
      </c>
    </row>
    <row r="74" spans="2:14" ht="12.75" hidden="1" customHeight="1" outlineLevel="1" x14ac:dyDescent="0.2">
      <c r="B74" s="121"/>
      <c r="C74" s="3" t="s">
        <v>86</v>
      </c>
      <c r="D74" s="238">
        <f t="shared" ref="D74:I74" si="28">D72+D73</f>
        <v>0</v>
      </c>
      <c r="E74" s="238">
        <f t="shared" si="28"/>
        <v>0</v>
      </c>
      <c r="F74" s="238">
        <f t="shared" si="28"/>
        <v>0</v>
      </c>
      <c r="G74" s="238">
        <f t="shared" si="28"/>
        <v>0</v>
      </c>
      <c r="H74" s="238">
        <f t="shared" si="28"/>
        <v>0</v>
      </c>
      <c r="I74" s="238">
        <f t="shared" si="28"/>
        <v>0</v>
      </c>
    </row>
    <row r="75" spans="2:14" ht="12.75" customHeight="1" collapsed="1" x14ac:dyDescent="0.2">
      <c r="B75" s="121"/>
      <c r="C75" s="457"/>
      <c r="D75" s="457"/>
      <c r="E75" s="457"/>
      <c r="F75" s="31"/>
      <c r="G75" s="31"/>
      <c r="H75" s="31"/>
      <c r="I75" s="31"/>
      <c r="J75" s="31"/>
      <c r="K75" s="31"/>
      <c r="L75" s="31"/>
      <c r="M75" s="31"/>
      <c r="N75" s="31"/>
    </row>
    <row r="76" spans="2:14" ht="15" x14ac:dyDescent="0.2">
      <c r="B76" s="249">
        <v>5</v>
      </c>
      <c r="C76" s="129" t="str">
        <f>IF(SPAChangeFlag&lt;&gt;0,INDEX(PBSScriptsChanged,B76,1),MsgNotRequired)</f>
        <v>** NOT REQUIRED **</v>
      </c>
      <c r="D76" s="123"/>
      <c r="E76" s="123"/>
      <c r="F76" s="123"/>
      <c r="G76" s="123"/>
      <c r="H76" s="123"/>
      <c r="I76" s="123"/>
      <c r="J76" s="116"/>
      <c r="K76" s="116"/>
      <c r="L76" s="588" t="str">
        <f>IF(AND(C76&lt;&gt;MsgNotUsed,C76&lt;&gt;MsgNotRequired),"Co-payment group " &amp; INDEX(DPMQCoPayChangedEff,B76,2),"")</f>
        <v/>
      </c>
      <c r="M76" s="588"/>
      <c r="N76" s="380"/>
    </row>
    <row r="77" spans="2:14" ht="12.75" hidden="1" customHeight="1" outlineLevel="1" x14ac:dyDescent="0.2">
      <c r="B77" s="209">
        <f>INDEX(SAChanged,B76,5)</f>
        <v>0</v>
      </c>
      <c r="C77" s="457"/>
      <c r="D77" s="319">
        <v>2</v>
      </c>
      <c r="E77" s="319">
        <v>3</v>
      </c>
      <c r="F77" s="319">
        <v>4</v>
      </c>
      <c r="G77" s="319">
        <v>5</v>
      </c>
      <c r="H77" s="319">
        <v>6</v>
      </c>
      <c r="I77" s="319">
        <v>7</v>
      </c>
      <c r="J77" s="31"/>
      <c r="K77" s="31"/>
      <c r="L77" s="31"/>
      <c r="M77" s="31"/>
      <c r="N77" s="31"/>
    </row>
    <row r="78" spans="2:14" ht="12.75" hidden="1" customHeight="1" outlineLevel="1" x14ac:dyDescent="0.2">
      <c r="B78" s="121"/>
      <c r="D78" s="74">
        <f>FirstYear</f>
        <v>2026</v>
      </c>
      <c r="E78" s="74">
        <f>D78+1</f>
        <v>2027</v>
      </c>
      <c r="F78" s="74">
        <f>E78+1</f>
        <v>2028</v>
      </c>
      <c r="G78" s="74">
        <f>F78+1</f>
        <v>2029</v>
      </c>
      <c r="H78" s="74">
        <f>G78+1</f>
        <v>2030</v>
      </c>
      <c r="I78" s="74">
        <f>H78+1</f>
        <v>2031</v>
      </c>
    </row>
    <row r="79" spans="2:14" ht="12.75" hidden="1" customHeight="1" outlineLevel="1" x14ac:dyDescent="0.2">
      <c r="B79" s="249">
        <v>1</v>
      </c>
      <c r="C79" s="76" t="s">
        <v>83</v>
      </c>
      <c r="D79" s="238">
        <f t="shared" ref="D79:I79" si="29">INDEX(PBSScriptsChanged,$B76,D77)*INDEX(DPMQCoPayChangedEff,$B76,$B79)</f>
        <v>0</v>
      </c>
      <c r="E79" s="238">
        <f t="shared" si="29"/>
        <v>0</v>
      </c>
      <c r="F79" s="238">
        <f t="shared" si="29"/>
        <v>0</v>
      </c>
      <c r="G79" s="238">
        <f t="shared" si="29"/>
        <v>0</v>
      </c>
      <c r="H79" s="238">
        <f t="shared" si="29"/>
        <v>0</v>
      </c>
      <c r="I79" s="238">
        <f t="shared" si="29"/>
        <v>0</v>
      </c>
    </row>
    <row r="80" spans="2:14" ht="12.75" hidden="1" customHeight="1" outlineLevel="1" x14ac:dyDescent="0.2">
      <c r="B80" s="249">
        <v>3</v>
      </c>
      <c r="C80" s="3" t="s">
        <v>108</v>
      </c>
      <c r="D80" s="238">
        <f t="shared" ref="D80:I80" si="30">INDEX(PBSScriptsChanged,$B76,D77)*(INDEX(DPMQCoPayChangedEff,$B76,$B80)/INDEX(CoPayCountChanged,$B76))</f>
        <v>0</v>
      </c>
      <c r="E80" s="238">
        <f t="shared" si="30"/>
        <v>0</v>
      </c>
      <c r="F80" s="238">
        <f t="shared" si="30"/>
        <v>0</v>
      </c>
      <c r="G80" s="238">
        <f t="shared" si="30"/>
        <v>0</v>
      </c>
      <c r="H80" s="238">
        <f t="shared" si="30"/>
        <v>0</v>
      </c>
      <c r="I80" s="238">
        <f t="shared" si="30"/>
        <v>0</v>
      </c>
      <c r="K80" s="579" t="str">
        <f>IF(B77&lt;&gt;0,MsgNote&amp;IF(B77="Yes",INDEX(CoPayMethod,1),INDEX(CoPayMethod,2)),"")</f>
        <v/>
      </c>
      <c r="L80" s="579"/>
      <c r="M80" s="579"/>
      <c r="N80" s="443"/>
    </row>
    <row r="81" spans="2:14" ht="12.75" hidden="1" customHeight="1" outlineLevel="1" x14ac:dyDescent="0.2">
      <c r="B81" s="121"/>
      <c r="C81" s="3" t="s">
        <v>85</v>
      </c>
      <c r="D81" s="238">
        <f t="shared" ref="D81:I81" si="31">D79+D80</f>
        <v>0</v>
      </c>
      <c r="E81" s="238">
        <f t="shared" si="31"/>
        <v>0</v>
      </c>
      <c r="F81" s="238">
        <f t="shared" si="31"/>
        <v>0</v>
      </c>
      <c r="G81" s="238">
        <f t="shared" si="31"/>
        <v>0</v>
      </c>
      <c r="H81" s="238">
        <f t="shared" si="31"/>
        <v>0</v>
      </c>
      <c r="I81" s="238">
        <f t="shared" si="31"/>
        <v>0</v>
      </c>
    </row>
    <row r="82" spans="2:14" ht="12.75" hidden="1" customHeight="1" outlineLevel="1" x14ac:dyDescent="0.2">
      <c r="B82" s="121"/>
    </row>
    <row r="83" spans="2:14" ht="15.75" hidden="1" customHeight="1" outlineLevel="1" x14ac:dyDescent="0.2">
      <c r="B83" s="121"/>
      <c r="C83" s="454"/>
      <c r="D83" s="74">
        <f>FirstYear</f>
        <v>2026</v>
      </c>
      <c r="E83" s="74">
        <f>D83+1</f>
        <v>2027</v>
      </c>
      <c r="F83" s="74">
        <f>E83+1</f>
        <v>2028</v>
      </c>
      <c r="G83" s="74">
        <f>F83+1</f>
        <v>2029</v>
      </c>
      <c r="H83" s="74">
        <f>G83+1</f>
        <v>2030</v>
      </c>
      <c r="I83" s="74">
        <f>H83+1</f>
        <v>2031</v>
      </c>
    </row>
    <row r="84" spans="2:14" ht="12.75" hidden="1" customHeight="1" outlineLevel="1" x14ac:dyDescent="0.2">
      <c r="B84" s="249">
        <v>1</v>
      </c>
      <c r="C84" s="76" t="s">
        <v>84</v>
      </c>
      <c r="D84" s="238">
        <f t="shared" ref="D84:I84" si="32">INDEX(RPBSScriptsChanged,$B76,D77)*INDEX(DPMQCoPayChangedEff,$B76,$B84)</f>
        <v>0</v>
      </c>
      <c r="E84" s="238">
        <f t="shared" si="32"/>
        <v>0</v>
      </c>
      <c r="F84" s="238">
        <f t="shared" si="32"/>
        <v>0</v>
      </c>
      <c r="G84" s="238">
        <f t="shared" si="32"/>
        <v>0</v>
      </c>
      <c r="H84" s="238">
        <f t="shared" si="32"/>
        <v>0</v>
      </c>
      <c r="I84" s="238">
        <f t="shared" si="32"/>
        <v>0</v>
      </c>
    </row>
    <row r="85" spans="2:14" ht="12.75" hidden="1" customHeight="1" outlineLevel="1" x14ac:dyDescent="0.2">
      <c r="B85" s="249">
        <v>4</v>
      </c>
      <c r="C85" s="3" t="s">
        <v>108</v>
      </c>
      <c r="D85" s="238">
        <f t="shared" ref="D85:I85" si="33">INDEX(RPBSScriptsChanged,$B76,D77)*(INDEX(DPMQCoPayChangedEff,$B76,$B85)/INDEX(CoPayCountChanged,$B76))</f>
        <v>0</v>
      </c>
      <c r="E85" s="238">
        <f t="shared" si="33"/>
        <v>0</v>
      </c>
      <c r="F85" s="238">
        <f t="shared" si="33"/>
        <v>0</v>
      </c>
      <c r="G85" s="238">
        <f t="shared" si="33"/>
        <v>0</v>
      </c>
      <c r="H85" s="238">
        <f t="shared" si="33"/>
        <v>0</v>
      </c>
      <c r="I85" s="238">
        <f t="shared" si="33"/>
        <v>0</v>
      </c>
    </row>
    <row r="86" spans="2:14" ht="12.75" hidden="1" customHeight="1" outlineLevel="1" x14ac:dyDescent="0.2">
      <c r="B86" s="121"/>
      <c r="C86" s="3" t="s">
        <v>86</v>
      </c>
      <c r="D86" s="238">
        <f t="shared" ref="D86:I86" si="34">D84+D85</f>
        <v>0</v>
      </c>
      <c r="E86" s="238">
        <f t="shared" si="34"/>
        <v>0</v>
      </c>
      <c r="F86" s="238">
        <f t="shared" si="34"/>
        <v>0</v>
      </c>
      <c r="G86" s="238">
        <f t="shared" si="34"/>
        <v>0</v>
      </c>
      <c r="H86" s="238">
        <f t="shared" si="34"/>
        <v>0</v>
      </c>
      <c r="I86" s="238">
        <f t="shared" si="34"/>
        <v>0</v>
      </c>
    </row>
    <row r="87" spans="2:14" ht="12.75" customHeight="1" collapsed="1" x14ac:dyDescent="0.2">
      <c r="B87" s="121"/>
      <c r="C87" s="457"/>
      <c r="D87" s="457"/>
      <c r="E87" s="457"/>
      <c r="F87" s="31"/>
      <c r="G87" s="31"/>
      <c r="H87" s="31"/>
      <c r="I87" s="31"/>
      <c r="J87" s="31"/>
      <c r="K87" s="31"/>
      <c r="L87" s="31"/>
      <c r="M87" s="31"/>
      <c r="N87" s="31"/>
    </row>
    <row r="88" spans="2:14" ht="15" x14ac:dyDescent="0.2">
      <c r="B88" s="249">
        <v>6</v>
      </c>
      <c r="C88" s="129" t="str">
        <f>IF(SPAChangeFlag&lt;&gt;0,INDEX(PBSScriptsChanged,B88,1),MsgNotRequired)</f>
        <v>** NOT REQUIRED **</v>
      </c>
      <c r="D88" s="123"/>
      <c r="E88" s="123"/>
      <c r="F88" s="123"/>
      <c r="G88" s="123"/>
      <c r="H88" s="123"/>
      <c r="I88" s="123"/>
      <c r="J88" s="116"/>
      <c r="K88" s="116"/>
      <c r="L88" s="588" t="str">
        <f>IF(AND(C88&lt;&gt;MsgNotUsed,C88&lt;&gt;MsgNotRequired),"Co-payment group " &amp; INDEX(DPMQCoPayChangedEff,B88,2),"")</f>
        <v/>
      </c>
      <c r="M88" s="588"/>
      <c r="N88" s="380"/>
    </row>
    <row r="89" spans="2:14" ht="12.75" hidden="1" customHeight="1" outlineLevel="1" x14ac:dyDescent="0.2">
      <c r="B89" s="209">
        <f>INDEX(SAChanged,B88,5)</f>
        <v>0</v>
      </c>
      <c r="C89" s="457"/>
      <c r="D89" s="319">
        <v>2</v>
      </c>
      <c r="E89" s="319">
        <v>3</v>
      </c>
      <c r="F89" s="319">
        <v>4</v>
      </c>
      <c r="G89" s="319">
        <v>5</v>
      </c>
      <c r="H89" s="319">
        <v>6</v>
      </c>
      <c r="I89" s="319">
        <v>7</v>
      </c>
      <c r="J89" s="31"/>
      <c r="K89" s="31"/>
      <c r="L89" s="31"/>
      <c r="M89" s="31"/>
      <c r="N89" s="31"/>
    </row>
    <row r="90" spans="2:14" ht="12.75" hidden="1" customHeight="1" outlineLevel="1" x14ac:dyDescent="0.2">
      <c r="B90" s="121"/>
      <c r="D90" s="74">
        <f>FirstYear</f>
        <v>2026</v>
      </c>
      <c r="E90" s="74">
        <f>D90+1</f>
        <v>2027</v>
      </c>
      <c r="F90" s="74">
        <f>E90+1</f>
        <v>2028</v>
      </c>
      <c r="G90" s="74">
        <f>F90+1</f>
        <v>2029</v>
      </c>
      <c r="H90" s="74">
        <f>G90+1</f>
        <v>2030</v>
      </c>
      <c r="I90" s="74">
        <f>H90+1</f>
        <v>2031</v>
      </c>
    </row>
    <row r="91" spans="2:14" ht="12.75" hidden="1" customHeight="1" outlineLevel="1" x14ac:dyDescent="0.2">
      <c r="B91" s="249">
        <v>1</v>
      </c>
      <c r="C91" s="76" t="s">
        <v>83</v>
      </c>
      <c r="D91" s="238">
        <f t="shared" ref="D91:I91" si="35">INDEX(PBSScriptsChanged,$B88,D89)*INDEX(DPMQCoPayChangedEff,$B88,$B91)</f>
        <v>0</v>
      </c>
      <c r="E91" s="238">
        <f t="shared" si="35"/>
        <v>0</v>
      </c>
      <c r="F91" s="238">
        <f t="shared" si="35"/>
        <v>0</v>
      </c>
      <c r="G91" s="238">
        <f t="shared" si="35"/>
        <v>0</v>
      </c>
      <c r="H91" s="238">
        <f t="shared" si="35"/>
        <v>0</v>
      </c>
      <c r="I91" s="238">
        <f t="shared" si="35"/>
        <v>0</v>
      </c>
    </row>
    <row r="92" spans="2:14" ht="12.75" hidden="1" customHeight="1" outlineLevel="1" x14ac:dyDescent="0.2">
      <c r="B92" s="249">
        <v>3</v>
      </c>
      <c r="C92" s="3" t="s">
        <v>108</v>
      </c>
      <c r="D92" s="238">
        <f t="shared" ref="D92:I92" si="36">INDEX(PBSScriptsChanged,$B88,D89)*(INDEX(DPMQCoPayChangedEff,$B88,$B92)/INDEX(CoPayCountChanged,$B88))</f>
        <v>0</v>
      </c>
      <c r="E92" s="238">
        <f t="shared" si="36"/>
        <v>0</v>
      </c>
      <c r="F92" s="238">
        <f t="shared" si="36"/>
        <v>0</v>
      </c>
      <c r="G92" s="238">
        <f t="shared" si="36"/>
        <v>0</v>
      </c>
      <c r="H92" s="238">
        <f t="shared" si="36"/>
        <v>0</v>
      </c>
      <c r="I92" s="238">
        <f t="shared" si="36"/>
        <v>0</v>
      </c>
      <c r="K92" s="579" t="str">
        <f>IF(B89&lt;&gt;0,MsgNote&amp;IF(B89="Yes",INDEX(CoPayMethod,1),INDEX(CoPayMethod,2)),"")</f>
        <v/>
      </c>
      <c r="L92" s="579"/>
      <c r="M92" s="579"/>
      <c r="N92" s="443"/>
    </row>
    <row r="93" spans="2:14" ht="12.75" hidden="1" customHeight="1" outlineLevel="1" x14ac:dyDescent="0.2">
      <c r="B93" s="121"/>
      <c r="C93" s="3" t="s">
        <v>85</v>
      </c>
      <c r="D93" s="238">
        <f t="shared" ref="D93:I93" si="37">D91+D92</f>
        <v>0</v>
      </c>
      <c r="E93" s="238">
        <f t="shared" si="37"/>
        <v>0</v>
      </c>
      <c r="F93" s="238">
        <f t="shared" si="37"/>
        <v>0</v>
      </c>
      <c r="G93" s="238">
        <f t="shared" si="37"/>
        <v>0</v>
      </c>
      <c r="H93" s="238">
        <f t="shared" si="37"/>
        <v>0</v>
      </c>
      <c r="I93" s="238">
        <f t="shared" si="37"/>
        <v>0</v>
      </c>
    </row>
    <row r="94" spans="2:14" ht="12.75" hidden="1" customHeight="1" outlineLevel="1" x14ac:dyDescent="0.2">
      <c r="B94" s="121"/>
    </row>
    <row r="95" spans="2:14" ht="15.75" hidden="1" customHeight="1" outlineLevel="1" x14ac:dyDescent="0.2">
      <c r="B95" s="121"/>
      <c r="C95" s="454"/>
      <c r="D95" s="74">
        <f>FirstYear</f>
        <v>2026</v>
      </c>
      <c r="E95" s="74">
        <f>D95+1</f>
        <v>2027</v>
      </c>
      <c r="F95" s="74">
        <f>E95+1</f>
        <v>2028</v>
      </c>
      <c r="G95" s="74">
        <f>F95+1</f>
        <v>2029</v>
      </c>
      <c r="H95" s="74">
        <f>G95+1</f>
        <v>2030</v>
      </c>
      <c r="I95" s="74">
        <f>H95+1</f>
        <v>2031</v>
      </c>
    </row>
    <row r="96" spans="2:14" ht="12.75" hidden="1" customHeight="1" outlineLevel="1" x14ac:dyDescent="0.2">
      <c r="B96" s="249">
        <v>1</v>
      </c>
      <c r="C96" s="76" t="s">
        <v>84</v>
      </c>
      <c r="D96" s="238">
        <f t="shared" ref="D96:I96" si="38">INDEX(RPBSScriptsChanged,$B88,D89)*INDEX(DPMQCoPayChangedEff,$B88,$B96)</f>
        <v>0</v>
      </c>
      <c r="E96" s="238">
        <f t="shared" si="38"/>
        <v>0</v>
      </c>
      <c r="F96" s="238">
        <f t="shared" si="38"/>
        <v>0</v>
      </c>
      <c r="G96" s="238">
        <f t="shared" si="38"/>
        <v>0</v>
      </c>
      <c r="H96" s="238">
        <f t="shared" si="38"/>
        <v>0</v>
      </c>
      <c r="I96" s="238">
        <f t="shared" si="38"/>
        <v>0</v>
      </c>
    </row>
    <row r="97" spans="2:14" ht="12.75" hidden="1" customHeight="1" outlineLevel="1" x14ac:dyDescent="0.2">
      <c r="B97" s="249">
        <v>4</v>
      </c>
      <c r="C97" s="3" t="s">
        <v>108</v>
      </c>
      <c r="D97" s="238">
        <f t="shared" ref="D97:I97" si="39">INDEX(RPBSScriptsChanged,$B88,D89)*(INDEX(DPMQCoPayChangedEff,$B88,$B97)/INDEX(CoPayCountChanged,$B88))</f>
        <v>0</v>
      </c>
      <c r="E97" s="238">
        <f t="shared" si="39"/>
        <v>0</v>
      </c>
      <c r="F97" s="238">
        <f t="shared" si="39"/>
        <v>0</v>
      </c>
      <c r="G97" s="238">
        <f t="shared" si="39"/>
        <v>0</v>
      </c>
      <c r="H97" s="238">
        <f t="shared" si="39"/>
        <v>0</v>
      </c>
      <c r="I97" s="238">
        <f t="shared" si="39"/>
        <v>0</v>
      </c>
    </row>
    <row r="98" spans="2:14" ht="12.75" hidden="1" customHeight="1" outlineLevel="1" x14ac:dyDescent="0.2">
      <c r="B98" s="121"/>
      <c r="C98" s="3" t="s">
        <v>86</v>
      </c>
      <c r="D98" s="238">
        <f t="shared" ref="D98:I98" si="40">D96+D97</f>
        <v>0</v>
      </c>
      <c r="E98" s="238">
        <f t="shared" si="40"/>
        <v>0</v>
      </c>
      <c r="F98" s="238">
        <f t="shared" si="40"/>
        <v>0</v>
      </c>
      <c r="G98" s="238">
        <f t="shared" si="40"/>
        <v>0</v>
      </c>
      <c r="H98" s="238">
        <f t="shared" si="40"/>
        <v>0</v>
      </c>
      <c r="I98" s="238">
        <f t="shared" si="40"/>
        <v>0</v>
      </c>
    </row>
    <row r="99" spans="2:14" ht="12.75" customHeight="1" collapsed="1" x14ac:dyDescent="0.2">
      <c r="B99" s="121"/>
      <c r="C99" s="457"/>
      <c r="D99" s="457"/>
      <c r="E99" s="457"/>
      <c r="F99" s="31"/>
      <c r="G99" s="31"/>
      <c r="H99" s="31"/>
      <c r="I99" s="31"/>
      <c r="J99" s="31"/>
      <c r="K99" s="31"/>
      <c r="L99" s="31"/>
      <c r="M99" s="31"/>
      <c r="N99" s="31"/>
    </row>
    <row r="100" spans="2:14" ht="15" x14ac:dyDescent="0.2">
      <c r="B100" s="249">
        <v>7</v>
      </c>
      <c r="C100" s="129" t="str">
        <f>IF(SPAChangeFlag&lt;&gt;0,INDEX(PBSScriptsChanged,B100,1),MsgNotRequired)</f>
        <v>** NOT REQUIRED **</v>
      </c>
      <c r="D100" s="123"/>
      <c r="E100" s="123"/>
      <c r="F100" s="123"/>
      <c r="G100" s="123"/>
      <c r="H100" s="123"/>
      <c r="I100" s="123"/>
      <c r="J100" s="116"/>
      <c r="K100" s="116"/>
      <c r="L100" s="588" t="str">
        <f>IF(AND(C100&lt;&gt;MsgNotUsed,C100&lt;&gt;MsgNotRequired),"Co-payment group " &amp; INDEX(DPMQCoPayChangedEff,B100,2),"")</f>
        <v/>
      </c>
      <c r="M100" s="588"/>
      <c r="N100" s="380"/>
    </row>
    <row r="101" spans="2:14" ht="12.75" hidden="1" customHeight="1" outlineLevel="1" x14ac:dyDescent="0.2">
      <c r="B101" s="209">
        <f>INDEX(SAChanged,B100,5)</f>
        <v>0</v>
      </c>
      <c r="C101" s="457"/>
      <c r="D101" s="319">
        <v>2</v>
      </c>
      <c r="E101" s="319">
        <v>3</v>
      </c>
      <c r="F101" s="319">
        <v>4</v>
      </c>
      <c r="G101" s="319">
        <v>5</v>
      </c>
      <c r="H101" s="319">
        <v>6</v>
      </c>
      <c r="I101" s="319">
        <v>7</v>
      </c>
      <c r="J101" s="31"/>
      <c r="K101" s="31"/>
      <c r="L101" s="31"/>
      <c r="M101" s="31"/>
      <c r="N101" s="31"/>
    </row>
    <row r="102" spans="2:14" ht="12.75" hidden="1" customHeight="1" outlineLevel="1" x14ac:dyDescent="0.2">
      <c r="B102" s="121"/>
      <c r="D102" s="74">
        <f>FirstYear</f>
        <v>2026</v>
      </c>
      <c r="E102" s="74">
        <f>D102+1</f>
        <v>2027</v>
      </c>
      <c r="F102" s="74">
        <f>E102+1</f>
        <v>2028</v>
      </c>
      <c r="G102" s="74">
        <f>F102+1</f>
        <v>2029</v>
      </c>
      <c r="H102" s="74">
        <f>G102+1</f>
        <v>2030</v>
      </c>
      <c r="I102" s="74">
        <f>H102+1</f>
        <v>2031</v>
      </c>
    </row>
    <row r="103" spans="2:14" ht="12.75" hidden="1" customHeight="1" outlineLevel="1" x14ac:dyDescent="0.2">
      <c r="B103" s="249">
        <v>1</v>
      </c>
      <c r="C103" s="76" t="s">
        <v>83</v>
      </c>
      <c r="D103" s="238">
        <f t="shared" ref="D103:I103" si="41">INDEX(PBSScriptsChanged,$B100,D101)*INDEX(DPMQCoPayChangedEff,$B100,$B103)</f>
        <v>0</v>
      </c>
      <c r="E103" s="238">
        <f t="shared" si="41"/>
        <v>0</v>
      </c>
      <c r="F103" s="238">
        <f t="shared" si="41"/>
        <v>0</v>
      </c>
      <c r="G103" s="238">
        <f t="shared" si="41"/>
        <v>0</v>
      </c>
      <c r="H103" s="238">
        <f t="shared" si="41"/>
        <v>0</v>
      </c>
      <c r="I103" s="238">
        <f t="shared" si="41"/>
        <v>0</v>
      </c>
    </row>
    <row r="104" spans="2:14" ht="12.75" hidden="1" customHeight="1" outlineLevel="1" x14ac:dyDescent="0.2">
      <c r="B104" s="249">
        <v>3</v>
      </c>
      <c r="C104" s="3" t="s">
        <v>108</v>
      </c>
      <c r="D104" s="238">
        <f t="shared" ref="D104:I104" si="42">INDEX(PBSScriptsChanged,$B100,D101)*(INDEX(DPMQCoPayChangedEff,$B100,$B104)/INDEX(CoPayCountChanged,$B100))</f>
        <v>0</v>
      </c>
      <c r="E104" s="238">
        <f t="shared" si="42"/>
        <v>0</v>
      </c>
      <c r="F104" s="238">
        <f t="shared" si="42"/>
        <v>0</v>
      </c>
      <c r="G104" s="238">
        <f t="shared" si="42"/>
        <v>0</v>
      </c>
      <c r="H104" s="238">
        <f t="shared" si="42"/>
        <v>0</v>
      </c>
      <c r="I104" s="238">
        <f t="shared" si="42"/>
        <v>0</v>
      </c>
      <c r="K104" s="579" t="str">
        <f>IF(B101&lt;&gt;0,MsgNote&amp;IF(B101="Yes",INDEX(CoPayMethod,1),INDEX(CoPayMethod,2)),"")</f>
        <v/>
      </c>
      <c r="L104" s="579"/>
      <c r="M104" s="579"/>
      <c r="N104" s="443"/>
    </row>
    <row r="105" spans="2:14" ht="12.75" hidden="1" customHeight="1" outlineLevel="1" x14ac:dyDescent="0.2">
      <c r="B105" s="121"/>
      <c r="C105" s="3" t="s">
        <v>85</v>
      </c>
      <c r="D105" s="238">
        <f t="shared" ref="D105:I105" si="43">D103+D104</f>
        <v>0</v>
      </c>
      <c r="E105" s="238">
        <f t="shared" si="43"/>
        <v>0</v>
      </c>
      <c r="F105" s="238">
        <f t="shared" si="43"/>
        <v>0</v>
      </c>
      <c r="G105" s="238">
        <f t="shared" si="43"/>
        <v>0</v>
      </c>
      <c r="H105" s="238">
        <f t="shared" si="43"/>
        <v>0</v>
      </c>
      <c r="I105" s="238">
        <f t="shared" si="43"/>
        <v>0</v>
      </c>
    </row>
    <row r="106" spans="2:14" ht="12.75" hidden="1" customHeight="1" outlineLevel="1" x14ac:dyDescent="0.2">
      <c r="B106" s="121"/>
    </row>
    <row r="107" spans="2:14" ht="15.75" hidden="1" customHeight="1" outlineLevel="1" x14ac:dyDescent="0.2">
      <c r="B107" s="121"/>
      <c r="C107" s="454"/>
      <c r="D107" s="74">
        <f>FirstYear</f>
        <v>2026</v>
      </c>
      <c r="E107" s="74">
        <f>D107+1</f>
        <v>2027</v>
      </c>
      <c r="F107" s="74">
        <f>E107+1</f>
        <v>2028</v>
      </c>
      <c r="G107" s="74">
        <f>F107+1</f>
        <v>2029</v>
      </c>
      <c r="H107" s="74">
        <f>G107+1</f>
        <v>2030</v>
      </c>
      <c r="I107" s="74">
        <f>H107+1</f>
        <v>2031</v>
      </c>
    </row>
    <row r="108" spans="2:14" ht="12.75" hidden="1" customHeight="1" outlineLevel="1" x14ac:dyDescent="0.2">
      <c r="B108" s="249">
        <v>1</v>
      </c>
      <c r="C108" s="76" t="s">
        <v>84</v>
      </c>
      <c r="D108" s="238">
        <f t="shared" ref="D108:I108" si="44">INDEX(RPBSScriptsChanged,$B100,D101)*INDEX(DPMQCoPayChangedEff,$B100,$B108)</f>
        <v>0</v>
      </c>
      <c r="E108" s="238">
        <f t="shared" si="44"/>
        <v>0</v>
      </c>
      <c r="F108" s="238">
        <f t="shared" si="44"/>
        <v>0</v>
      </c>
      <c r="G108" s="238">
        <f t="shared" si="44"/>
        <v>0</v>
      </c>
      <c r="H108" s="238">
        <f t="shared" si="44"/>
        <v>0</v>
      </c>
      <c r="I108" s="238">
        <f t="shared" si="44"/>
        <v>0</v>
      </c>
    </row>
    <row r="109" spans="2:14" ht="12.75" hidden="1" customHeight="1" outlineLevel="1" x14ac:dyDescent="0.2">
      <c r="B109" s="249">
        <v>4</v>
      </c>
      <c r="C109" s="3" t="s">
        <v>108</v>
      </c>
      <c r="D109" s="238">
        <f t="shared" ref="D109:I109" si="45">INDEX(RPBSScriptsChanged,$B100,D101)*(INDEX(DPMQCoPayChangedEff,$B100,$B109)/INDEX(CoPayCountChanged,$B100))</f>
        <v>0</v>
      </c>
      <c r="E109" s="238">
        <f t="shared" si="45"/>
        <v>0</v>
      </c>
      <c r="F109" s="238">
        <f t="shared" si="45"/>
        <v>0</v>
      </c>
      <c r="G109" s="238">
        <f t="shared" si="45"/>
        <v>0</v>
      </c>
      <c r="H109" s="238">
        <f t="shared" si="45"/>
        <v>0</v>
      </c>
      <c r="I109" s="238">
        <f t="shared" si="45"/>
        <v>0</v>
      </c>
    </row>
    <row r="110" spans="2:14" ht="12.75" hidden="1" customHeight="1" outlineLevel="1" x14ac:dyDescent="0.2">
      <c r="B110" s="121"/>
      <c r="C110" s="3" t="s">
        <v>86</v>
      </c>
      <c r="D110" s="238">
        <f t="shared" ref="D110:I110" si="46">D108+D109</f>
        <v>0</v>
      </c>
      <c r="E110" s="238">
        <f t="shared" si="46"/>
        <v>0</v>
      </c>
      <c r="F110" s="238">
        <f t="shared" si="46"/>
        <v>0</v>
      </c>
      <c r="G110" s="238">
        <f t="shared" si="46"/>
        <v>0</v>
      </c>
      <c r="H110" s="238">
        <f t="shared" si="46"/>
        <v>0</v>
      </c>
      <c r="I110" s="238">
        <f t="shared" si="46"/>
        <v>0</v>
      </c>
    </row>
    <row r="111" spans="2:14" ht="12.75" customHeight="1" collapsed="1" x14ac:dyDescent="0.2">
      <c r="B111" s="121"/>
      <c r="C111" s="457"/>
      <c r="D111" s="457"/>
      <c r="E111" s="457"/>
      <c r="F111" s="31"/>
      <c r="G111" s="31"/>
      <c r="H111" s="31"/>
      <c r="I111" s="31"/>
      <c r="J111" s="31"/>
      <c r="K111" s="31"/>
      <c r="L111" s="31"/>
      <c r="M111" s="31"/>
      <c r="N111" s="31"/>
    </row>
    <row r="112" spans="2:14" ht="15" x14ac:dyDescent="0.2">
      <c r="B112" s="249">
        <v>8</v>
      </c>
      <c r="C112" s="129" t="str">
        <f>IF(SPAChangeFlag&lt;&gt;0,INDEX(PBSScriptsChanged,B112,1),MsgNotRequired)</f>
        <v>** NOT REQUIRED **</v>
      </c>
      <c r="D112" s="123"/>
      <c r="E112" s="123"/>
      <c r="F112" s="123"/>
      <c r="G112" s="123"/>
      <c r="H112" s="123"/>
      <c r="I112" s="123"/>
      <c r="J112" s="116"/>
      <c r="K112" s="116"/>
      <c r="L112" s="588" t="str">
        <f>IF(AND(C112&lt;&gt;MsgNotUsed,C112&lt;&gt;MsgNotRequired),"Co-payment group " &amp; INDEX(DPMQCoPayChangedEff,B112,2),"")</f>
        <v/>
      </c>
      <c r="M112" s="588"/>
      <c r="N112" s="380"/>
    </row>
    <row r="113" spans="2:14" ht="12.75" hidden="1" customHeight="1" outlineLevel="1" x14ac:dyDescent="0.2">
      <c r="B113" s="209">
        <f>INDEX(SAChanged,B112,5)</f>
        <v>0</v>
      </c>
      <c r="C113" s="457"/>
      <c r="D113" s="319">
        <v>2</v>
      </c>
      <c r="E113" s="319">
        <v>3</v>
      </c>
      <c r="F113" s="319">
        <v>4</v>
      </c>
      <c r="G113" s="319">
        <v>5</v>
      </c>
      <c r="H113" s="319">
        <v>6</v>
      </c>
      <c r="I113" s="319">
        <v>7</v>
      </c>
      <c r="J113" s="31"/>
      <c r="K113" s="31"/>
      <c r="L113" s="31"/>
      <c r="M113" s="31"/>
      <c r="N113" s="31"/>
    </row>
    <row r="114" spans="2:14" ht="12.75" hidden="1" customHeight="1" outlineLevel="1" x14ac:dyDescent="0.2">
      <c r="B114" s="121"/>
      <c r="D114" s="74">
        <f>FirstYear</f>
        <v>2026</v>
      </c>
      <c r="E114" s="74">
        <f>D114+1</f>
        <v>2027</v>
      </c>
      <c r="F114" s="74">
        <f>E114+1</f>
        <v>2028</v>
      </c>
      <c r="G114" s="74">
        <f>F114+1</f>
        <v>2029</v>
      </c>
      <c r="H114" s="74">
        <f>G114+1</f>
        <v>2030</v>
      </c>
      <c r="I114" s="74">
        <f>H114+1</f>
        <v>2031</v>
      </c>
    </row>
    <row r="115" spans="2:14" ht="12.75" hidden="1" customHeight="1" outlineLevel="1" x14ac:dyDescent="0.2">
      <c r="B115" s="249">
        <v>1</v>
      </c>
      <c r="C115" s="76" t="s">
        <v>83</v>
      </c>
      <c r="D115" s="238">
        <f t="shared" ref="D115:I115" si="47">INDEX(PBSScriptsChanged,$B112,D113)*INDEX(DPMQCoPayChangedEff,$B112,$B115)</f>
        <v>0</v>
      </c>
      <c r="E115" s="238">
        <f t="shared" si="47"/>
        <v>0</v>
      </c>
      <c r="F115" s="238">
        <f t="shared" si="47"/>
        <v>0</v>
      </c>
      <c r="G115" s="238">
        <f t="shared" si="47"/>
        <v>0</v>
      </c>
      <c r="H115" s="238">
        <f t="shared" si="47"/>
        <v>0</v>
      </c>
      <c r="I115" s="238">
        <f t="shared" si="47"/>
        <v>0</v>
      </c>
    </row>
    <row r="116" spans="2:14" ht="12.75" hidden="1" customHeight="1" outlineLevel="1" x14ac:dyDescent="0.2">
      <c r="B116" s="249">
        <v>3</v>
      </c>
      <c r="C116" s="3" t="s">
        <v>108</v>
      </c>
      <c r="D116" s="238">
        <f t="shared" ref="D116:I116" si="48">INDEX(PBSScriptsChanged,$B112,D113)*(INDEX(DPMQCoPayChangedEff,$B112,$B116)/INDEX(CoPayCountChanged,$B112))</f>
        <v>0</v>
      </c>
      <c r="E116" s="238">
        <f t="shared" si="48"/>
        <v>0</v>
      </c>
      <c r="F116" s="238">
        <f t="shared" si="48"/>
        <v>0</v>
      </c>
      <c r="G116" s="238">
        <f t="shared" si="48"/>
        <v>0</v>
      </c>
      <c r="H116" s="238">
        <f t="shared" si="48"/>
        <v>0</v>
      </c>
      <c r="I116" s="238">
        <f t="shared" si="48"/>
        <v>0</v>
      </c>
      <c r="K116" s="579" t="str">
        <f>IF(B113&lt;&gt;0,MsgNote&amp;IF(B113="Yes",INDEX(CoPayMethod,1),INDEX(CoPayMethod,2)),"")</f>
        <v/>
      </c>
      <c r="L116" s="579"/>
      <c r="M116" s="579"/>
      <c r="N116" s="443"/>
    </row>
    <row r="117" spans="2:14" ht="12.75" hidden="1" customHeight="1" outlineLevel="1" x14ac:dyDescent="0.2">
      <c r="B117" s="121"/>
      <c r="C117" s="3" t="s">
        <v>85</v>
      </c>
      <c r="D117" s="238">
        <f t="shared" ref="D117:I117" si="49">D115+D116</f>
        <v>0</v>
      </c>
      <c r="E117" s="238">
        <f t="shared" si="49"/>
        <v>0</v>
      </c>
      <c r="F117" s="238">
        <f t="shared" si="49"/>
        <v>0</v>
      </c>
      <c r="G117" s="238">
        <f t="shared" si="49"/>
        <v>0</v>
      </c>
      <c r="H117" s="238">
        <f t="shared" si="49"/>
        <v>0</v>
      </c>
      <c r="I117" s="238">
        <f t="shared" si="49"/>
        <v>0</v>
      </c>
    </row>
    <row r="118" spans="2:14" ht="12.75" hidden="1" customHeight="1" outlineLevel="1" x14ac:dyDescent="0.2">
      <c r="B118" s="121"/>
    </row>
    <row r="119" spans="2:14" ht="15.75" hidden="1" customHeight="1" outlineLevel="1" x14ac:dyDescent="0.2">
      <c r="B119" s="121"/>
      <c r="C119" s="454"/>
      <c r="D119" s="74">
        <f>FirstYear</f>
        <v>2026</v>
      </c>
      <c r="E119" s="74">
        <f>D119+1</f>
        <v>2027</v>
      </c>
      <c r="F119" s="74">
        <f>E119+1</f>
        <v>2028</v>
      </c>
      <c r="G119" s="74">
        <f>F119+1</f>
        <v>2029</v>
      </c>
      <c r="H119" s="74">
        <f>G119+1</f>
        <v>2030</v>
      </c>
      <c r="I119" s="74">
        <f>H119+1</f>
        <v>2031</v>
      </c>
    </row>
    <row r="120" spans="2:14" ht="12.75" hidden="1" customHeight="1" outlineLevel="1" x14ac:dyDescent="0.2">
      <c r="B120" s="249">
        <v>1</v>
      </c>
      <c r="C120" s="76" t="s">
        <v>84</v>
      </c>
      <c r="D120" s="238">
        <f t="shared" ref="D120:I120" si="50">INDEX(RPBSScriptsChanged,$B112,D113)*INDEX(DPMQCoPayChangedEff,$B112,$B120)</f>
        <v>0</v>
      </c>
      <c r="E120" s="238">
        <f t="shared" si="50"/>
        <v>0</v>
      </c>
      <c r="F120" s="238">
        <f t="shared" si="50"/>
        <v>0</v>
      </c>
      <c r="G120" s="238">
        <f t="shared" si="50"/>
        <v>0</v>
      </c>
      <c r="H120" s="238">
        <f t="shared" si="50"/>
        <v>0</v>
      </c>
      <c r="I120" s="238">
        <f t="shared" si="50"/>
        <v>0</v>
      </c>
    </row>
    <row r="121" spans="2:14" ht="12.75" hidden="1" customHeight="1" outlineLevel="1" x14ac:dyDescent="0.2">
      <c r="B121" s="249">
        <v>4</v>
      </c>
      <c r="C121" s="3" t="s">
        <v>108</v>
      </c>
      <c r="D121" s="238">
        <f t="shared" ref="D121:I121" si="51">INDEX(RPBSScriptsChanged,$B112,D113)*(INDEX(DPMQCoPayChangedEff,$B112,$B121)/INDEX(CoPayCountChanged,$B112))</f>
        <v>0</v>
      </c>
      <c r="E121" s="238">
        <f t="shared" si="51"/>
        <v>0</v>
      </c>
      <c r="F121" s="238">
        <f t="shared" si="51"/>
        <v>0</v>
      </c>
      <c r="G121" s="238">
        <f t="shared" si="51"/>
        <v>0</v>
      </c>
      <c r="H121" s="238">
        <f t="shared" si="51"/>
        <v>0</v>
      </c>
      <c r="I121" s="238">
        <f t="shared" si="51"/>
        <v>0</v>
      </c>
    </row>
    <row r="122" spans="2:14" ht="12.75" hidden="1" customHeight="1" outlineLevel="1" x14ac:dyDescent="0.2">
      <c r="B122" s="121"/>
      <c r="C122" s="3" t="s">
        <v>86</v>
      </c>
      <c r="D122" s="238">
        <f t="shared" ref="D122:I122" si="52">D120+D121</f>
        <v>0</v>
      </c>
      <c r="E122" s="238">
        <f t="shared" si="52"/>
        <v>0</v>
      </c>
      <c r="F122" s="238">
        <f t="shared" si="52"/>
        <v>0</v>
      </c>
      <c r="G122" s="238">
        <f t="shared" si="52"/>
        <v>0</v>
      </c>
      <c r="H122" s="238">
        <f t="shared" si="52"/>
        <v>0</v>
      </c>
      <c r="I122" s="238">
        <f t="shared" si="52"/>
        <v>0</v>
      </c>
    </row>
    <row r="123" spans="2:14" ht="12.75" customHeight="1" collapsed="1" x14ac:dyDescent="0.2">
      <c r="B123" s="121"/>
      <c r="C123" s="457"/>
      <c r="D123" s="457"/>
      <c r="E123" s="457"/>
      <c r="F123" s="31"/>
      <c r="G123" s="31"/>
      <c r="H123" s="31"/>
      <c r="I123" s="31"/>
      <c r="J123" s="31"/>
      <c r="K123" s="31"/>
      <c r="L123" s="31"/>
      <c r="M123" s="31"/>
      <c r="N123" s="31"/>
    </row>
    <row r="124" spans="2:14" ht="15" x14ac:dyDescent="0.2">
      <c r="B124" s="249">
        <v>9</v>
      </c>
      <c r="C124" s="129" t="str">
        <f>IF(SPAChangeFlag&lt;&gt;0,INDEX(PBSScriptsChanged,B124,1),MsgNotRequired)</f>
        <v>** NOT REQUIRED **</v>
      </c>
      <c r="D124" s="123"/>
      <c r="E124" s="123"/>
      <c r="F124" s="123"/>
      <c r="G124" s="123"/>
      <c r="H124" s="123"/>
      <c r="I124" s="123"/>
      <c r="J124" s="116"/>
      <c r="K124" s="116"/>
      <c r="L124" s="588" t="str">
        <f>IF(AND(C124&lt;&gt;MsgNotUsed,C124&lt;&gt;MsgNotRequired),"Co-payment group " &amp; INDEX(DPMQCoPayChangedEff,B124,2),"")</f>
        <v/>
      </c>
      <c r="M124" s="588"/>
      <c r="N124" s="380"/>
    </row>
    <row r="125" spans="2:14" ht="12.75" hidden="1" customHeight="1" outlineLevel="1" x14ac:dyDescent="0.2">
      <c r="B125" s="209">
        <f>INDEX(SAChanged,B124,5)</f>
        <v>0</v>
      </c>
      <c r="C125" s="457"/>
      <c r="D125" s="319">
        <v>2</v>
      </c>
      <c r="E125" s="319">
        <v>3</v>
      </c>
      <c r="F125" s="319">
        <v>4</v>
      </c>
      <c r="G125" s="319">
        <v>5</v>
      </c>
      <c r="H125" s="319">
        <v>6</v>
      </c>
      <c r="I125" s="319">
        <v>7</v>
      </c>
      <c r="J125" s="31"/>
      <c r="K125" s="31"/>
      <c r="L125" s="31"/>
      <c r="M125" s="31"/>
      <c r="N125" s="31"/>
    </row>
    <row r="126" spans="2:14" ht="12.75" hidden="1" customHeight="1" outlineLevel="1" x14ac:dyDescent="0.2">
      <c r="B126" s="121"/>
      <c r="D126" s="74">
        <f>FirstYear</f>
        <v>2026</v>
      </c>
      <c r="E126" s="74">
        <f>D126+1</f>
        <v>2027</v>
      </c>
      <c r="F126" s="74">
        <f>E126+1</f>
        <v>2028</v>
      </c>
      <c r="G126" s="74">
        <f>F126+1</f>
        <v>2029</v>
      </c>
      <c r="H126" s="74">
        <f>G126+1</f>
        <v>2030</v>
      </c>
      <c r="I126" s="74">
        <f>H126+1</f>
        <v>2031</v>
      </c>
    </row>
    <row r="127" spans="2:14" ht="12.75" hidden="1" customHeight="1" outlineLevel="1" x14ac:dyDescent="0.2">
      <c r="B127" s="249">
        <v>1</v>
      </c>
      <c r="C127" s="76" t="s">
        <v>83</v>
      </c>
      <c r="D127" s="238">
        <f t="shared" ref="D127:I127" si="53">INDEX(PBSScriptsChanged,$B124,D125)*INDEX(DPMQCoPayChangedEff,$B124,$B127)</f>
        <v>0</v>
      </c>
      <c r="E127" s="238">
        <f t="shared" si="53"/>
        <v>0</v>
      </c>
      <c r="F127" s="238">
        <f t="shared" si="53"/>
        <v>0</v>
      </c>
      <c r="G127" s="238">
        <f t="shared" si="53"/>
        <v>0</v>
      </c>
      <c r="H127" s="238">
        <f t="shared" si="53"/>
        <v>0</v>
      </c>
      <c r="I127" s="238">
        <f t="shared" si="53"/>
        <v>0</v>
      </c>
    </row>
    <row r="128" spans="2:14" ht="12.75" hidden="1" customHeight="1" outlineLevel="1" x14ac:dyDescent="0.2">
      <c r="B128" s="249">
        <v>3</v>
      </c>
      <c r="C128" s="3" t="s">
        <v>108</v>
      </c>
      <c r="D128" s="238">
        <f t="shared" ref="D128:I128" si="54">INDEX(PBSScriptsChanged,$B124,D125)*(INDEX(DPMQCoPayChangedEff,$B124,$B128)/INDEX(CoPayCountChanged,$B124))</f>
        <v>0</v>
      </c>
      <c r="E128" s="238">
        <f t="shared" si="54"/>
        <v>0</v>
      </c>
      <c r="F128" s="238">
        <f t="shared" si="54"/>
        <v>0</v>
      </c>
      <c r="G128" s="238">
        <f t="shared" si="54"/>
        <v>0</v>
      </c>
      <c r="H128" s="238">
        <f t="shared" si="54"/>
        <v>0</v>
      </c>
      <c r="I128" s="238">
        <f t="shared" si="54"/>
        <v>0</v>
      </c>
      <c r="K128" s="579" t="str">
        <f>IF(B125&lt;&gt;0,MsgNote&amp;IF(B125="Yes",INDEX(CoPayMethod,1),INDEX(CoPayMethod,2)),"")</f>
        <v/>
      </c>
      <c r="L128" s="579"/>
      <c r="M128" s="579"/>
      <c r="N128" s="443"/>
    </row>
    <row r="129" spans="2:14" ht="12.75" hidden="1" customHeight="1" outlineLevel="1" x14ac:dyDescent="0.2">
      <c r="B129" s="121"/>
      <c r="C129" s="3" t="s">
        <v>85</v>
      </c>
      <c r="D129" s="238">
        <f t="shared" ref="D129:I129" si="55">D127+D128</f>
        <v>0</v>
      </c>
      <c r="E129" s="238">
        <f t="shared" si="55"/>
        <v>0</v>
      </c>
      <c r="F129" s="238">
        <f t="shared" si="55"/>
        <v>0</v>
      </c>
      <c r="G129" s="238">
        <f t="shared" si="55"/>
        <v>0</v>
      </c>
      <c r="H129" s="238">
        <f t="shared" si="55"/>
        <v>0</v>
      </c>
      <c r="I129" s="238">
        <f t="shared" si="55"/>
        <v>0</v>
      </c>
    </row>
    <row r="130" spans="2:14" ht="12.75" hidden="1" customHeight="1" outlineLevel="1" x14ac:dyDescent="0.2">
      <c r="B130" s="121"/>
    </row>
    <row r="131" spans="2:14" ht="15.75" hidden="1" customHeight="1" outlineLevel="1" x14ac:dyDescent="0.2">
      <c r="B131" s="121"/>
      <c r="C131" s="454"/>
      <c r="D131" s="74">
        <f>FirstYear</f>
        <v>2026</v>
      </c>
      <c r="E131" s="74">
        <f>D131+1</f>
        <v>2027</v>
      </c>
      <c r="F131" s="74">
        <f>E131+1</f>
        <v>2028</v>
      </c>
      <c r="G131" s="74">
        <f>F131+1</f>
        <v>2029</v>
      </c>
      <c r="H131" s="74">
        <f>G131+1</f>
        <v>2030</v>
      </c>
      <c r="I131" s="74">
        <f>H131+1</f>
        <v>2031</v>
      </c>
    </row>
    <row r="132" spans="2:14" ht="12.75" hidden="1" customHeight="1" outlineLevel="1" x14ac:dyDescent="0.2">
      <c r="B132" s="249">
        <v>1</v>
      </c>
      <c r="C132" s="76" t="s">
        <v>84</v>
      </c>
      <c r="D132" s="238">
        <f t="shared" ref="D132:I132" si="56">INDEX(RPBSScriptsChanged,$B124,D125)*INDEX(DPMQCoPayChangedEff,$B124,$B132)</f>
        <v>0</v>
      </c>
      <c r="E132" s="238">
        <f t="shared" si="56"/>
        <v>0</v>
      </c>
      <c r="F132" s="238">
        <f t="shared" si="56"/>
        <v>0</v>
      </c>
      <c r="G132" s="238">
        <f t="shared" si="56"/>
        <v>0</v>
      </c>
      <c r="H132" s="238">
        <f t="shared" si="56"/>
        <v>0</v>
      </c>
      <c r="I132" s="238">
        <f t="shared" si="56"/>
        <v>0</v>
      </c>
    </row>
    <row r="133" spans="2:14" ht="12.75" hidden="1" customHeight="1" outlineLevel="1" x14ac:dyDescent="0.2">
      <c r="B133" s="249">
        <v>4</v>
      </c>
      <c r="C133" s="3" t="s">
        <v>108</v>
      </c>
      <c r="D133" s="238">
        <f t="shared" ref="D133:I133" si="57">INDEX(RPBSScriptsChanged,$B124,D125)*(INDEX(DPMQCoPayChangedEff,$B124,$B133)/INDEX(CoPayCountChanged,$B124))</f>
        <v>0</v>
      </c>
      <c r="E133" s="238">
        <f t="shared" si="57"/>
        <v>0</v>
      </c>
      <c r="F133" s="238">
        <f t="shared" si="57"/>
        <v>0</v>
      </c>
      <c r="G133" s="238">
        <f t="shared" si="57"/>
        <v>0</v>
      </c>
      <c r="H133" s="238">
        <f t="shared" si="57"/>
        <v>0</v>
      </c>
      <c r="I133" s="238">
        <f t="shared" si="57"/>
        <v>0</v>
      </c>
    </row>
    <row r="134" spans="2:14" ht="12.75" hidden="1" customHeight="1" outlineLevel="1" x14ac:dyDescent="0.2">
      <c r="B134" s="121"/>
      <c r="C134" s="3" t="s">
        <v>86</v>
      </c>
      <c r="D134" s="238">
        <f t="shared" ref="D134:I134" si="58">D132+D133</f>
        <v>0</v>
      </c>
      <c r="E134" s="238">
        <f t="shared" si="58"/>
        <v>0</v>
      </c>
      <c r="F134" s="238">
        <f t="shared" si="58"/>
        <v>0</v>
      </c>
      <c r="G134" s="238">
        <f t="shared" si="58"/>
        <v>0</v>
      </c>
      <c r="H134" s="238">
        <f t="shared" si="58"/>
        <v>0</v>
      </c>
      <c r="I134" s="238">
        <f t="shared" si="58"/>
        <v>0</v>
      </c>
    </row>
    <row r="135" spans="2:14" ht="12.75" customHeight="1" collapsed="1" x14ac:dyDescent="0.2">
      <c r="B135" s="121"/>
      <c r="C135" s="457"/>
      <c r="D135" s="457"/>
      <c r="E135" s="457"/>
      <c r="F135" s="31"/>
      <c r="G135" s="31"/>
      <c r="H135" s="31"/>
      <c r="I135" s="31"/>
      <c r="J135" s="31"/>
      <c r="K135" s="31"/>
      <c r="L135" s="31"/>
      <c r="M135" s="31"/>
      <c r="N135" s="31"/>
    </row>
    <row r="136" spans="2:14" ht="15" x14ac:dyDescent="0.2">
      <c r="B136" s="249">
        <v>10</v>
      </c>
      <c r="C136" s="129" t="str">
        <f>IF(SPAChangeFlag&lt;&gt;0,INDEX(PBSScriptsChanged,B136,1),MsgNotRequired)</f>
        <v>** NOT REQUIRED **</v>
      </c>
      <c r="D136" s="123"/>
      <c r="E136" s="123"/>
      <c r="F136" s="123"/>
      <c r="G136" s="123"/>
      <c r="H136" s="123"/>
      <c r="I136" s="123"/>
      <c r="J136" s="116"/>
      <c r="K136" s="116"/>
      <c r="L136" s="588" t="str">
        <f>IF(AND(C136&lt;&gt;MsgNotUsed,C136&lt;&gt;MsgNotRequired),"Co-payment group " &amp; INDEX(DPMQCoPayChangedEff,B136,2),"")</f>
        <v/>
      </c>
      <c r="M136" s="588"/>
      <c r="N136" s="380"/>
    </row>
    <row r="137" spans="2:14" ht="12.75" hidden="1" customHeight="1" outlineLevel="1" x14ac:dyDescent="0.2">
      <c r="B137" s="209">
        <f>INDEX(SAChanged,B136,5)</f>
        <v>0</v>
      </c>
      <c r="C137" s="457"/>
      <c r="D137" s="319">
        <v>2</v>
      </c>
      <c r="E137" s="319">
        <v>3</v>
      </c>
      <c r="F137" s="319">
        <v>4</v>
      </c>
      <c r="G137" s="319">
        <v>5</v>
      </c>
      <c r="H137" s="319">
        <v>6</v>
      </c>
      <c r="I137" s="319">
        <v>7</v>
      </c>
      <c r="J137" s="31"/>
      <c r="K137" s="31"/>
      <c r="L137" s="31"/>
      <c r="M137" s="31"/>
      <c r="N137" s="31"/>
    </row>
    <row r="138" spans="2:14" ht="12.75" hidden="1" customHeight="1" outlineLevel="1" x14ac:dyDescent="0.2">
      <c r="B138" s="121"/>
      <c r="D138" s="74">
        <f>FirstYear</f>
        <v>2026</v>
      </c>
      <c r="E138" s="74">
        <f>D138+1</f>
        <v>2027</v>
      </c>
      <c r="F138" s="74">
        <f>E138+1</f>
        <v>2028</v>
      </c>
      <c r="G138" s="74">
        <f>F138+1</f>
        <v>2029</v>
      </c>
      <c r="H138" s="74">
        <f>G138+1</f>
        <v>2030</v>
      </c>
      <c r="I138" s="74">
        <f>H138+1</f>
        <v>2031</v>
      </c>
    </row>
    <row r="139" spans="2:14" ht="12.75" hidden="1" customHeight="1" outlineLevel="1" x14ac:dyDescent="0.2">
      <c r="B139" s="249">
        <v>1</v>
      </c>
      <c r="C139" s="76" t="s">
        <v>83</v>
      </c>
      <c r="D139" s="238">
        <f t="shared" ref="D139:I139" si="59">INDEX(PBSScriptsChanged,$B136,D137)*INDEX(DPMQCoPayChangedEff,$B136,$B139)</f>
        <v>0</v>
      </c>
      <c r="E139" s="238">
        <f t="shared" si="59"/>
        <v>0</v>
      </c>
      <c r="F139" s="238">
        <f t="shared" si="59"/>
        <v>0</v>
      </c>
      <c r="G139" s="238">
        <f t="shared" si="59"/>
        <v>0</v>
      </c>
      <c r="H139" s="238">
        <f t="shared" si="59"/>
        <v>0</v>
      </c>
      <c r="I139" s="238">
        <f t="shared" si="59"/>
        <v>0</v>
      </c>
    </row>
    <row r="140" spans="2:14" ht="12.75" hidden="1" customHeight="1" outlineLevel="1" x14ac:dyDescent="0.2">
      <c r="B140" s="249">
        <v>3</v>
      </c>
      <c r="C140" s="3" t="s">
        <v>108</v>
      </c>
      <c r="D140" s="238">
        <f t="shared" ref="D140:I140" si="60">INDEX(PBSScriptsChanged,$B136,D137)*(INDEX(DPMQCoPayChangedEff,$B136,$B140)/INDEX(CoPayCountChanged,$B136))</f>
        <v>0</v>
      </c>
      <c r="E140" s="238">
        <f t="shared" si="60"/>
        <v>0</v>
      </c>
      <c r="F140" s="238">
        <f t="shared" si="60"/>
        <v>0</v>
      </c>
      <c r="G140" s="238">
        <f t="shared" si="60"/>
        <v>0</v>
      </c>
      <c r="H140" s="238">
        <f t="shared" si="60"/>
        <v>0</v>
      </c>
      <c r="I140" s="238">
        <f t="shared" si="60"/>
        <v>0</v>
      </c>
      <c r="K140" s="579" t="str">
        <f>IF(B137&lt;&gt;0,MsgNote&amp;IF(B137="Yes",INDEX(CoPayMethod,1),INDEX(CoPayMethod,2)),"")</f>
        <v/>
      </c>
      <c r="L140" s="579"/>
      <c r="M140" s="579"/>
      <c r="N140" s="443"/>
    </row>
    <row r="141" spans="2:14" ht="12.75" hidden="1" customHeight="1" outlineLevel="1" x14ac:dyDescent="0.2">
      <c r="B141" s="121"/>
      <c r="C141" s="3" t="s">
        <v>85</v>
      </c>
      <c r="D141" s="238">
        <f t="shared" ref="D141:I141" si="61">D139+D140</f>
        <v>0</v>
      </c>
      <c r="E141" s="238">
        <f t="shared" si="61"/>
        <v>0</v>
      </c>
      <c r="F141" s="238">
        <f t="shared" si="61"/>
        <v>0</v>
      </c>
      <c r="G141" s="238">
        <f t="shared" si="61"/>
        <v>0</v>
      </c>
      <c r="H141" s="238">
        <f t="shared" si="61"/>
        <v>0</v>
      </c>
      <c r="I141" s="238">
        <f t="shared" si="61"/>
        <v>0</v>
      </c>
    </row>
    <row r="142" spans="2:14" ht="12.75" hidden="1" customHeight="1" outlineLevel="1" x14ac:dyDescent="0.2">
      <c r="B142" s="121"/>
    </row>
    <row r="143" spans="2:14" ht="15.75" hidden="1" customHeight="1" outlineLevel="1" x14ac:dyDescent="0.2">
      <c r="B143" s="121"/>
      <c r="C143" s="454"/>
      <c r="D143" s="74">
        <f>FirstYear</f>
        <v>2026</v>
      </c>
      <c r="E143" s="74">
        <f>D143+1</f>
        <v>2027</v>
      </c>
      <c r="F143" s="74">
        <f>E143+1</f>
        <v>2028</v>
      </c>
      <c r="G143" s="74">
        <f>F143+1</f>
        <v>2029</v>
      </c>
      <c r="H143" s="74">
        <f>G143+1</f>
        <v>2030</v>
      </c>
      <c r="I143" s="74">
        <f>H143+1</f>
        <v>2031</v>
      </c>
    </row>
    <row r="144" spans="2:14" ht="12.75" hidden="1" customHeight="1" outlineLevel="1" x14ac:dyDescent="0.2">
      <c r="B144" s="249">
        <v>1</v>
      </c>
      <c r="C144" s="76" t="s">
        <v>84</v>
      </c>
      <c r="D144" s="238">
        <f t="shared" ref="D144:I144" si="62">INDEX(RPBSScriptsChanged,$B136,D137)*INDEX(DPMQCoPayChangedEff,$B136,$B144)</f>
        <v>0</v>
      </c>
      <c r="E144" s="238">
        <f t="shared" si="62"/>
        <v>0</v>
      </c>
      <c r="F144" s="238">
        <f t="shared" si="62"/>
        <v>0</v>
      </c>
      <c r="G144" s="238">
        <f t="shared" si="62"/>
        <v>0</v>
      </c>
      <c r="H144" s="238">
        <f t="shared" si="62"/>
        <v>0</v>
      </c>
      <c r="I144" s="238">
        <f t="shared" si="62"/>
        <v>0</v>
      </c>
    </row>
    <row r="145" spans="2:14" ht="12.75" hidden="1" customHeight="1" outlineLevel="1" x14ac:dyDescent="0.2">
      <c r="B145" s="249">
        <v>4</v>
      </c>
      <c r="C145" s="3" t="s">
        <v>108</v>
      </c>
      <c r="D145" s="238">
        <f t="shared" ref="D145:I145" si="63">INDEX(RPBSScriptsChanged,$B136,D137)*(INDEX(DPMQCoPayChangedEff,$B136,$B145)/INDEX(CoPayCountChanged,$B136))</f>
        <v>0</v>
      </c>
      <c r="E145" s="238">
        <f t="shared" si="63"/>
        <v>0</v>
      </c>
      <c r="F145" s="238">
        <f t="shared" si="63"/>
        <v>0</v>
      </c>
      <c r="G145" s="238">
        <f t="shared" si="63"/>
        <v>0</v>
      </c>
      <c r="H145" s="238">
        <f t="shared" si="63"/>
        <v>0</v>
      </c>
      <c r="I145" s="238">
        <f t="shared" si="63"/>
        <v>0</v>
      </c>
    </row>
    <row r="146" spans="2:14" ht="12.75" hidden="1" customHeight="1" outlineLevel="1" x14ac:dyDescent="0.2">
      <c r="B146" s="121"/>
      <c r="C146" s="3" t="s">
        <v>86</v>
      </c>
      <c r="D146" s="238">
        <f t="shared" ref="D146:I146" si="64">D144+D145</f>
        <v>0</v>
      </c>
      <c r="E146" s="238">
        <f t="shared" si="64"/>
        <v>0</v>
      </c>
      <c r="F146" s="238">
        <f t="shared" si="64"/>
        <v>0</v>
      </c>
      <c r="G146" s="238">
        <f t="shared" si="64"/>
        <v>0</v>
      </c>
      <c r="H146" s="238">
        <f t="shared" si="64"/>
        <v>0</v>
      </c>
      <c r="I146" s="238">
        <f t="shared" si="64"/>
        <v>0</v>
      </c>
    </row>
    <row r="147" spans="2:14" ht="12.75" customHeight="1" collapsed="1" x14ac:dyDescent="0.2">
      <c r="B147" s="121"/>
      <c r="C147" s="457"/>
      <c r="D147" s="457"/>
      <c r="E147" s="457"/>
      <c r="F147" s="31"/>
      <c r="G147" s="31"/>
      <c r="H147" s="31"/>
      <c r="I147" s="31"/>
      <c r="J147" s="31"/>
      <c r="K147" s="31"/>
      <c r="L147" s="31"/>
      <c r="M147" s="31"/>
      <c r="N147" s="31"/>
    </row>
    <row r="148" spans="2:14" ht="15" x14ac:dyDescent="0.2">
      <c r="B148" s="249">
        <v>11</v>
      </c>
      <c r="C148" s="129" t="str">
        <f>IF(SPAChangeFlag&lt;&gt;0,INDEX(PBSScriptsChanged,B148,1),MsgNotRequired)</f>
        <v>** NOT REQUIRED **</v>
      </c>
      <c r="D148" s="123"/>
      <c r="E148" s="123"/>
      <c r="F148" s="123"/>
      <c r="G148" s="123"/>
      <c r="H148" s="123"/>
      <c r="I148" s="123"/>
      <c r="J148" s="116"/>
      <c r="K148" s="116"/>
      <c r="L148" s="588" t="str">
        <f>IF(AND(C148&lt;&gt;MsgNotUsed,C148&lt;&gt;MsgNotRequired),"Co-payment group " &amp; INDEX(DPMQCoPayChangedEff,B148,2),"")</f>
        <v/>
      </c>
      <c r="M148" s="588"/>
      <c r="N148" s="380"/>
    </row>
    <row r="149" spans="2:14" ht="12.75" hidden="1" customHeight="1" outlineLevel="1" x14ac:dyDescent="0.2">
      <c r="B149" s="209">
        <f>INDEX(SAChanged,B148,5)</f>
        <v>0</v>
      </c>
      <c r="C149" s="457"/>
      <c r="D149" s="319">
        <v>2</v>
      </c>
      <c r="E149" s="319">
        <v>3</v>
      </c>
      <c r="F149" s="319">
        <v>4</v>
      </c>
      <c r="G149" s="319">
        <v>5</v>
      </c>
      <c r="H149" s="319">
        <v>6</v>
      </c>
      <c r="I149" s="319">
        <v>7</v>
      </c>
      <c r="J149" s="31"/>
      <c r="K149" s="31"/>
      <c r="L149" s="31"/>
      <c r="M149" s="31"/>
      <c r="N149" s="31"/>
    </row>
    <row r="150" spans="2:14" ht="12.75" hidden="1" customHeight="1" outlineLevel="1" x14ac:dyDescent="0.2">
      <c r="B150" s="121"/>
      <c r="D150" s="74">
        <f>FirstYear</f>
        <v>2026</v>
      </c>
      <c r="E150" s="74">
        <f>D150+1</f>
        <v>2027</v>
      </c>
      <c r="F150" s="74">
        <f>E150+1</f>
        <v>2028</v>
      </c>
      <c r="G150" s="74">
        <f>F150+1</f>
        <v>2029</v>
      </c>
      <c r="H150" s="74">
        <f>G150+1</f>
        <v>2030</v>
      </c>
      <c r="I150" s="74">
        <f>H150+1</f>
        <v>2031</v>
      </c>
    </row>
    <row r="151" spans="2:14" ht="12.75" hidden="1" customHeight="1" outlineLevel="1" x14ac:dyDescent="0.2">
      <c r="B151" s="249">
        <v>1</v>
      </c>
      <c r="C151" s="76" t="s">
        <v>83</v>
      </c>
      <c r="D151" s="238">
        <f t="shared" ref="D151:I151" si="65">INDEX(PBSScriptsChanged,$B148,D149)*INDEX(DPMQCoPayChangedEff,$B148,$B151)</f>
        <v>0</v>
      </c>
      <c r="E151" s="238">
        <f t="shared" si="65"/>
        <v>0</v>
      </c>
      <c r="F151" s="238">
        <f t="shared" si="65"/>
        <v>0</v>
      </c>
      <c r="G151" s="238">
        <f t="shared" si="65"/>
        <v>0</v>
      </c>
      <c r="H151" s="238">
        <f t="shared" si="65"/>
        <v>0</v>
      </c>
      <c r="I151" s="238">
        <f t="shared" si="65"/>
        <v>0</v>
      </c>
    </row>
    <row r="152" spans="2:14" ht="12.75" hidden="1" customHeight="1" outlineLevel="1" x14ac:dyDescent="0.2">
      <c r="B152" s="249">
        <v>3</v>
      </c>
      <c r="C152" s="3" t="s">
        <v>108</v>
      </c>
      <c r="D152" s="238">
        <f t="shared" ref="D152:I152" si="66">INDEX(PBSScriptsChanged,$B148,D149)*(INDEX(DPMQCoPayChangedEff,$B148,$B152)/INDEX(CoPayCountChanged,$B148))</f>
        <v>0</v>
      </c>
      <c r="E152" s="238">
        <f t="shared" si="66"/>
        <v>0</v>
      </c>
      <c r="F152" s="238">
        <f t="shared" si="66"/>
        <v>0</v>
      </c>
      <c r="G152" s="238">
        <f t="shared" si="66"/>
        <v>0</v>
      </c>
      <c r="H152" s="238">
        <f t="shared" si="66"/>
        <v>0</v>
      </c>
      <c r="I152" s="238">
        <f t="shared" si="66"/>
        <v>0</v>
      </c>
      <c r="K152" s="579" t="str">
        <f>IF(B149&lt;&gt;0,MsgNote&amp;IF(B149="Yes",INDEX(CoPayMethod,1),INDEX(CoPayMethod,2)),"")</f>
        <v/>
      </c>
      <c r="L152" s="579"/>
      <c r="M152" s="579"/>
      <c r="N152" s="443"/>
    </row>
    <row r="153" spans="2:14" ht="12.75" hidden="1" customHeight="1" outlineLevel="1" x14ac:dyDescent="0.2">
      <c r="B153" s="121"/>
      <c r="C153" s="3" t="s">
        <v>85</v>
      </c>
      <c r="D153" s="238">
        <f t="shared" ref="D153:I153" si="67">D151+D152</f>
        <v>0</v>
      </c>
      <c r="E153" s="238">
        <f t="shared" si="67"/>
        <v>0</v>
      </c>
      <c r="F153" s="238">
        <f t="shared" si="67"/>
        <v>0</v>
      </c>
      <c r="G153" s="238">
        <f t="shared" si="67"/>
        <v>0</v>
      </c>
      <c r="H153" s="238">
        <f t="shared" si="67"/>
        <v>0</v>
      </c>
      <c r="I153" s="238">
        <f t="shared" si="67"/>
        <v>0</v>
      </c>
    </row>
    <row r="154" spans="2:14" ht="12.75" hidden="1" customHeight="1" outlineLevel="1" x14ac:dyDescent="0.2">
      <c r="B154" s="121"/>
    </row>
    <row r="155" spans="2:14" ht="15.75" hidden="1" customHeight="1" outlineLevel="1" x14ac:dyDescent="0.2">
      <c r="B155" s="121"/>
      <c r="C155" s="454"/>
      <c r="D155" s="74">
        <f>FirstYear</f>
        <v>2026</v>
      </c>
      <c r="E155" s="74">
        <f>D155+1</f>
        <v>2027</v>
      </c>
      <c r="F155" s="74">
        <f>E155+1</f>
        <v>2028</v>
      </c>
      <c r="G155" s="74">
        <f>F155+1</f>
        <v>2029</v>
      </c>
      <c r="H155" s="74">
        <f>G155+1</f>
        <v>2030</v>
      </c>
      <c r="I155" s="74">
        <f>H155+1</f>
        <v>2031</v>
      </c>
    </row>
    <row r="156" spans="2:14" ht="12.75" hidden="1" customHeight="1" outlineLevel="1" x14ac:dyDescent="0.2">
      <c r="B156" s="249">
        <v>1</v>
      </c>
      <c r="C156" s="76" t="s">
        <v>84</v>
      </c>
      <c r="D156" s="238">
        <f t="shared" ref="D156:I156" si="68">INDEX(RPBSScriptsChanged,$B148,D149)*INDEX(DPMQCoPayChangedEff,$B148,$B156)</f>
        <v>0</v>
      </c>
      <c r="E156" s="238">
        <f t="shared" si="68"/>
        <v>0</v>
      </c>
      <c r="F156" s="238">
        <f t="shared" si="68"/>
        <v>0</v>
      </c>
      <c r="G156" s="238">
        <f t="shared" si="68"/>
        <v>0</v>
      </c>
      <c r="H156" s="238">
        <f t="shared" si="68"/>
        <v>0</v>
      </c>
      <c r="I156" s="238">
        <f t="shared" si="68"/>
        <v>0</v>
      </c>
    </row>
    <row r="157" spans="2:14" ht="12.75" hidden="1" customHeight="1" outlineLevel="1" x14ac:dyDescent="0.2">
      <c r="B157" s="249">
        <v>4</v>
      </c>
      <c r="C157" s="3" t="s">
        <v>108</v>
      </c>
      <c r="D157" s="238">
        <f t="shared" ref="D157:I157" si="69">INDEX(RPBSScriptsChanged,$B148,D149)*(INDEX(DPMQCoPayChangedEff,$B148,$B157)/INDEX(CoPayCountChanged,$B148))</f>
        <v>0</v>
      </c>
      <c r="E157" s="238">
        <f t="shared" si="69"/>
        <v>0</v>
      </c>
      <c r="F157" s="238">
        <f t="shared" si="69"/>
        <v>0</v>
      </c>
      <c r="G157" s="238">
        <f t="shared" si="69"/>
        <v>0</v>
      </c>
      <c r="H157" s="238">
        <f t="shared" si="69"/>
        <v>0</v>
      </c>
      <c r="I157" s="238">
        <f t="shared" si="69"/>
        <v>0</v>
      </c>
    </row>
    <row r="158" spans="2:14" ht="12.75" hidden="1" customHeight="1" outlineLevel="1" x14ac:dyDescent="0.2">
      <c r="B158" s="121"/>
      <c r="C158" s="3" t="s">
        <v>86</v>
      </c>
      <c r="D158" s="238">
        <f t="shared" ref="D158:I158" si="70">D156+D157</f>
        <v>0</v>
      </c>
      <c r="E158" s="238">
        <f t="shared" si="70"/>
        <v>0</v>
      </c>
      <c r="F158" s="238">
        <f t="shared" si="70"/>
        <v>0</v>
      </c>
      <c r="G158" s="238">
        <f t="shared" si="70"/>
        <v>0</v>
      </c>
      <c r="H158" s="238">
        <f t="shared" si="70"/>
        <v>0</v>
      </c>
      <c r="I158" s="238">
        <f t="shared" si="70"/>
        <v>0</v>
      </c>
    </row>
    <row r="159" spans="2:14" ht="12.75" customHeight="1" collapsed="1" x14ac:dyDescent="0.2">
      <c r="B159" s="121"/>
      <c r="C159" s="457"/>
      <c r="D159" s="457"/>
      <c r="E159" s="457"/>
      <c r="F159" s="31"/>
      <c r="G159" s="31"/>
      <c r="H159" s="31"/>
      <c r="I159" s="31"/>
      <c r="J159" s="31"/>
      <c r="K159" s="31"/>
      <c r="L159" s="31"/>
      <c r="M159" s="31"/>
      <c r="N159" s="31"/>
    </row>
    <row r="160" spans="2:14" ht="15" x14ac:dyDescent="0.2">
      <c r="B160" s="249">
        <v>12</v>
      </c>
      <c r="C160" s="129" t="str">
        <f>IF(SPAChangeFlag&lt;&gt;0,INDEX(PBSScriptsChanged,B160,1),MsgNotRequired)</f>
        <v>** NOT REQUIRED **</v>
      </c>
      <c r="D160" s="123"/>
      <c r="E160" s="123"/>
      <c r="F160" s="123"/>
      <c r="G160" s="123"/>
      <c r="H160" s="123"/>
      <c r="I160" s="123"/>
      <c r="J160" s="116"/>
      <c r="K160" s="116"/>
      <c r="L160" s="588" t="str">
        <f>IF(AND(C160&lt;&gt;MsgNotUsed,C160&lt;&gt;MsgNotRequired),"Co-payment group " &amp; INDEX(DPMQCoPayChangedEff,B160,2),"")</f>
        <v/>
      </c>
      <c r="M160" s="588"/>
      <c r="N160" s="380"/>
    </row>
    <row r="161" spans="2:14" ht="12.75" hidden="1" customHeight="1" outlineLevel="1" x14ac:dyDescent="0.2">
      <c r="B161" s="209">
        <f>INDEX(SAChanged,B160,5)</f>
        <v>0</v>
      </c>
      <c r="C161" s="457"/>
      <c r="D161" s="319">
        <v>2</v>
      </c>
      <c r="E161" s="319">
        <v>3</v>
      </c>
      <c r="F161" s="319">
        <v>4</v>
      </c>
      <c r="G161" s="319">
        <v>5</v>
      </c>
      <c r="H161" s="319">
        <v>6</v>
      </c>
      <c r="I161" s="319">
        <v>7</v>
      </c>
      <c r="J161" s="31"/>
      <c r="K161" s="31"/>
      <c r="L161" s="31"/>
      <c r="M161" s="31"/>
      <c r="N161" s="31"/>
    </row>
    <row r="162" spans="2:14" ht="12.75" hidden="1" customHeight="1" outlineLevel="1" x14ac:dyDescent="0.2">
      <c r="B162" s="121"/>
      <c r="D162" s="74">
        <f>FirstYear</f>
        <v>2026</v>
      </c>
      <c r="E162" s="74">
        <f>D162+1</f>
        <v>2027</v>
      </c>
      <c r="F162" s="74">
        <f>E162+1</f>
        <v>2028</v>
      </c>
      <c r="G162" s="74">
        <f>F162+1</f>
        <v>2029</v>
      </c>
      <c r="H162" s="74">
        <f>G162+1</f>
        <v>2030</v>
      </c>
      <c r="I162" s="74">
        <f>H162+1</f>
        <v>2031</v>
      </c>
    </row>
    <row r="163" spans="2:14" ht="12.75" hidden="1" customHeight="1" outlineLevel="1" x14ac:dyDescent="0.2">
      <c r="B163" s="249">
        <v>1</v>
      </c>
      <c r="C163" s="76" t="s">
        <v>83</v>
      </c>
      <c r="D163" s="238">
        <f t="shared" ref="D163:I163" si="71">INDEX(PBSScriptsChanged,$B160,D161)*INDEX(DPMQCoPayChangedEff,$B160,$B163)</f>
        <v>0</v>
      </c>
      <c r="E163" s="238">
        <f t="shared" si="71"/>
        <v>0</v>
      </c>
      <c r="F163" s="238">
        <f t="shared" si="71"/>
        <v>0</v>
      </c>
      <c r="G163" s="238">
        <f t="shared" si="71"/>
        <v>0</v>
      </c>
      <c r="H163" s="238">
        <f t="shared" si="71"/>
        <v>0</v>
      </c>
      <c r="I163" s="238">
        <f t="shared" si="71"/>
        <v>0</v>
      </c>
    </row>
    <row r="164" spans="2:14" ht="12.75" hidden="1" customHeight="1" outlineLevel="1" x14ac:dyDescent="0.2">
      <c r="B164" s="249">
        <v>3</v>
      </c>
      <c r="C164" s="3" t="s">
        <v>108</v>
      </c>
      <c r="D164" s="238">
        <f t="shared" ref="D164:I164" si="72">INDEX(PBSScriptsChanged,$B160,D161)*(INDEX(DPMQCoPayChangedEff,$B160,$B164)/INDEX(CoPayCountChanged,$B160))</f>
        <v>0</v>
      </c>
      <c r="E164" s="238">
        <f t="shared" si="72"/>
        <v>0</v>
      </c>
      <c r="F164" s="238">
        <f t="shared" si="72"/>
        <v>0</v>
      </c>
      <c r="G164" s="238">
        <f t="shared" si="72"/>
        <v>0</v>
      </c>
      <c r="H164" s="238">
        <f t="shared" si="72"/>
        <v>0</v>
      </c>
      <c r="I164" s="238">
        <f t="shared" si="72"/>
        <v>0</v>
      </c>
      <c r="K164" s="579" t="str">
        <f>IF(B161&lt;&gt;0,MsgNote&amp;IF(B161="Yes",INDEX(CoPayMethod,1),INDEX(CoPayMethod,2)),"")</f>
        <v/>
      </c>
      <c r="L164" s="579"/>
      <c r="M164" s="579"/>
      <c r="N164" s="443"/>
    </row>
    <row r="165" spans="2:14" ht="12.75" hidden="1" customHeight="1" outlineLevel="1" x14ac:dyDescent="0.2">
      <c r="B165" s="121"/>
      <c r="C165" s="3" t="s">
        <v>85</v>
      </c>
      <c r="D165" s="238">
        <f t="shared" ref="D165:I165" si="73">D163+D164</f>
        <v>0</v>
      </c>
      <c r="E165" s="238">
        <f t="shared" si="73"/>
        <v>0</v>
      </c>
      <c r="F165" s="238">
        <f t="shared" si="73"/>
        <v>0</v>
      </c>
      <c r="G165" s="238">
        <f t="shared" si="73"/>
        <v>0</v>
      </c>
      <c r="H165" s="238">
        <f t="shared" si="73"/>
        <v>0</v>
      </c>
      <c r="I165" s="238">
        <f t="shared" si="73"/>
        <v>0</v>
      </c>
    </row>
    <row r="166" spans="2:14" ht="12.75" hidden="1" customHeight="1" outlineLevel="1" x14ac:dyDescent="0.2">
      <c r="B166" s="121"/>
    </row>
    <row r="167" spans="2:14" ht="15.75" hidden="1" customHeight="1" outlineLevel="1" x14ac:dyDescent="0.2">
      <c r="B167" s="121"/>
      <c r="C167" s="454"/>
      <c r="D167" s="74">
        <f>FirstYear</f>
        <v>2026</v>
      </c>
      <c r="E167" s="74">
        <f>D167+1</f>
        <v>2027</v>
      </c>
      <c r="F167" s="74">
        <f>E167+1</f>
        <v>2028</v>
      </c>
      <c r="G167" s="74">
        <f>F167+1</f>
        <v>2029</v>
      </c>
      <c r="H167" s="74">
        <f>G167+1</f>
        <v>2030</v>
      </c>
      <c r="I167" s="74">
        <f>H167+1</f>
        <v>2031</v>
      </c>
    </row>
    <row r="168" spans="2:14" ht="12.75" hidden="1" customHeight="1" outlineLevel="1" x14ac:dyDescent="0.2">
      <c r="B168" s="249">
        <v>1</v>
      </c>
      <c r="C168" s="76" t="s">
        <v>84</v>
      </c>
      <c r="D168" s="238">
        <f t="shared" ref="D168:I168" si="74">INDEX(RPBSScriptsChanged,$B160,D161)*INDEX(DPMQCoPayChangedEff,$B160,$B168)</f>
        <v>0</v>
      </c>
      <c r="E168" s="238">
        <f t="shared" si="74"/>
        <v>0</v>
      </c>
      <c r="F168" s="238">
        <f t="shared" si="74"/>
        <v>0</v>
      </c>
      <c r="G168" s="238">
        <f t="shared" si="74"/>
        <v>0</v>
      </c>
      <c r="H168" s="238">
        <f t="shared" si="74"/>
        <v>0</v>
      </c>
      <c r="I168" s="238">
        <f t="shared" si="74"/>
        <v>0</v>
      </c>
    </row>
    <row r="169" spans="2:14" ht="12.75" hidden="1" customHeight="1" outlineLevel="1" x14ac:dyDescent="0.2">
      <c r="B169" s="249">
        <v>4</v>
      </c>
      <c r="C169" s="3" t="s">
        <v>108</v>
      </c>
      <c r="D169" s="238">
        <f t="shared" ref="D169:I169" si="75">INDEX(RPBSScriptsChanged,$B160,D161)*(INDEX(DPMQCoPayChangedEff,$B160,$B169)/INDEX(CoPayCountChanged,$B160))</f>
        <v>0</v>
      </c>
      <c r="E169" s="238">
        <f t="shared" si="75"/>
        <v>0</v>
      </c>
      <c r="F169" s="238">
        <f t="shared" si="75"/>
        <v>0</v>
      </c>
      <c r="G169" s="238">
        <f t="shared" si="75"/>
        <v>0</v>
      </c>
      <c r="H169" s="238">
        <f t="shared" si="75"/>
        <v>0</v>
      </c>
      <c r="I169" s="238">
        <f t="shared" si="75"/>
        <v>0</v>
      </c>
    </row>
    <row r="170" spans="2:14" ht="12.75" hidden="1" customHeight="1" outlineLevel="1" x14ac:dyDescent="0.2">
      <c r="B170" s="121"/>
      <c r="C170" s="3" t="s">
        <v>86</v>
      </c>
      <c r="D170" s="238">
        <f t="shared" ref="D170:I170" si="76">D168+D169</f>
        <v>0</v>
      </c>
      <c r="E170" s="238">
        <f t="shared" si="76"/>
        <v>0</v>
      </c>
      <c r="F170" s="238">
        <f t="shared" si="76"/>
        <v>0</v>
      </c>
      <c r="G170" s="238">
        <f t="shared" si="76"/>
        <v>0</v>
      </c>
      <c r="H170" s="238">
        <f t="shared" si="76"/>
        <v>0</v>
      </c>
      <c r="I170" s="238">
        <f t="shared" si="76"/>
        <v>0</v>
      </c>
    </row>
    <row r="171" spans="2:14" ht="12.75" customHeight="1" collapsed="1" x14ac:dyDescent="0.2">
      <c r="B171" s="121"/>
      <c r="C171" s="457"/>
      <c r="D171" s="457"/>
      <c r="E171" s="457"/>
      <c r="F171" s="31"/>
      <c r="G171" s="31"/>
      <c r="H171" s="31"/>
      <c r="I171" s="31"/>
      <c r="J171" s="31"/>
      <c r="K171" s="31"/>
      <c r="L171" s="31"/>
      <c r="M171" s="31"/>
      <c r="N171" s="31"/>
    </row>
    <row r="172" spans="2:14" ht="15" x14ac:dyDescent="0.2">
      <c r="B172" s="249">
        <v>13</v>
      </c>
      <c r="C172" s="129" t="str">
        <f>IF(SPAChangeFlag&lt;&gt;0,INDEX(PBSScriptsChanged,B172,1),MsgNotRequired)</f>
        <v>** NOT REQUIRED **</v>
      </c>
      <c r="D172" s="123"/>
      <c r="E172" s="123"/>
      <c r="F172" s="123"/>
      <c r="G172" s="123"/>
      <c r="H172" s="123"/>
      <c r="I172" s="123"/>
      <c r="J172" s="116"/>
      <c r="K172" s="116"/>
      <c r="L172" s="588" t="str">
        <f>IF(AND(C172&lt;&gt;MsgNotUsed,C172&lt;&gt;MsgNotRequired),"Co-payment group " &amp; INDEX(DPMQCoPayChangedEff,B172,2),"")</f>
        <v/>
      </c>
      <c r="M172" s="588"/>
      <c r="N172" s="380"/>
    </row>
    <row r="173" spans="2:14" ht="12.75" hidden="1" customHeight="1" outlineLevel="1" x14ac:dyDescent="0.2">
      <c r="B173" s="209">
        <f>INDEX(SAChanged,B172,5)</f>
        <v>0</v>
      </c>
      <c r="C173" s="457"/>
      <c r="D173" s="319">
        <v>2</v>
      </c>
      <c r="E173" s="319">
        <v>3</v>
      </c>
      <c r="F173" s="319">
        <v>4</v>
      </c>
      <c r="G173" s="319">
        <v>5</v>
      </c>
      <c r="H173" s="319">
        <v>6</v>
      </c>
      <c r="I173" s="319">
        <v>7</v>
      </c>
      <c r="J173" s="31"/>
      <c r="K173" s="31"/>
      <c r="L173" s="31"/>
      <c r="M173" s="31"/>
      <c r="N173" s="31"/>
    </row>
    <row r="174" spans="2:14" ht="12.75" hidden="1" customHeight="1" outlineLevel="1" x14ac:dyDescent="0.2">
      <c r="B174" s="121"/>
      <c r="D174" s="74">
        <f>FirstYear</f>
        <v>2026</v>
      </c>
      <c r="E174" s="74">
        <f>D174+1</f>
        <v>2027</v>
      </c>
      <c r="F174" s="74">
        <f>E174+1</f>
        <v>2028</v>
      </c>
      <c r="G174" s="74">
        <f>F174+1</f>
        <v>2029</v>
      </c>
      <c r="H174" s="74">
        <f>G174+1</f>
        <v>2030</v>
      </c>
      <c r="I174" s="74">
        <f>H174+1</f>
        <v>2031</v>
      </c>
    </row>
    <row r="175" spans="2:14" ht="12.75" hidden="1" customHeight="1" outlineLevel="1" x14ac:dyDescent="0.2">
      <c r="B175" s="249">
        <v>1</v>
      </c>
      <c r="C175" s="76" t="s">
        <v>83</v>
      </c>
      <c r="D175" s="238">
        <f t="shared" ref="D175:I175" si="77">INDEX(PBSScriptsChanged,$B172,D173)*INDEX(DPMQCoPayChangedEff,$B172,$B175)</f>
        <v>0</v>
      </c>
      <c r="E175" s="238">
        <f t="shared" si="77"/>
        <v>0</v>
      </c>
      <c r="F175" s="238">
        <f t="shared" si="77"/>
        <v>0</v>
      </c>
      <c r="G175" s="238">
        <f t="shared" si="77"/>
        <v>0</v>
      </c>
      <c r="H175" s="238">
        <f t="shared" si="77"/>
        <v>0</v>
      </c>
      <c r="I175" s="238">
        <f t="shared" si="77"/>
        <v>0</v>
      </c>
    </row>
    <row r="176" spans="2:14" ht="12.75" hidden="1" customHeight="1" outlineLevel="1" x14ac:dyDescent="0.2">
      <c r="B176" s="249">
        <v>3</v>
      </c>
      <c r="C176" s="3" t="s">
        <v>108</v>
      </c>
      <c r="D176" s="238">
        <f t="shared" ref="D176:I176" si="78">INDEX(PBSScriptsChanged,$B172,D173)*(INDEX(DPMQCoPayChangedEff,$B172,$B176)/INDEX(CoPayCountChanged,$B172))</f>
        <v>0</v>
      </c>
      <c r="E176" s="238">
        <f t="shared" si="78"/>
        <v>0</v>
      </c>
      <c r="F176" s="238">
        <f t="shared" si="78"/>
        <v>0</v>
      </c>
      <c r="G176" s="238">
        <f t="shared" si="78"/>
        <v>0</v>
      </c>
      <c r="H176" s="238">
        <f t="shared" si="78"/>
        <v>0</v>
      </c>
      <c r="I176" s="238">
        <f t="shared" si="78"/>
        <v>0</v>
      </c>
      <c r="K176" s="579" t="str">
        <f>IF(B173&lt;&gt;0,MsgNote&amp;IF(B173="Yes",INDEX(CoPayMethod,1),INDEX(CoPayMethod,2)),"")</f>
        <v/>
      </c>
      <c r="L176" s="579"/>
      <c r="M176" s="579"/>
      <c r="N176" s="443"/>
    </row>
    <row r="177" spans="2:14" ht="12.75" hidden="1" customHeight="1" outlineLevel="1" x14ac:dyDescent="0.2">
      <c r="B177" s="121"/>
      <c r="C177" s="3" t="s">
        <v>85</v>
      </c>
      <c r="D177" s="238">
        <f t="shared" ref="D177:I177" si="79">D175+D176</f>
        <v>0</v>
      </c>
      <c r="E177" s="238">
        <f t="shared" si="79"/>
        <v>0</v>
      </c>
      <c r="F177" s="238">
        <f t="shared" si="79"/>
        <v>0</v>
      </c>
      <c r="G177" s="238">
        <f t="shared" si="79"/>
        <v>0</v>
      </c>
      <c r="H177" s="238">
        <f t="shared" si="79"/>
        <v>0</v>
      </c>
      <c r="I177" s="238">
        <f t="shared" si="79"/>
        <v>0</v>
      </c>
    </row>
    <row r="178" spans="2:14" ht="12.75" hidden="1" customHeight="1" outlineLevel="1" x14ac:dyDescent="0.2">
      <c r="B178" s="121"/>
    </row>
    <row r="179" spans="2:14" ht="15.75" hidden="1" customHeight="1" outlineLevel="1" x14ac:dyDescent="0.2">
      <c r="B179" s="121"/>
      <c r="C179" s="454"/>
      <c r="D179" s="74">
        <f>FirstYear</f>
        <v>2026</v>
      </c>
      <c r="E179" s="74">
        <f>D179+1</f>
        <v>2027</v>
      </c>
      <c r="F179" s="74">
        <f>E179+1</f>
        <v>2028</v>
      </c>
      <c r="G179" s="74">
        <f>F179+1</f>
        <v>2029</v>
      </c>
      <c r="H179" s="74">
        <f>G179+1</f>
        <v>2030</v>
      </c>
      <c r="I179" s="74">
        <f>H179+1</f>
        <v>2031</v>
      </c>
    </row>
    <row r="180" spans="2:14" ht="12.75" hidden="1" customHeight="1" outlineLevel="1" x14ac:dyDescent="0.2">
      <c r="B180" s="249">
        <v>1</v>
      </c>
      <c r="C180" s="76" t="s">
        <v>84</v>
      </c>
      <c r="D180" s="238">
        <f t="shared" ref="D180:I180" si="80">INDEX(RPBSScriptsChanged,$B172,D173)*INDEX(DPMQCoPayChangedEff,$B172,$B180)</f>
        <v>0</v>
      </c>
      <c r="E180" s="238">
        <f t="shared" si="80"/>
        <v>0</v>
      </c>
      <c r="F180" s="238">
        <f t="shared" si="80"/>
        <v>0</v>
      </c>
      <c r="G180" s="238">
        <f t="shared" si="80"/>
        <v>0</v>
      </c>
      <c r="H180" s="238">
        <f t="shared" si="80"/>
        <v>0</v>
      </c>
      <c r="I180" s="238">
        <f t="shared" si="80"/>
        <v>0</v>
      </c>
    </row>
    <row r="181" spans="2:14" ht="12.75" hidden="1" customHeight="1" outlineLevel="1" x14ac:dyDescent="0.2">
      <c r="B181" s="249">
        <v>4</v>
      </c>
      <c r="C181" s="3" t="s">
        <v>108</v>
      </c>
      <c r="D181" s="238">
        <f t="shared" ref="D181:I181" si="81">INDEX(RPBSScriptsChanged,$B172,D173)*(INDEX(DPMQCoPayChangedEff,$B172,$B181)/INDEX(CoPayCountChanged,$B172))</f>
        <v>0</v>
      </c>
      <c r="E181" s="238">
        <f t="shared" si="81"/>
        <v>0</v>
      </c>
      <c r="F181" s="238">
        <f t="shared" si="81"/>
        <v>0</v>
      </c>
      <c r="G181" s="238">
        <f t="shared" si="81"/>
        <v>0</v>
      </c>
      <c r="H181" s="238">
        <f t="shared" si="81"/>
        <v>0</v>
      </c>
      <c r="I181" s="238">
        <f t="shared" si="81"/>
        <v>0</v>
      </c>
    </row>
    <row r="182" spans="2:14" ht="12.75" hidden="1" customHeight="1" outlineLevel="1" x14ac:dyDescent="0.2">
      <c r="B182" s="121"/>
      <c r="C182" s="3" t="s">
        <v>86</v>
      </c>
      <c r="D182" s="238">
        <f t="shared" ref="D182:I182" si="82">D180+D181</f>
        <v>0</v>
      </c>
      <c r="E182" s="238">
        <f t="shared" si="82"/>
        <v>0</v>
      </c>
      <c r="F182" s="238">
        <f t="shared" si="82"/>
        <v>0</v>
      </c>
      <c r="G182" s="238">
        <f t="shared" si="82"/>
        <v>0</v>
      </c>
      <c r="H182" s="238">
        <f t="shared" si="82"/>
        <v>0</v>
      </c>
      <c r="I182" s="238">
        <f t="shared" si="82"/>
        <v>0</v>
      </c>
    </row>
    <row r="183" spans="2:14" ht="12.75" customHeight="1" collapsed="1" x14ac:dyDescent="0.2">
      <c r="B183" s="121"/>
      <c r="C183" s="457"/>
      <c r="D183" s="457"/>
      <c r="E183" s="457"/>
      <c r="F183" s="31"/>
      <c r="G183" s="31"/>
      <c r="H183" s="31"/>
      <c r="I183" s="31"/>
      <c r="J183" s="31"/>
      <c r="K183" s="31"/>
      <c r="L183" s="31"/>
      <c r="M183" s="31"/>
      <c r="N183" s="31"/>
    </row>
    <row r="184" spans="2:14" ht="15" x14ac:dyDescent="0.2">
      <c r="B184" s="249">
        <v>14</v>
      </c>
      <c r="C184" s="129" t="str">
        <f>IF(SPAChangeFlag&lt;&gt;0,INDEX(PBSScriptsChanged,B184,1),MsgNotRequired)</f>
        <v>** NOT REQUIRED **</v>
      </c>
      <c r="D184" s="123"/>
      <c r="E184" s="123"/>
      <c r="F184" s="123"/>
      <c r="G184" s="123"/>
      <c r="H184" s="123"/>
      <c r="I184" s="123"/>
      <c r="J184" s="116"/>
      <c r="K184" s="116"/>
      <c r="L184" s="588" t="str">
        <f>IF(AND(C184&lt;&gt;MsgNotUsed,C184&lt;&gt;MsgNotRequired),"Co-payment group " &amp; INDEX(DPMQCoPayChangedEff,B184,2),"")</f>
        <v/>
      </c>
      <c r="M184" s="588"/>
      <c r="N184" s="380"/>
    </row>
    <row r="185" spans="2:14" ht="12.75" hidden="1" customHeight="1" outlineLevel="1" x14ac:dyDescent="0.2">
      <c r="B185" s="209">
        <f>INDEX(SAChanged,B184,5)</f>
        <v>0</v>
      </c>
      <c r="C185" s="457"/>
      <c r="D185" s="319">
        <v>2</v>
      </c>
      <c r="E185" s="319">
        <v>3</v>
      </c>
      <c r="F185" s="319">
        <v>4</v>
      </c>
      <c r="G185" s="319">
        <v>5</v>
      </c>
      <c r="H185" s="319">
        <v>6</v>
      </c>
      <c r="I185" s="319">
        <v>7</v>
      </c>
      <c r="J185" s="31"/>
      <c r="K185" s="31"/>
      <c r="L185" s="31"/>
      <c r="M185" s="31"/>
      <c r="N185" s="31"/>
    </row>
    <row r="186" spans="2:14" ht="12.75" hidden="1" customHeight="1" outlineLevel="1" x14ac:dyDescent="0.2">
      <c r="B186" s="121"/>
      <c r="D186" s="74">
        <f>FirstYear</f>
        <v>2026</v>
      </c>
      <c r="E186" s="74">
        <f>D186+1</f>
        <v>2027</v>
      </c>
      <c r="F186" s="74">
        <f>E186+1</f>
        <v>2028</v>
      </c>
      <c r="G186" s="74">
        <f>F186+1</f>
        <v>2029</v>
      </c>
      <c r="H186" s="74">
        <f>G186+1</f>
        <v>2030</v>
      </c>
      <c r="I186" s="74">
        <f>H186+1</f>
        <v>2031</v>
      </c>
    </row>
    <row r="187" spans="2:14" ht="12.75" hidden="1" customHeight="1" outlineLevel="1" x14ac:dyDescent="0.2">
      <c r="B187" s="249">
        <v>1</v>
      </c>
      <c r="C187" s="76" t="s">
        <v>83</v>
      </c>
      <c r="D187" s="238">
        <f t="shared" ref="D187:I187" si="83">INDEX(PBSScriptsChanged,$B184,D185)*INDEX(DPMQCoPayChangedEff,$B184,$B187)</f>
        <v>0</v>
      </c>
      <c r="E187" s="238">
        <f t="shared" si="83"/>
        <v>0</v>
      </c>
      <c r="F187" s="238">
        <f t="shared" si="83"/>
        <v>0</v>
      </c>
      <c r="G187" s="238">
        <f t="shared" si="83"/>
        <v>0</v>
      </c>
      <c r="H187" s="238">
        <f t="shared" si="83"/>
        <v>0</v>
      </c>
      <c r="I187" s="238">
        <f t="shared" si="83"/>
        <v>0</v>
      </c>
    </row>
    <row r="188" spans="2:14" ht="12.75" hidden="1" customHeight="1" outlineLevel="1" x14ac:dyDescent="0.2">
      <c r="B188" s="249">
        <v>3</v>
      </c>
      <c r="C188" s="3" t="s">
        <v>108</v>
      </c>
      <c r="D188" s="238">
        <f t="shared" ref="D188:I188" si="84">INDEX(PBSScriptsChanged,$B184,D185)*(INDEX(DPMQCoPayChangedEff,$B184,$B188)/INDEX(CoPayCountChanged,$B184))</f>
        <v>0</v>
      </c>
      <c r="E188" s="238">
        <f t="shared" si="84"/>
        <v>0</v>
      </c>
      <c r="F188" s="238">
        <f t="shared" si="84"/>
        <v>0</v>
      </c>
      <c r="G188" s="238">
        <f t="shared" si="84"/>
        <v>0</v>
      </c>
      <c r="H188" s="238">
        <f t="shared" si="84"/>
        <v>0</v>
      </c>
      <c r="I188" s="238">
        <f t="shared" si="84"/>
        <v>0</v>
      </c>
      <c r="K188" s="579" t="str">
        <f>IF(B185&lt;&gt;0,MsgNote&amp;IF(B185="Yes",INDEX(CoPayMethod,1),INDEX(CoPayMethod,2)),"")</f>
        <v/>
      </c>
      <c r="L188" s="579"/>
      <c r="M188" s="579"/>
      <c r="N188" s="443"/>
    </row>
    <row r="189" spans="2:14" ht="12.75" hidden="1" customHeight="1" outlineLevel="1" x14ac:dyDescent="0.2">
      <c r="B189" s="121"/>
      <c r="C189" s="3" t="s">
        <v>85</v>
      </c>
      <c r="D189" s="238">
        <f t="shared" ref="D189:I189" si="85">D187+D188</f>
        <v>0</v>
      </c>
      <c r="E189" s="238">
        <f t="shared" si="85"/>
        <v>0</v>
      </c>
      <c r="F189" s="238">
        <f t="shared" si="85"/>
        <v>0</v>
      </c>
      <c r="G189" s="238">
        <f t="shared" si="85"/>
        <v>0</v>
      </c>
      <c r="H189" s="238">
        <f t="shared" si="85"/>
        <v>0</v>
      </c>
      <c r="I189" s="238">
        <f t="shared" si="85"/>
        <v>0</v>
      </c>
    </row>
    <row r="190" spans="2:14" ht="12.75" hidden="1" customHeight="1" outlineLevel="1" x14ac:dyDescent="0.2">
      <c r="B190" s="121"/>
    </row>
    <row r="191" spans="2:14" ht="15.75" hidden="1" customHeight="1" outlineLevel="1" x14ac:dyDescent="0.2">
      <c r="B191" s="121"/>
      <c r="C191" s="454"/>
      <c r="D191" s="74">
        <f>FirstYear</f>
        <v>2026</v>
      </c>
      <c r="E191" s="74">
        <f>D191+1</f>
        <v>2027</v>
      </c>
      <c r="F191" s="74">
        <f>E191+1</f>
        <v>2028</v>
      </c>
      <c r="G191" s="74">
        <f>F191+1</f>
        <v>2029</v>
      </c>
      <c r="H191" s="74">
        <f>G191+1</f>
        <v>2030</v>
      </c>
      <c r="I191" s="74">
        <f>H191+1</f>
        <v>2031</v>
      </c>
    </row>
    <row r="192" spans="2:14" ht="12.75" hidden="1" customHeight="1" outlineLevel="1" x14ac:dyDescent="0.2">
      <c r="B192" s="249">
        <v>1</v>
      </c>
      <c r="C192" s="76" t="s">
        <v>84</v>
      </c>
      <c r="D192" s="238">
        <f t="shared" ref="D192:I192" si="86">INDEX(RPBSScriptsChanged,$B184,D185)*INDEX(DPMQCoPayChangedEff,$B184,$B192)</f>
        <v>0</v>
      </c>
      <c r="E192" s="238">
        <f t="shared" si="86"/>
        <v>0</v>
      </c>
      <c r="F192" s="238">
        <f t="shared" si="86"/>
        <v>0</v>
      </c>
      <c r="G192" s="238">
        <f t="shared" si="86"/>
        <v>0</v>
      </c>
      <c r="H192" s="238">
        <f t="shared" si="86"/>
        <v>0</v>
      </c>
      <c r="I192" s="238">
        <f t="shared" si="86"/>
        <v>0</v>
      </c>
    </row>
    <row r="193" spans="2:14" ht="12.75" hidden="1" customHeight="1" outlineLevel="1" x14ac:dyDescent="0.2">
      <c r="B193" s="249">
        <v>4</v>
      </c>
      <c r="C193" s="3" t="s">
        <v>108</v>
      </c>
      <c r="D193" s="238">
        <f t="shared" ref="D193:I193" si="87">INDEX(RPBSScriptsChanged,$B184,D185)*(INDEX(DPMQCoPayChangedEff,$B184,$B193)/INDEX(CoPayCountChanged,$B184))</f>
        <v>0</v>
      </c>
      <c r="E193" s="238">
        <f t="shared" si="87"/>
        <v>0</v>
      </c>
      <c r="F193" s="238">
        <f t="shared" si="87"/>
        <v>0</v>
      </c>
      <c r="G193" s="238">
        <f t="shared" si="87"/>
        <v>0</v>
      </c>
      <c r="H193" s="238">
        <f t="shared" si="87"/>
        <v>0</v>
      </c>
      <c r="I193" s="238">
        <f t="shared" si="87"/>
        <v>0</v>
      </c>
    </row>
    <row r="194" spans="2:14" ht="12.75" hidden="1" customHeight="1" outlineLevel="1" x14ac:dyDescent="0.2">
      <c r="B194" s="121"/>
      <c r="C194" s="3" t="s">
        <v>86</v>
      </c>
      <c r="D194" s="238">
        <f t="shared" ref="D194:I194" si="88">D192+D193</f>
        <v>0</v>
      </c>
      <c r="E194" s="238">
        <f t="shared" si="88"/>
        <v>0</v>
      </c>
      <c r="F194" s="238">
        <f t="shared" si="88"/>
        <v>0</v>
      </c>
      <c r="G194" s="238">
        <f t="shared" si="88"/>
        <v>0</v>
      </c>
      <c r="H194" s="238">
        <f t="shared" si="88"/>
        <v>0</v>
      </c>
      <c r="I194" s="238">
        <f t="shared" si="88"/>
        <v>0</v>
      </c>
    </row>
    <row r="195" spans="2:14" ht="12.75" customHeight="1" collapsed="1" x14ac:dyDescent="0.2">
      <c r="B195" s="121"/>
      <c r="C195" s="457"/>
      <c r="D195" s="457"/>
      <c r="E195" s="457"/>
      <c r="F195" s="31"/>
      <c r="G195" s="31"/>
      <c r="H195" s="31"/>
      <c r="I195" s="31"/>
      <c r="J195" s="31"/>
      <c r="K195" s="31"/>
      <c r="L195" s="31"/>
      <c r="M195" s="31"/>
      <c r="N195" s="31"/>
    </row>
    <row r="196" spans="2:14" ht="15" x14ac:dyDescent="0.2">
      <c r="B196" s="249">
        <v>15</v>
      </c>
      <c r="C196" s="129" t="str">
        <f>IF(SPAChangeFlag&lt;&gt;0,INDEX(PBSScriptsChanged,B196,1),MsgNotRequired)</f>
        <v>** NOT REQUIRED **</v>
      </c>
      <c r="D196" s="123"/>
      <c r="E196" s="123"/>
      <c r="F196" s="123"/>
      <c r="G196" s="123"/>
      <c r="H196" s="123"/>
      <c r="I196" s="123"/>
      <c r="J196" s="116"/>
      <c r="K196" s="116"/>
      <c r="L196" s="588" t="str">
        <f>IF(AND(C196&lt;&gt;MsgNotUsed,C196&lt;&gt;MsgNotRequired),"Co-payment group " &amp; INDEX(DPMQCoPayChangedEff,B196,2),"")</f>
        <v/>
      </c>
      <c r="M196" s="588"/>
      <c r="N196" s="380"/>
    </row>
    <row r="197" spans="2:14" ht="12.75" hidden="1" customHeight="1" outlineLevel="1" x14ac:dyDescent="0.2">
      <c r="B197" s="209">
        <f>INDEX(SAChanged,B196,5)</f>
        <v>0</v>
      </c>
      <c r="C197" s="457"/>
      <c r="D197" s="319">
        <v>2</v>
      </c>
      <c r="E197" s="319">
        <v>3</v>
      </c>
      <c r="F197" s="319">
        <v>4</v>
      </c>
      <c r="G197" s="319">
        <v>5</v>
      </c>
      <c r="H197" s="319">
        <v>6</v>
      </c>
      <c r="I197" s="319">
        <v>7</v>
      </c>
      <c r="J197" s="31"/>
      <c r="K197" s="31"/>
      <c r="L197" s="31"/>
      <c r="M197" s="31"/>
      <c r="N197" s="31"/>
    </row>
    <row r="198" spans="2:14" ht="12.75" hidden="1" customHeight="1" outlineLevel="1" x14ac:dyDescent="0.2">
      <c r="B198" s="121"/>
      <c r="D198" s="74">
        <f>FirstYear</f>
        <v>2026</v>
      </c>
      <c r="E198" s="74">
        <f>D198+1</f>
        <v>2027</v>
      </c>
      <c r="F198" s="74">
        <f>E198+1</f>
        <v>2028</v>
      </c>
      <c r="G198" s="74">
        <f>F198+1</f>
        <v>2029</v>
      </c>
      <c r="H198" s="74">
        <f>G198+1</f>
        <v>2030</v>
      </c>
      <c r="I198" s="74">
        <f>H198+1</f>
        <v>2031</v>
      </c>
    </row>
    <row r="199" spans="2:14" ht="12.75" hidden="1" customHeight="1" outlineLevel="1" x14ac:dyDescent="0.2">
      <c r="B199" s="249">
        <v>1</v>
      </c>
      <c r="C199" s="76" t="s">
        <v>83</v>
      </c>
      <c r="D199" s="238">
        <f t="shared" ref="D199:I199" si="89">INDEX(PBSScriptsChanged,$B196,D197)*INDEX(DPMQCoPayChangedEff,$B196,$B199)</f>
        <v>0</v>
      </c>
      <c r="E199" s="238">
        <f t="shared" si="89"/>
        <v>0</v>
      </c>
      <c r="F199" s="238">
        <f t="shared" si="89"/>
        <v>0</v>
      </c>
      <c r="G199" s="238">
        <f t="shared" si="89"/>
        <v>0</v>
      </c>
      <c r="H199" s="238">
        <f t="shared" si="89"/>
        <v>0</v>
      </c>
      <c r="I199" s="238">
        <f t="shared" si="89"/>
        <v>0</v>
      </c>
    </row>
    <row r="200" spans="2:14" ht="12.75" hidden="1" customHeight="1" outlineLevel="1" x14ac:dyDescent="0.2">
      <c r="B200" s="249">
        <v>3</v>
      </c>
      <c r="C200" s="3" t="s">
        <v>108</v>
      </c>
      <c r="D200" s="238">
        <f t="shared" ref="D200:I200" si="90">INDEX(PBSScriptsChanged,$B196,D197)*(INDEX(DPMQCoPayChangedEff,$B196,$B200)/INDEX(CoPayCountChanged,$B196))</f>
        <v>0</v>
      </c>
      <c r="E200" s="238">
        <f t="shared" si="90"/>
        <v>0</v>
      </c>
      <c r="F200" s="238">
        <f t="shared" si="90"/>
        <v>0</v>
      </c>
      <c r="G200" s="238">
        <f t="shared" si="90"/>
        <v>0</v>
      </c>
      <c r="H200" s="238">
        <f t="shared" si="90"/>
        <v>0</v>
      </c>
      <c r="I200" s="238">
        <f t="shared" si="90"/>
        <v>0</v>
      </c>
      <c r="K200" s="579" t="str">
        <f>IF(B197&lt;&gt;0,MsgNote&amp;IF(B197="Yes",INDEX(CoPayMethod,1),INDEX(CoPayMethod,2)),"")</f>
        <v/>
      </c>
      <c r="L200" s="579"/>
      <c r="M200" s="579"/>
      <c r="N200" s="443"/>
    </row>
    <row r="201" spans="2:14" ht="12.75" hidden="1" customHeight="1" outlineLevel="1" x14ac:dyDescent="0.2">
      <c r="B201" s="121"/>
      <c r="C201" s="3" t="s">
        <v>85</v>
      </c>
      <c r="D201" s="238">
        <f t="shared" ref="D201:I201" si="91">D199+D200</f>
        <v>0</v>
      </c>
      <c r="E201" s="238">
        <f t="shared" si="91"/>
        <v>0</v>
      </c>
      <c r="F201" s="238">
        <f t="shared" si="91"/>
        <v>0</v>
      </c>
      <c r="G201" s="238">
        <f t="shared" si="91"/>
        <v>0</v>
      </c>
      <c r="H201" s="238">
        <f t="shared" si="91"/>
        <v>0</v>
      </c>
      <c r="I201" s="238">
        <f t="shared" si="91"/>
        <v>0</v>
      </c>
    </row>
    <row r="202" spans="2:14" ht="12.75" hidden="1" customHeight="1" outlineLevel="1" x14ac:dyDescent="0.2">
      <c r="B202" s="121"/>
    </row>
    <row r="203" spans="2:14" ht="15.75" hidden="1" customHeight="1" outlineLevel="1" x14ac:dyDescent="0.2">
      <c r="B203" s="121"/>
      <c r="C203" s="454"/>
      <c r="D203" s="74">
        <f>FirstYear</f>
        <v>2026</v>
      </c>
      <c r="E203" s="74">
        <f>D203+1</f>
        <v>2027</v>
      </c>
      <c r="F203" s="74">
        <f>E203+1</f>
        <v>2028</v>
      </c>
      <c r="G203" s="74">
        <f>F203+1</f>
        <v>2029</v>
      </c>
      <c r="H203" s="74">
        <f>G203+1</f>
        <v>2030</v>
      </c>
      <c r="I203" s="74">
        <f>H203+1</f>
        <v>2031</v>
      </c>
    </row>
    <row r="204" spans="2:14" ht="12.75" hidden="1" customHeight="1" outlineLevel="1" x14ac:dyDescent="0.2">
      <c r="B204" s="249">
        <v>1</v>
      </c>
      <c r="C204" s="76" t="s">
        <v>84</v>
      </c>
      <c r="D204" s="238">
        <f t="shared" ref="D204:I204" si="92">INDEX(RPBSScriptsChanged,$B196,D197)*INDEX(DPMQCoPayChangedEff,$B196,$B204)</f>
        <v>0</v>
      </c>
      <c r="E204" s="238">
        <f t="shared" si="92"/>
        <v>0</v>
      </c>
      <c r="F204" s="238">
        <f t="shared" si="92"/>
        <v>0</v>
      </c>
      <c r="G204" s="238">
        <f t="shared" si="92"/>
        <v>0</v>
      </c>
      <c r="H204" s="238">
        <f t="shared" si="92"/>
        <v>0</v>
      </c>
      <c r="I204" s="238">
        <f t="shared" si="92"/>
        <v>0</v>
      </c>
    </row>
    <row r="205" spans="2:14" ht="12.75" hidden="1" customHeight="1" outlineLevel="1" x14ac:dyDescent="0.2">
      <c r="B205" s="249">
        <v>4</v>
      </c>
      <c r="C205" s="3" t="s">
        <v>108</v>
      </c>
      <c r="D205" s="238">
        <f t="shared" ref="D205:I205" si="93">INDEX(RPBSScriptsChanged,$B196,D197)*(INDEX(DPMQCoPayChangedEff,$B196,$B205)/INDEX(CoPayCountChanged,$B196))</f>
        <v>0</v>
      </c>
      <c r="E205" s="238">
        <f t="shared" si="93"/>
        <v>0</v>
      </c>
      <c r="F205" s="238">
        <f t="shared" si="93"/>
        <v>0</v>
      </c>
      <c r="G205" s="238">
        <f t="shared" si="93"/>
        <v>0</v>
      </c>
      <c r="H205" s="238">
        <f t="shared" si="93"/>
        <v>0</v>
      </c>
      <c r="I205" s="238">
        <f t="shared" si="93"/>
        <v>0</v>
      </c>
    </row>
    <row r="206" spans="2:14" ht="12.75" hidden="1" customHeight="1" outlineLevel="1" x14ac:dyDescent="0.2">
      <c r="B206" s="121"/>
      <c r="C206" s="3" t="s">
        <v>86</v>
      </c>
      <c r="D206" s="238">
        <f t="shared" ref="D206:I206" si="94">D204+D205</f>
        <v>0</v>
      </c>
      <c r="E206" s="238">
        <f t="shared" si="94"/>
        <v>0</v>
      </c>
      <c r="F206" s="238">
        <f t="shared" si="94"/>
        <v>0</v>
      </c>
      <c r="G206" s="238">
        <f t="shared" si="94"/>
        <v>0</v>
      </c>
      <c r="H206" s="238">
        <f t="shared" si="94"/>
        <v>0</v>
      </c>
      <c r="I206" s="238">
        <f t="shared" si="94"/>
        <v>0</v>
      </c>
    </row>
    <row r="207" spans="2:14" ht="12.75" customHeight="1" collapsed="1" x14ac:dyDescent="0.2">
      <c r="B207" s="121"/>
      <c r="C207" s="457"/>
      <c r="D207" s="457"/>
      <c r="E207" s="457"/>
      <c r="F207" s="31"/>
      <c r="G207" s="31"/>
      <c r="H207" s="31"/>
      <c r="I207" s="31"/>
      <c r="J207" s="31"/>
      <c r="K207" s="31"/>
      <c r="L207" s="31"/>
      <c r="M207" s="31"/>
      <c r="N207" s="31"/>
    </row>
    <row r="208" spans="2:14" ht="15" x14ac:dyDescent="0.2">
      <c r="B208" s="249">
        <v>16</v>
      </c>
      <c r="C208" s="129" t="str">
        <f>IF(SPAChangeFlag&lt;&gt;0,INDEX(PBSScriptsChanged,B208,1),MsgNotRequired)</f>
        <v>** NOT REQUIRED **</v>
      </c>
      <c r="D208" s="123"/>
      <c r="E208" s="123"/>
      <c r="F208" s="123"/>
      <c r="G208" s="123"/>
      <c r="H208" s="123"/>
      <c r="I208" s="123"/>
      <c r="J208" s="116"/>
      <c r="K208" s="116"/>
      <c r="L208" s="588" t="str">
        <f>IF(AND(C208&lt;&gt;MsgNotUsed,C208&lt;&gt;MsgNotRequired),"Co-payment group " &amp; INDEX(DPMQCoPayChangedEff,B208,2),"")</f>
        <v/>
      </c>
      <c r="M208" s="588"/>
      <c r="N208" s="380"/>
    </row>
    <row r="209" spans="2:14" ht="12.75" hidden="1" customHeight="1" outlineLevel="1" x14ac:dyDescent="0.2">
      <c r="B209" s="209">
        <f>INDEX(SAChanged,B208,5)</f>
        <v>0</v>
      </c>
      <c r="C209" s="457"/>
      <c r="D209" s="319">
        <v>2</v>
      </c>
      <c r="E209" s="319">
        <v>3</v>
      </c>
      <c r="F209" s="319">
        <v>4</v>
      </c>
      <c r="G209" s="319">
        <v>5</v>
      </c>
      <c r="H209" s="319">
        <v>6</v>
      </c>
      <c r="I209" s="319">
        <v>7</v>
      </c>
      <c r="J209" s="31"/>
      <c r="K209" s="31"/>
      <c r="L209" s="31"/>
      <c r="M209" s="31"/>
      <c r="N209" s="31"/>
    </row>
    <row r="210" spans="2:14" ht="12.75" hidden="1" customHeight="1" outlineLevel="1" x14ac:dyDescent="0.2">
      <c r="B210" s="121"/>
      <c r="D210" s="74">
        <f>FirstYear</f>
        <v>2026</v>
      </c>
      <c r="E210" s="74">
        <f>D210+1</f>
        <v>2027</v>
      </c>
      <c r="F210" s="74">
        <f>E210+1</f>
        <v>2028</v>
      </c>
      <c r="G210" s="74">
        <f>F210+1</f>
        <v>2029</v>
      </c>
      <c r="H210" s="74">
        <f>G210+1</f>
        <v>2030</v>
      </c>
      <c r="I210" s="74">
        <f>H210+1</f>
        <v>2031</v>
      </c>
    </row>
    <row r="211" spans="2:14" ht="12.75" hidden="1" customHeight="1" outlineLevel="1" x14ac:dyDescent="0.2">
      <c r="B211" s="249">
        <v>1</v>
      </c>
      <c r="C211" s="76" t="s">
        <v>83</v>
      </c>
      <c r="D211" s="238">
        <f t="shared" ref="D211:I211" si="95">INDEX(PBSScriptsChanged,$B208,D209)*INDEX(DPMQCoPayChangedEff,$B208,$B211)</f>
        <v>0</v>
      </c>
      <c r="E211" s="238">
        <f t="shared" si="95"/>
        <v>0</v>
      </c>
      <c r="F211" s="238">
        <f t="shared" si="95"/>
        <v>0</v>
      </c>
      <c r="G211" s="238">
        <f t="shared" si="95"/>
        <v>0</v>
      </c>
      <c r="H211" s="238">
        <f t="shared" si="95"/>
        <v>0</v>
      </c>
      <c r="I211" s="238">
        <f t="shared" si="95"/>
        <v>0</v>
      </c>
    </row>
    <row r="212" spans="2:14" ht="12.75" hidden="1" customHeight="1" outlineLevel="1" x14ac:dyDescent="0.2">
      <c r="B212" s="249">
        <v>3</v>
      </c>
      <c r="C212" s="3" t="s">
        <v>108</v>
      </c>
      <c r="D212" s="238">
        <f t="shared" ref="D212:I212" si="96">INDEX(PBSScriptsChanged,$B208,D209)*(INDEX(DPMQCoPayChangedEff,$B208,$B212)/INDEX(CoPayCountChanged,$B208))</f>
        <v>0</v>
      </c>
      <c r="E212" s="238">
        <f t="shared" si="96"/>
        <v>0</v>
      </c>
      <c r="F212" s="238">
        <f t="shared" si="96"/>
        <v>0</v>
      </c>
      <c r="G212" s="238">
        <f t="shared" si="96"/>
        <v>0</v>
      </c>
      <c r="H212" s="238">
        <f t="shared" si="96"/>
        <v>0</v>
      </c>
      <c r="I212" s="238">
        <f t="shared" si="96"/>
        <v>0</v>
      </c>
      <c r="K212" s="579" t="str">
        <f>IF(B209&lt;&gt;0,MsgNote&amp;IF(B209="Yes",INDEX(CoPayMethod,1),INDEX(CoPayMethod,2)),"")</f>
        <v/>
      </c>
      <c r="L212" s="579"/>
      <c r="M212" s="579"/>
      <c r="N212" s="443"/>
    </row>
    <row r="213" spans="2:14" ht="12.75" hidden="1" customHeight="1" outlineLevel="1" x14ac:dyDescent="0.2">
      <c r="B213" s="121"/>
      <c r="C213" s="3" t="s">
        <v>85</v>
      </c>
      <c r="D213" s="238">
        <f t="shared" ref="D213:I213" si="97">D211+D212</f>
        <v>0</v>
      </c>
      <c r="E213" s="238">
        <f t="shared" si="97"/>
        <v>0</v>
      </c>
      <c r="F213" s="238">
        <f t="shared" si="97"/>
        <v>0</v>
      </c>
      <c r="G213" s="238">
        <f t="shared" si="97"/>
        <v>0</v>
      </c>
      <c r="H213" s="238">
        <f t="shared" si="97"/>
        <v>0</v>
      </c>
      <c r="I213" s="238">
        <f t="shared" si="97"/>
        <v>0</v>
      </c>
    </row>
    <row r="214" spans="2:14" ht="12.75" hidden="1" customHeight="1" outlineLevel="1" x14ac:dyDescent="0.2">
      <c r="B214" s="121"/>
    </row>
    <row r="215" spans="2:14" ht="15.75" hidden="1" customHeight="1" outlineLevel="1" x14ac:dyDescent="0.2">
      <c r="B215" s="121"/>
      <c r="C215" s="454"/>
      <c r="D215" s="74">
        <f>FirstYear</f>
        <v>2026</v>
      </c>
      <c r="E215" s="74">
        <f>D215+1</f>
        <v>2027</v>
      </c>
      <c r="F215" s="74">
        <f>E215+1</f>
        <v>2028</v>
      </c>
      <c r="G215" s="74">
        <f>F215+1</f>
        <v>2029</v>
      </c>
      <c r="H215" s="74">
        <f>G215+1</f>
        <v>2030</v>
      </c>
      <c r="I215" s="74">
        <f>H215+1</f>
        <v>2031</v>
      </c>
    </row>
    <row r="216" spans="2:14" ht="12.75" hidden="1" customHeight="1" outlineLevel="1" x14ac:dyDescent="0.2">
      <c r="B216" s="249">
        <v>1</v>
      </c>
      <c r="C216" s="76" t="s">
        <v>84</v>
      </c>
      <c r="D216" s="238">
        <f t="shared" ref="D216:I216" si="98">INDEX(RPBSScriptsChanged,$B208,D209)*INDEX(DPMQCoPayChangedEff,$B208,$B216)</f>
        <v>0</v>
      </c>
      <c r="E216" s="238">
        <f t="shared" si="98"/>
        <v>0</v>
      </c>
      <c r="F216" s="238">
        <f t="shared" si="98"/>
        <v>0</v>
      </c>
      <c r="G216" s="238">
        <f t="shared" si="98"/>
        <v>0</v>
      </c>
      <c r="H216" s="238">
        <f t="shared" si="98"/>
        <v>0</v>
      </c>
      <c r="I216" s="238">
        <f t="shared" si="98"/>
        <v>0</v>
      </c>
    </row>
    <row r="217" spans="2:14" ht="12.75" hidden="1" customHeight="1" outlineLevel="1" x14ac:dyDescent="0.2">
      <c r="B217" s="249">
        <v>4</v>
      </c>
      <c r="C217" s="3" t="s">
        <v>108</v>
      </c>
      <c r="D217" s="238">
        <f t="shared" ref="D217:I217" si="99">INDEX(RPBSScriptsChanged,$B208,D209)*(INDEX(DPMQCoPayChangedEff,$B208,$B217)/INDEX(CoPayCountChanged,$B208))</f>
        <v>0</v>
      </c>
      <c r="E217" s="238">
        <f t="shared" si="99"/>
        <v>0</v>
      </c>
      <c r="F217" s="238">
        <f t="shared" si="99"/>
        <v>0</v>
      </c>
      <c r="G217" s="238">
        <f t="shared" si="99"/>
        <v>0</v>
      </c>
      <c r="H217" s="238">
        <f t="shared" si="99"/>
        <v>0</v>
      </c>
      <c r="I217" s="238">
        <f t="shared" si="99"/>
        <v>0</v>
      </c>
    </row>
    <row r="218" spans="2:14" ht="12.75" hidden="1" customHeight="1" outlineLevel="1" x14ac:dyDescent="0.2">
      <c r="B218" s="121"/>
      <c r="C218" s="3" t="s">
        <v>86</v>
      </c>
      <c r="D218" s="238">
        <f t="shared" ref="D218:I218" si="100">D216+D217</f>
        <v>0</v>
      </c>
      <c r="E218" s="238">
        <f t="shared" si="100"/>
        <v>0</v>
      </c>
      <c r="F218" s="238">
        <f t="shared" si="100"/>
        <v>0</v>
      </c>
      <c r="G218" s="238">
        <f t="shared" si="100"/>
        <v>0</v>
      </c>
      <c r="H218" s="238">
        <f t="shared" si="100"/>
        <v>0</v>
      </c>
      <c r="I218" s="238">
        <f t="shared" si="100"/>
        <v>0</v>
      </c>
    </row>
    <row r="219" spans="2:14" ht="12.75" customHeight="1" collapsed="1" x14ac:dyDescent="0.2">
      <c r="B219" s="121"/>
      <c r="C219" s="457"/>
      <c r="D219" s="457"/>
      <c r="E219" s="457"/>
      <c r="F219" s="31"/>
      <c r="G219" s="31"/>
      <c r="H219" s="31"/>
      <c r="I219" s="31"/>
      <c r="J219" s="31"/>
      <c r="K219" s="31"/>
      <c r="L219" s="31"/>
      <c r="M219" s="31"/>
      <c r="N219" s="31"/>
    </row>
    <row r="220" spans="2:14" ht="15" x14ac:dyDescent="0.2">
      <c r="B220" s="249">
        <v>17</v>
      </c>
      <c r="C220" s="129" t="str">
        <f>IF(SPAChangeFlag&lt;&gt;0,INDEX(PBSScriptsChanged,B220,1),MsgNotRequired)</f>
        <v>** NOT REQUIRED **</v>
      </c>
      <c r="D220" s="123"/>
      <c r="E220" s="123"/>
      <c r="F220" s="123"/>
      <c r="G220" s="123"/>
      <c r="H220" s="123"/>
      <c r="I220" s="123"/>
      <c r="J220" s="116"/>
      <c r="K220" s="116"/>
      <c r="L220" s="588" t="str">
        <f>IF(AND(C220&lt;&gt;MsgNotUsed,C220&lt;&gt;MsgNotRequired),"Co-payment group " &amp; INDEX(DPMQCoPayChangedEff,B220,2),"")</f>
        <v/>
      </c>
      <c r="M220" s="588"/>
      <c r="N220" s="380"/>
    </row>
    <row r="221" spans="2:14" ht="12.75" hidden="1" customHeight="1" outlineLevel="1" x14ac:dyDescent="0.2">
      <c r="B221" s="209">
        <f>INDEX(SAChanged,B220,5)</f>
        <v>0</v>
      </c>
      <c r="C221" s="457"/>
      <c r="D221" s="319">
        <v>2</v>
      </c>
      <c r="E221" s="319">
        <v>3</v>
      </c>
      <c r="F221" s="319">
        <v>4</v>
      </c>
      <c r="G221" s="319">
        <v>5</v>
      </c>
      <c r="H221" s="319">
        <v>6</v>
      </c>
      <c r="I221" s="319">
        <v>7</v>
      </c>
      <c r="J221" s="31"/>
      <c r="K221" s="31"/>
      <c r="L221" s="31"/>
      <c r="M221" s="31"/>
      <c r="N221" s="31"/>
    </row>
    <row r="222" spans="2:14" ht="12.75" hidden="1" customHeight="1" outlineLevel="1" x14ac:dyDescent="0.2">
      <c r="B222" s="121"/>
      <c r="D222" s="74">
        <f>FirstYear</f>
        <v>2026</v>
      </c>
      <c r="E222" s="74">
        <f>D222+1</f>
        <v>2027</v>
      </c>
      <c r="F222" s="74">
        <f>E222+1</f>
        <v>2028</v>
      </c>
      <c r="G222" s="74">
        <f>F222+1</f>
        <v>2029</v>
      </c>
      <c r="H222" s="74">
        <f>G222+1</f>
        <v>2030</v>
      </c>
      <c r="I222" s="74">
        <f>H222+1</f>
        <v>2031</v>
      </c>
    </row>
    <row r="223" spans="2:14" ht="12.75" hidden="1" customHeight="1" outlineLevel="1" x14ac:dyDescent="0.2">
      <c r="B223" s="249">
        <v>1</v>
      </c>
      <c r="C223" s="76" t="s">
        <v>83</v>
      </c>
      <c r="D223" s="238">
        <f t="shared" ref="D223:I223" si="101">INDEX(PBSScriptsChanged,$B220,D221)*INDEX(DPMQCoPayChangedEff,$B220,$B223)</f>
        <v>0</v>
      </c>
      <c r="E223" s="238">
        <f t="shared" si="101"/>
        <v>0</v>
      </c>
      <c r="F223" s="238">
        <f t="shared" si="101"/>
        <v>0</v>
      </c>
      <c r="G223" s="238">
        <f t="shared" si="101"/>
        <v>0</v>
      </c>
      <c r="H223" s="238">
        <f t="shared" si="101"/>
        <v>0</v>
      </c>
      <c r="I223" s="238">
        <f t="shared" si="101"/>
        <v>0</v>
      </c>
    </row>
    <row r="224" spans="2:14" ht="12.75" hidden="1" customHeight="1" outlineLevel="1" x14ac:dyDescent="0.2">
      <c r="B224" s="249">
        <v>3</v>
      </c>
      <c r="C224" s="3" t="s">
        <v>108</v>
      </c>
      <c r="D224" s="238">
        <f t="shared" ref="D224:I224" si="102">INDEX(PBSScriptsChanged,$B220,D221)*(INDEX(DPMQCoPayChangedEff,$B220,$B224)/INDEX(CoPayCountChanged,$B220))</f>
        <v>0</v>
      </c>
      <c r="E224" s="238">
        <f t="shared" si="102"/>
        <v>0</v>
      </c>
      <c r="F224" s="238">
        <f t="shared" si="102"/>
        <v>0</v>
      </c>
      <c r="G224" s="238">
        <f t="shared" si="102"/>
        <v>0</v>
      </c>
      <c r="H224" s="238">
        <f t="shared" si="102"/>
        <v>0</v>
      </c>
      <c r="I224" s="238">
        <f t="shared" si="102"/>
        <v>0</v>
      </c>
      <c r="K224" s="579" t="str">
        <f>IF(B221&lt;&gt;0,MsgNote&amp;IF(B221="Yes",INDEX(CoPayMethod,1),INDEX(CoPayMethod,2)),"")</f>
        <v/>
      </c>
      <c r="L224" s="579"/>
      <c r="M224" s="579"/>
      <c r="N224" s="443"/>
    </row>
    <row r="225" spans="2:14" ht="12.75" hidden="1" customHeight="1" outlineLevel="1" x14ac:dyDescent="0.2">
      <c r="B225" s="121"/>
      <c r="C225" s="3" t="s">
        <v>85</v>
      </c>
      <c r="D225" s="238">
        <f t="shared" ref="D225:I225" si="103">D223+D224</f>
        <v>0</v>
      </c>
      <c r="E225" s="238">
        <f t="shared" si="103"/>
        <v>0</v>
      </c>
      <c r="F225" s="238">
        <f t="shared" si="103"/>
        <v>0</v>
      </c>
      <c r="G225" s="238">
        <f t="shared" si="103"/>
        <v>0</v>
      </c>
      <c r="H225" s="238">
        <f t="shared" si="103"/>
        <v>0</v>
      </c>
      <c r="I225" s="238">
        <f t="shared" si="103"/>
        <v>0</v>
      </c>
    </row>
    <row r="226" spans="2:14" ht="12.75" hidden="1" customHeight="1" outlineLevel="1" x14ac:dyDescent="0.2">
      <c r="B226" s="121"/>
    </row>
    <row r="227" spans="2:14" ht="15.75" hidden="1" customHeight="1" outlineLevel="1" x14ac:dyDescent="0.2">
      <c r="B227" s="121"/>
      <c r="C227" s="454"/>
      <c r="D227" s="74">
        <f>FirstYear</f>
        <v>2026</v>
      </c>
      <c r="E227" s="74">
        <f>D227+1</f>
        <v>2027</v>
      </c>
      <c r="F227" s="74">
        <f>E227+1</f>
        <v>2028</v>
      </c>
      <c r="G227" s="74">
        <f>F227+1</f>
        <v>2029</v>
      </c>
      <c r="H227" s="74">
        <f>G227+1</f>
        <v>2030</v>
      </c>
      <c r="I227" s="74">
        <f>H227+1</f>
        <v>2031</v>
      </c>
    </row>
    <row r="228" spans="2:14" ht="12.75" hidden="1" customHeight="1" outlineLevel="1" x14ac:dyDescent="0.2">
      <c r="B228" s="249">
        <v>1</v>
      </c>
      <c r="C228" s="76" t="s">
        <v>84</v>
      </c>
      <c r="D228" s="238">
        <f t="shared" ref="D228:I228" si="104">INDEX(RPBSScriptsChanged,$B220,D221)*INDEX(DPMQCoPayChangedEff,$B220,$B228)</f>
        <v>0</v>
      </c>
      <c r="E228" s="238">
        <f t="shared" si="104"/>
        <v>0</v>
      </c>
      <c r="F228" s="238">
        <f t="shared" si="104"/>
        <v>0</v>
      </c>
      <c r="G228" s="238">
        <f t="shared" si="104"/>
        <v>0</v>
      </c>
      <c r="H228" s="238">
        <f t="shared" si="104"/>
        <v>0</v>
      </c>
      <c r="I228" s="238">
        <f t="shared" si="104"/>
        <v>0</v>
      </c>
    </row>
    <row r="229" spans="2:14" ht="12.75" hidden="1" customHeight="1" outlineLevel="1" x14ac:dyDescent="0.2">
      <c r="B229" s="249">
        <v>4</v>
      </c>
      <c r="C229" s="3" t="s">
        <v>108</v>
      </c>
      <c r="D229" s="238">
        <f t="shared" ref="D229:I229" si="105">INDEX(RPBSScriptsChanged,$B220,D221)*(INDEX(DPMQCoPayChangedEff,$B220,$B229)/INDEX(CoPayCountChanged,$B220))</f>
        <v>0</v>
      </c>
      <c r="E229" s="238">
        <f t="shared" si="105"/>
        <v>0</v>
      </c>
      <c r="F229" s="238">
        <f t="shared" si="105"/>
        <v>0</v>
      </c>
      <c r="G229" s="238">
        <f t="shared" si="105"/>
        <v>0</v>
      </c>
      <c r="H229" s="238">
        <f t="shared" si="105"/>
        <v>0</v>
      </c>
      <c r="I229" s="238">
        <f t="shared" si="105"/>
        <v>0</v>
      </c>
    </row>
    <row r="230" spans="2:14" ht="12.75" hidden="1" customHeight="1" outlineLevel="1" x14ac:dyDescent="0.2">
      <c r="B230" s="121"/>
      <c r="C230" s="3" t="s">
        <v>86</v>
      </c>
      <c r="D230" s="238">
        <f t="shared" ref="D230:I230" si="106">D228+D229</f>
        <v>0</v>
      </c>
      <c r="E230" s="238">
        <f t="shared" si="106"/>
        <v>0</v>
      </c>
      <c r="F230" s="238">
        <f t="shared" si="106"/>
        <v>0</v>
      </c>
      <c r="G230" s="238">
        <f t="shared" si="106"/>
        <v>0</v>
      </c>
      <c r="H230" s="238">
        <f t="shared" si="106"/>
        <v>0</v>
      </c>
      <c r="I230" s="238">
        <f t="shared" si="106"/>
        <v>0</v>
      </c>
    </row>
    <row r="231" spans="2:14" ht="12.75" customHeight="1" collapsed="1" x14ac:dyDescent="0.2">
      <c r="B231" s="121"/>
      <c r="C231" s="457"/>
      <c r="D231" s="457"/>
      <c r="E231" s="457"/>
      <c r="F231" s="31"/>
      <c r="G231" s="31"/>
      <c r="H231" s="31"/>
      <c r="I231" s="31"/>
      <c r="J231" s="31"/>
      <c r="K231" s="31"/>
      <c r="L231" s="31"/>
      <c r="M231" s="31"/>
      <c r="N231" s="31"/>
    </row>
    <row r="232" spans="2:14" ht="15" x14ac:dyDescent="0.2">
      <c r="B232" s="249">
        <v>18</v>
      </c>
      <c r="C232" s="129" t="str">
        <f>IF(SPAChangeFlag&lt;&gt;0,INDEX(PBSScriptsChanged,B232,1),MsgNotRequired)</f>
        <v>** NOT REQUIRED **</v>
      </c>
      <c r="D232" s="123"/>
      <c r="E232" s="123"/>
      <c r="F232" s="123"/>
      <c r="G232" s="123"/>
      <c r="H232" s="123"/>
      <c r="I232" s="123"/>
      <c r="J232" s="116"/>
      <c r="K232" s="116"/>
      <c r="L232" s="588" t="str">
        <f>IF(AND(C232&lt;&gt;MsgNotUsed,C232&lt;&gt;MsgNotRequired),"Co-payment group " &amp; INDEX(DPMQCoPayChangedEff,B232,2),"")</f>
        <v/>
      </c>
      <c r="M232" s="588"/>
      <c r="N232" s="380"/>
    </row>
    <row r="233" spans="2:14" ht="12.75" hidden="1" customHeight="1" outlineLevel="1" x14ac:dyDescent="0.2">
      <c r="B233" s="209">
        <f>INDEX(SAChanged,B232,5)</f>
        <v>0</v>
      </c>
      <c r="C233" s="457"/>
      <c r="D233" s="319">
        <v>2</v>
      </c>
      <c r="E233" s="319">
        <v>3</v>
      </c>
      <c r="F233" s="319">
        <v>4</v>
      </c>
      <c r="G233" s="319">
        <v>5</v>
      </c>
      <c r="H233" s="319">
        <v>6</v>
      </c>
      <c r="I233" s="319">
        <v>7</v>
      </c>
      <c r="J233" s="31"/>
      <c r="K233" s="31"/>
      <c r="L233" s="31"/>
      <c r="M233" s="31"/>
      <c r="N233" s="31"/>
    </row>
    <row r="234" spans="2:14" ht="12.75" hidden="1" customHeight="1" outlineLevel="1" x14ac:dyDescent="0.2">
      <c r="B234" s="121"/>
      <c r="D234" s="74">
        <f>FirstYear</f>
        <v>2026</v>
      </c>
      <c r="E234" s="74">
        <f>D234+1</f>
        <v>2027</v>
      </c>
      <c r="F234" s="74">
        <f>E234+1</f>
        <v>2028</v>
      </c>
      <c r="G234" s="74">
        <f>F234+1</f>
        <v>2029</v>
      </c>
      <c r="H234" s="74">
        <f>G234+1</f>
        <v>2030</v>
      </c>
      <c r="I234" s="74">
        <f>H234+1</f>
        <v>2031</v>
      </c>
    </row>
    <row r="235" spans="2:14" ht="12.75" hidden="1" customHeight="1" outlineLevel="1" x14ac:dyDescent="0.2">
      <c r="B235" s="249">
        <v>1</v>
      </c>
      <c r="C235" s="76" t="s">
        <v>83</v>
      </c>
      <c r="D235" s="238">
        <f t="shared" ref="D235:I235" si="107">INDEX(PBSScriptsChanged,$B232,D233)*INDEX(DPMQCoPayChangedEff,$B232,$B235)</f>
        <v>0</v>
      </c>
      <c r="E235" s="238">
        <f t="shared" si="107"/>
        <v>0</v>
      </c>
      <c r="F235" s="238">
        <f t="shared" si="107"/>
        <v>0</v>
      </c>
      <c r="G235" s="238">
        <f t="shared" si="107"/>
        <v>0</v>
      </c>
      <c r="H235" s="238">
        <f t="shared" si="107"/>
        <v>0</v>
      </c>
      <c r="I235" s="238">
        <f t="shared" si="107"/>
        <v>0</v>
      </c>
    </row>
    <row r="236" spans="2:14" ht="12.75" hidden="1" customHeight="1" outlineLevel="1" x14ac:dyDescent="0.2">
      <c r="B236" s="249">
        <v>3</v>
      </c>
      <c r="C236" s="3" t="s">
        <v>108</v>
      </c>
      <c r="D236" s="238">
        <f t="shared" ref="D236:I236" si="108">INDEX(PBSScriptsChanged,$B232,D233)*(INDEX(DPMQCoPayChangedEff,$B232,$B236)/INDEX(CoPayCountChanged,$B232))</f>
        <v>0</v>
      </c>
      <c r="E236" s="238">
        <f t="shared" si="108"/>
        <v>0</v>
      </c>
      <c r="F236" s="238">
        <f t="shared" si="108"/>
        <v>0</v>
      </c>
      <c r="G236" s="238">
        <f t="shared" si="108"/>
        <v>0</v>
      </c>
      <c r="H236" s="238">
        <f t="shared" si="108"/>
        <v>0</v>
      </c>
      <c r="I236" s="238">
        <f t="shared" si="108"/>
        <v>0</v>
      </c>
      <c r="K236" s="579" t="str">
        <f>IF(B233&lt;&gt;0,MsgNote&amp;IF(B233="Yes",INDEX(CoPayMethod,1),INDEX(CoPayMethod,2)),"")</f>
        <v/>
      </c>
      <c r="L236" s="579"/>
      <c r="M236" s="579"/>
      <c r="N236" s="443"/>
    </row>
    <row r="237" spans="2:14" ht="12.75" hidden="1" customHeight="1" outlineLevel="1" x14ac:dyDescent="0.2">
      <c r="B237" s="121"/>
      <c r="C237" s="3" t="s">
        <v>85</v>
      </c>
      <c r="D237" s="238">
        <f t="shared" ref="D237:I237" si="109">D235+D236</f>
        <v>0</v>
      </c>
      <c r="E237" s="238">
        <f t="shared" si="109"/>
        <v>0</v>
      </c>
      <c r="F237" s="238">
        <f t="shared" si="109"/>
        <v>0</v>
      </c>
      <c r="G237" s="238">
        <f t="shared" si="109"/>
        <v>0</v>
      </c>
      <c r="H237" s="238">
        <f t="shared" si="109"/>
        <v>0</v>
      </c>
      <c r="I237" s="238">
        <f t="shared" si="109"/>
        <v>0</v>
      </c>
    </row>
    <row r="238" spans="2:14" ht="12.75" hidden="1" customHeight="1" outlineLevel="1" x14ac:dyDescent="0.2">
      <c r="B238" s="121"/>
    </row>
    <row r="239" spans="2:14" ht="15.75" hidden="1" customHeight="1" outlineLevel="1" x14ac:dyDescent="0.2">
      <c r="B239" s="121"/>
      <c r="C239" s="454"/>
      <c r="D239" s="74">
        <f>FirstYear</f>
        <v>2026</v>
      </c>
      <c r="E239" s="74">
        <f>D239+1</f>
        <v>2027</v>
      </c>
      <c r="F239" s="74">
        <f>E239+1</f>
        <v>2028</v>
      </c>
      <c r="G239" s="74">
        <f>F239+1</f>
        <v>2029</v>
      </c>
      <c r="H239" s="74">
        <f>G239+1</f>
        <v>2030</v>
      </c>
      <c r="I239" s="74">
        <f>H239+1</f>
        <v>2031</v>
      </c>
    </row>
    <row r="240" spans="2:14" ht="12.75" hidden="1" customHeight="1" outlineLevel="1" x14ac:dyDescent="0.2">
      <c r="B240" s="249">
        <v>1</v>
      </c>
      <c r="C240" s="76" t="s">
        <v>84</v>
      </c>
      <c r="D240" s="238">
        <f t="shared" ref="D240:I240" si="110">INDEX(RPBSScriptsChanged,$B232,D233)*INDEX(DPMQCoPayChangedEff,$B232,$B240)</f>
        <v>0</v>
      </c>
      <c r="E240" s="238">
        <f t="shared" si="110"/>
        <v>0</v>
      </c>
      <c r="F240" s="238">
        <f t="shared" si="110"/>
        <v>0</v>
      </c>
      <c r="G240" s="238">
        <f t="shared" si="110"/>
        <v>0</v>
      </c>
      <c r="H240" s="238">
        <f t="shared" si="110"/>
        <v>0</v>
      </c>
      <c r="I240" s="238">
        <f t="shared" si="110"/>
        <v>0</v>
      </c>
    </row>
    <row r="241" spans="2:14" ht="12.75" hidden="1" customHeight="1" outlineLevel="1" x14ac:dyDescent="0.2">
      <c r="B241" s="249">
        <v>4</v>
      </c>
      <c r="C241" s="3" t="s">
        <v>108</v>
      </c>
      <c r="D241" s="238">
        <f t="shared" ref="D241:I241" si="111">INDEX(RPBSScriptsChanged,$B232,D233)*(INDEX(DPMQCoPayChangedEff,$B232,$B241)/INDEX(CoPayCountChanged,$B232))</f>
        <v>0</v>
      </c>
      <c r="E241" s="238">
        <f t="shared" si="111"/>
        <v>0</v>
      </c>
      <c r="F241" s="238">
        <f t="shared" si="111"/>
        <v>0</v>
      </c>
      <c r="G241" s="238">
        <f t="shared" si="111"/>
        <v>0</v>
      </c>
      <c r="H241" s="238">
        <f t="shared" si="111"/>
        <v>0</v>
      </c>
      <c r="I241" s="238">
        <f t="shared" si="111"/>
        <v>0</v>
      </c>
    </row>
    <row r="242" spans="2:14" ht="12.75" hidden="1" customHeight="1" outlineLevel="1" x14ac:dyDescent="0.2">
      <c r="B242" s="121"/>
      <c r="C242" s="3" t="s">
        <v>86</v>
      </c>
      <c r="D242" s="238">
        <f t="shared" ref="D242:I242" si="112">D240+D241</f>
        <v>0</v>
      </c>
      <c r="E242" s="238">
        <f t="shared" si="112"/>
        <v>0</v>
      </c>
      <c r="F242" s="238">
        <f t="shared" si="112"/>
        <v>0</v>
      </c>
      <c r="G242" s="238">
        <f t="shared" si="112"/>
        <v>0</v>
      </c>
      <c r="H242" s="238">
        <f t="shared" si="112"/>
        <v>0</v>
      </c>
      <c r="I242" s="238">
        <f t="shared" si="112"/>
        <v>0</v>
      </c>
    </row>
    <row r="243" spans="2:14" ht="12.75" customHeight="1" collapsed="1" x14ac:dyDescent="0.2">
      <c r="B243" s="121"/>
      <c r="C243" s="457"/>
      <c r="D243" s="457"/>
      <c r="E243" s="457"/>
      <c r="F243" s="31"/>
      <c r="G243" s="31"/>
      <c r="H243" s="31"/>
      <c r="I243" s="31"/>
      <c r="J243" s="31"/>
      <c r="K243" s="31"/>
      <c r="L243" s="31"/>
      <c r="M243" s="31"/>
      <c r="N243" s="31"/>
    </row>
    <row r="244" spans="2:14" ht="15" x14ac:dyDescent="0.2">
      <c r="B244" s="249">
        <v>19</v>
      </c>
      <c r="C244" s="129" t="str">
        <f>IF(SPAChangeFlag&lt;&gt;0,INDEX(PBSScriptsChanged,B244,1),MsgNotRequired)</f>
        <v>** NOT REQUIRED **</v>
      </c>
      <c r="D244" s="123"/>
      <c r="E244" s="123"/>
      <c r="F244" s="123"/>
      <c r="G244" s="123"/>
      <c r="H244" s="123"/>
      <c r="I244" s="123"/>
      <c r="J244" s="116"/>
      <c r="K244" s="116"/>
      <c r="L244" s="588" t="str">
        <f>IF(AND(C244&lt;&gt;MsgNotUsed,C244&lt;&gt;MsgNotRequired),"Co-payment group " &amp; INDEX(DPMQCoPayChangedEff,B244,2),"")</f>
        <v/>
      </c>
      <c r="M244" s="588"/>
      <c r="N244" s="380"/>
    </row>
    <row r="245" spans="2:14" ht="12.75" hidden="1" customHeight="1" outlineLevel="1" x14ac:dyDescent="0.2">
      <c r="B245" s="209">
        <f>INDEX(SAChanged,B244,5)</f>
        <v>0</v>
      </c>
      <c r="C245" s="457"/>
      <c r="D245" s="319">
        <v>2</v>
      </c>
      <c r="E245" s="319">
        <v>3</v>
      </c>
      <c r="F245" s="319">
        <v>4</v>
      </c>
      <c r="G245" s="319">
        <v>5</v>
      </c>
      <c r="H245" s="319">
        <v>6</v>
      </c>
      <c r="I245" s="319">
        <v>7</v>
      </c>
      <c r="J245" s="31"/>
      <c r="K245" s="31"/>
      <c r="L245" s="31"/>
      <c r="M245" s="31"/>
      <c r="N245" s="31"/>
    </row>
    <row r="246" spans="2:14" ht="12.75" hidden="1" customHeight="1" outlineLevel="1" x14ac:dyDescent="0.2">
      <c r="B246" s="121"/>
      <c r="D246" s="74">
        <f>FirstYear</f>
        <v>2026</v>
      </c>
      <c r="E246" s="74">
        <f>D246+1</f>
        <v>2027</v>
      </c>
      <c r="F246" s="74">
        <f>E246+1</f>
        <v>2028</v>
      </c>
      <c r="G246" s="74">
        <f>F246+1</f>
        <v>2029</v>
      </c>
      <c r="H246" s="74">
        <f>G246+1</f>
        <v>2030</v>
      </c>
      <c r="I246" s="74">
        <f>H246+1</f>
        <v>2031</v>
      </c>
    </row>
    <row r="247" spans="2:14" ht="12.75" hidden="1" customHeight="1" outlineLevel="1" x14ac:dyDescent="0.2">
      <c r="B247" s="249">
        <v>1</v>
      </c>
      <c r="C247" s="76" t="s">
        <v>83</v>
      </c>
      <c r="D247" s="238">
        <f t="shared" ref="D247:I247" si="113">INDEX(PBSScriptsChanged,$B244,D245)*INDEX(DPMQCoPayChangedEff,$B244,$B247)</f>
        <v>0</v>
      </c>
      <c r="E247" s="238">
        <f t="shared" si="113"/>
        <v>0</v>
      </c>
      <c r="F247" s="238">
        <f t="shared" si="113"/>
        <v>0</v>
      </c>
      <c r="G247" s="238">
        <f t="shared" si="113"/>
        <v>0</v>
      </c>
      <c r="H247" s="238">
        <f t="shared" si="113"/>
        <v>0</v>
      </c>
      <c r="I247" s="238">
        <f t="shared" si="113"/>
        <v>0</v>
      </c>
    </row>
    <row r="248" spans="2:14" ht="12.75" hidden="1" customHeight="1" outlineLevel="1" x14ac:dyDescent="0.2">
      <c r="B248" s="249">
        <v>3</v>
      </c>
      <c r="C248" s="3" t="s">
        <v>108</v>
      </c>
      <c r="D248" s="238">
        <f t="shared" ref="D248:I248" si="114">INDEX(PBSScriptsChanged,$B244,D245)*(INDEX(DPMQCoPayChangedEff,$B244,$B248)/INDEX(CoPayCountChanged,$B244))</f>
        <v>0</v>
      </c>
      <c r="E248" s="238">
        <f t="shared" si="114"/>
        <v>0</v>
      </c>
      <c r="F248" s="238">
        <f t="shared" si="114"/>
        <v>0</v>
      </c>
      <c r="G248" s="238">
        <f t="shared" si="114"/>
        <v>0</v>
      </c>
      <c r="H248" s="238">
        <f t="shared" si="114"/>
        <v>0</v>
      </c>
      <c r="I248" s="238">
        <f t="shared" si="114"/>
        <v>0</v>
      </c>
      <c r="K248" s="579" t="str">
        <f>IF(B245&lt;&gt;0,MsgNote&amp;IF(B245="Yes",INDEX(CoPayMethod,1),INDEX(CoPayMethod,2)),"")</f>
        <v/>
      </c>
      <c r="L248" s="579"/>
      <c r="M248" s="579"/>
      <c r="N248" s="443"/>
    </row>
    <row r="249" spans="2:14" ht="12.75" hidden="1" customHeight="1" outlineLevel="1" x14ac:dyDescent="0.2">
      <c r="B249" s="121"/>
      <c r="C249" s="3" t="s">
        <v>85</v>
      </c>
      <c r="D249" s="238">
        <f t="shared" ref="D249:I249" si="115">D247+D248</f>
        <v>0</v>
      </c>
      <c r="E249" s="238">
        <f t="shared" si="115"/>
        <v>0</v>
      </c>
      <c r="F249" s="238">
        <f t="shared" si="115"/>
        <v>0</v>
      </c>
      <c r="G249" s="238">
        <f t="shared" si="115"/>
        <v>0</v>
      </c>
      <c r="H249" s="238">
        <f t="shared" si="115"/>
        <v>0</v>
      </c>
      <c r="I249" s="238">
        <f t="shared" si="115"/>
        <v>0</v>
      </c>
    </row>
    <row r="250" spans="2:14" ht="12.75" hidden="1" customHeight="1" outlineLevel="1" x14ac:dyDescent="0.2">
      <c r="B250" s="121"/>
    </row>
    <row r="251" spans="2:14" ht="15.75" hidden="1" customHeight="1" outlineLevel="1" x14ac:dyDescent="0.2">
      <c r="B251" s="121"/>
      <c r="C251" s="454"/>
      <c r="D251" s="74">
        <f>FirstYear</f>
        <v>2026</v>
      </c>
      <c r="E251" s="74">
        <f>D251+1</f>
        <v>2027</v>
      </c>
      <c r="F251" s="74">
        <f>E251+1</f>
        <v>2028</v>
      </c>
      <c r="G251" s="74">
        <f>F251+1</f>
        <v>2029</v>
      </c>
      <c r="H251" s="74">
        <f>G251+1</f>
        <v>2030</v>
      </c>
      <c r="I251" s="74">
        <f>H251+1</f>
        <v>2031</v>
      </c>
    </row>
    <row r="252" spans="2:14" ht="12.75" hidden="1" customHeight="1" outlineLevel="1" x14ac:dyDescent="0.2">
      <c r="B252" s="249">
        <v>1</v>
      </c>
      <c r="C252" s="76" t="s">
        <v>84</v>
      </c>
      <c r="D252" s="238">
        <f t="shared" ref="D252:I252" si="116">INDEX(RPBSScriptsChanged,$B244,D245)*INDEX(DPMQCoPayChangedEff,$B244,$B252)</f>
        <v>0</v>
      </c>
      <c r="E252" s="238">
        <f t="shared" si="116"/>
        <v>0</v>
      </c>
      <c r="F252" s="238">
        <f t="shared" si="116"/>
        <v>0</v>
      </c>
      <c r="G252" s="238">
        <f t="shared" si="116"/>
        <v>0</v>
      </c>
      <c r="H252" s="238">
        <f t="shared" si="116"/>
        <v>0</v>
      </c>
      <c r="I252" s="238">
        <f t="shared" si="116"/>
        <v>0</v>
      </c>
    </row>
    <row r="253" spans="2:14" ht="12.75" hidden="1" customHeight="1" outlineLevel="1" x14ac:dyDescent="0.2">
      <c r="B253" s="249">
        <v>4</v>
      </c>
      <c r="C253" s="3" t="s">
        <v>108</v>
      </c>
      <c r="D253" s="238">
        <f t="shared" ref="D253:I253" si="117">INDEX(RPBSScriptsChanged,$B244,D245)*(INDEX(DPMQCoPayChangedEff,$B244,$B253)/INDEX(CoPayCountChanged,$B244))</f>
        <v>0</v>
      </c>
      <c r="E253" s="238">
        <f t="shared" si="117"/>
        <v>0</v>
      </c>
      <c r="F253" s="238">
        <f t="shared" si="117"/>
        <v>0</v>
      </c>
      <c r="G253" s="238">
        <f t="shared" si="117"/>
        <v>0</v>
      </c>
      <c r="H253" s="238">
        <f t="shared" si="117"/>
        <v>0</v>
      </c>
      <c r="I253" s="238">
        <f t="shared" si="117"/>
        <v>0</v>
      </c>
    </row>
    <row r="254" spans="2:14" ht="12.75" hidden="1" customHeight="1" outlineLevel="1" x14ac:dyDescent="0.2">
      <c r="B254" s="121"/>
      <c r="C254" s="3" t="s">
        <v>86</v>
      </c>
      <c r="D254" s="238">
        <f t="shared" ref="D254:I254" si="118">D252+D253</f>
        <v>0</v>
      </c>
      <c r="E254" s="238">
        <f t="shared" si="118"/>
        <v>0</v>
      </c>
      <c r="F254" s="238">
        <f t="shared" si="118"/>
        <v>0</v>
      </c>
      <c r="G254" s="238">
        <f t="shared" si="118"/>
        <v>0</v>
      </c>
      <c r="H254" s="238">
        <f t="shared" si="118"/>
        <v>0</v>
      </c>
      <c r="I254" s="238">
        <f t="shared" si="118"/>
        <v>0</v>
      </c>
    </row>
    <row r="255" spans="2:14" ht="12.75" customHeight="1" collapsed="1" x14ac:dyDescent="0.2">
      <c r="B255" s="121"/>
      <c r="C255" s="457"/>
      <c r="D255" s="457"/>
      <c r="E255" s="457"/>
      <c r="F255" s="31"/>
      <c r="G255" s="31"/>
      <c r="H255" s="31"/>
      <c r="I255" s="31"/>
      <c r="J255" s="31"/>
      <c r="K255" s="31"/>
      <c r="L255" s="31"/>
      <c r="M255" s="31"/>
      <c r="N255" s="31"/>
    </row>
    <row r="256" spans="2:14" ht="15" x14ac:dyDescent="0.2">
      <c r="B256" s="249">
        <v>20</v>
      </c>
      <c r="C256" s="129" t="str">
        <f>IF(SPAChangeFlag&lt;&gt;0,INDEX(PBSScriptsChanged,B256,1),MsgNotRequired)</f>
        <v>** NOT REQUIRED **</v>
      </c>
      <c r="D256" s="123"/>
      <c r="E256" s="123"/>
      <c r="F256" s="123"/>
      <c r="G256" s="123"/>
      <c r="H256" s="123"/>
      <c r="I256" s="123"/>
      <c r="J256" s="116"/>
      <c r="K256" s="116"/>
      <c r="L256" s="588" t="str">
        <f>IF(AND(C256&lt;&gt;MsgNotUsed,C256&lt;&gt;MsgNotRequired),"Co-payment group " &amp; INDEX(DPMQCoPayChangedEff,B256,2),"")</f>
        <v/>
      </c>
      <c r="M256" s="588"/>
      <c r="N256" s="380"/>
    </row>
    <row r="257" spans="2:14" ht="12.75" hidden="1" customHeight="1" outlineLevel="1" x14ac:dyDescent="0.2">
      <c r="B257" s="209">
        <f>INDEX(SAChanged,B256,5)</f>
        <v>0</v>
      </c>
      <c r="C257" s="457"/>
      <c r="D257" s="319">
        <v>2</v>
      </c>
      <c r="E257" s="319">
        <v>3</v>
      </c>
      <c r="F257" s="319">
        <v>4</v>
      </c>
      <c r="G257" s="319">
        <v>5</v>
      </c>
      <c r="H257" s="319">
        <v>6</v>
      </c>
      <c r="I257" s="319">
        <v>7</v>
      </c>
      <c r="J257" s="31"/>
      <c r="K257" s="31"/>
      <c r="L257" s="31"/>
      <c r="M257" s="31"/>
      <c r="N257" s="31"/>
    </row>
    <row r="258" spans="2:14" ht="12.75" hidden="1" customHeight="1" outlineLevel="1" x14ac:dyDescent="0.2">
      <c r="B258" s="121"/>
      <c r="D258" s="74">
        <f>FirstYear</f>
        <v>2026</v>
      </c>
      <c r="E258" s="74">
        <f>D258+1</f>
        <v>2027</v>
      </c>
      <c r="F258" s="74">
        <f>E258+1</f>
        <v>2028</v>
      </c>
      <c r="G258" s="74">
        <f>F258+1</f>
        <v>2029</v>
      </c>
      <c r="H258" s="74">
        <f>G258+1</f>
        <v>2030</v>
      </c>
      <c r="I258" s="74">
        <f>H258+1</f>
        <v>2031</v>
      </c>
    </row>
    <row r="259" spans="2:14" ht="12.75" hidden="1" customHeight="1" outlineLevel="1" x14ac:dyDescent="0.2">
      <c r="B259" s="249">
        <v>1</v>
      </c>
      <c r="C259" s="76" t="s">
        <v>83</v>
      </c>
      <c r="D259" s="238">
        <f t="shared" ref="D259:I259" si="119">INDEX(PBSScriptsChanged,$B256,D257)*INDEX(DPMQCoPayChangedEff,$B256,$B259)</f>
        <v>0</v>
      </c>
      <c r="E259" s="238">
        <f t="shared" si="119"/>
        <v>0</v>
      </c>
      <c r="F259" s="238">
        <f t="shared" si="119"/>
        <v>0</v>
      </c>
      <c r="G259" s="238">
        <f t="shared" si="119"/>
        <v>0</v>
      </c>
      <c r="H259" s="238">
        <f t="shared" si="119"/>
        <v>0</v>
      </c>
      <c r="I259" s="238">
        <f t="shared" si="119"/>
        <v>0</v>
      </c>
    </row>
    <row r="260" spans="2:14" ht="12.75" hidden="1" customHeight="1" outlineLevel="1" x14ac:dyDescent="0.2">
      <c r="B260" s="249">
        <v>3</v>
      </c>
      <c r="C260" s="3" t="s">
        <v>108</v>
      </c>
      <c r="D260" s="238">
        <f t="shared" ref="D260:I260" si="120">INDEX(PBSScriptsChanged,$B256,D257)*(INDEX(DPMQCoPayChangedEff,$B256,$B260)/INDEX(CoPayCountChanged,$B256))</f>
        <v>0</v>
      </c>
      <c r="E260" s="238">
        <f t="shared" si="120"/>
        <v>0</v>
      </c>
      <c r="F260" s="238">
        <f t="shared" si="120"/>
        <v>0</v>
      </c>
      <c r="G260" s="238">
        <f t="shared" si="120"/>
        <v>0</v>
      </c>
      <c r="H260" s="238">
        <f t="shared" si="120"/>
        <v>0</v>
      </c>
      <c r="I260" s="238">
        <f t="shared" si="120"/>
        <v>0</v>
      </c>
      <c r="K260" s="579" t="str">
        <f>IF(B257&lt;&gt;0,MsgNote&amp;IF(B257="Yes",INDEX(CoPayMethod,1),INDEX(CoPayMethod,2)),"")</f>
        <v/>
      </c>
      <c r="L260" s="579"/>
      <c r="M260" s="579"/>
      <c r="N260" s="443"/>
    </row>
    <row r="261" spans="2:14" ht="12.75" hidden="1" customHeight="1" outlineLevel="1" x14ac:dyDescent="0.2">
      <c r="B261" s="121"/>
      <c r="C261" s="3" t="s">
        <v>85</v>
      </c>
      <c r="D261" s="238">
        <f t="shared" ref="D261:I261" si="121">D259+D260</f>
        <v>0</v>
      </c>
      <c r="E261" s="238">
        <f t="shared" si="121"/>
        <v>0</v>
      </c>
      <c r="F261" s="238">
        <f t="shared" si="121"/>
        <v>0</v>
      </c>
      <c r="G261" s="238">
        <f t="shared" si="121"/>
        <v>0</v>
      </c>
      <c r="H261" s="238">
        <f t="shared" si="121"/>
        <v>0</v>
      </c>
      <c r="I261" s="238">
        <f t="shared" si="121"/>
        <v>0</v>
      </c>
    </row>
    <row r="262" spans="2:14" ht="12.75" hidden="1" customHeight="1" outlineLevel="1" x14ac:dyDescent="0.2">
      <c r="B262" s="121"/>
    </row>
    <row r="263" spans="2:14" ht="15.75" hidden="1" customHeight="1" outlineLevel="1" x14ac:dyDescent="0.2">
      <c r="B263" s="121"/>
      <c r="C263" s="454"/>
      <c r="D263" s="74">
        <f>FirstYear</f>
        <v>2026</v>
      </c>
      <c r="E263" s="74">
        <f>D263+1</f>
        <v>2027</v>
      </c>
      <c r="F263" s="74">
        <f>E263+1</f>
        <v>2028</v>
      </c>
      <c r="G263" s="74">
        <f>F263+1</f>
        <v>2029</v>
      </c>
      <c r="H263" s="74">
        <f>G263+1</f>
        <v>2030</v>
      </c>
      <c r="I263" s="74">
        <f>H263+1</f>
        <v>2031</v>
      </c>
    </row>
    <row r="264" spans="2:14" ht="12.75" hidden="1" customHeight="1" outlineLevel="1" x14ac:dyDescent="0.2">
      <c r="B264" s="249">
        <v>1</v>
      </c>
      <c r="C264" s="76" t="s">
        <v>84</v>
      </c>
      <c r="D264" s="238">
        <f t="shared" ref="D264:I264" si="122">INDEX(RPBSScriptsChanged,$B256,D257)*INDEX(DPMQCoPayChangedEff,$B256,$B264)</f>
        <v>0</v>
      </c>
      <c r="E264" s="238">
        <f t="shared" si="122"/>
        <v>0</v>
      </c>
      <c r="F264" s="238">
        <f t="shared" si="122"/>
        <v>0</v>
      </c>
      <c r="G264" s="238">
        <f t="shared" si="122"/>
        <v>0</v>
      </c>
      <c r="H264" s="238">
        <f t="shared" si="122"/>
        <v>0</v>
      </c>
      <c r="I264" s="238">
        <f t="shared" si="122"/>
        <v>0</v>
      </c>
    </row>
    <row r="265" spans="2:14" ht="12.75" hidden="1" customHeight="1" outlineLevel="1" x14ac:dyDescent="0.2">
      <c r="B265" s="249">
        <v>4</v>
      </c>
      <c r="C265" s="3" t="s">
        <v>108</v>
      </c>
      <c r="D265" s="238">
        <f t="shared" ref="D265:I265" si="123">INDEX(RPBSScriptsChanged,$B256,D257)*(INDEX(DPMQCoPayChangedEff,$B256,$B265)/INDEX(CoPayCountChanged,$B256))</f>
        <v>0</v>
      </c>
      <c r="E265" s="238">
        <f t="shared" si="123"/>
        <v>0</v>
      </c>
      <c r="F265" s="238">
        <f t="shared" si="123"/>
        <v>0</v>
      </c>
      <c r="G265" s="238">
        <f t="shared" si="123"/>
        <v>0</v>
      </c>
      <c r="H265" s="238">
        <f t="shared" si="123"/>
        <v>0</v>
      </c>
      <c r="I265" s="238">
        <f t="shared" si="123"/>
        <v>0</v>
      </c>
    </row>
    <row r="266" spans="2:14" ht="12.75" hidden="1" customHeight="1" outlineLevel="1" x14ac:dyDescent="0.2">
      <c r="B266" s="121"/>
      <c r="C266" s="3" t="s">
        <v>86</v>
      </c>
      <c r="D266" s="238">
        <f t="shared" ref="D266:I266" si="124">D264+D265</f>
        <v>0</v>
      </c>
      <c r="E266" s="238">
        <f t="shared" si="124"/>
        <v>0</v>
      </c>
      <c r="F266" s="238">
        <f t="shared" si="124"/>
        <v>0</v>
      </c>
      <c r="G266" s="238">
        <f t="shared" si="124"/>
        <v>0</v>
      </c>
      <c r="H266" s="238">
        <f t="shared" si="124"/>
        <v>0</v>
      </c>
      <c r="I266" s="238">
        <f t="shared" si="124"/>
        <v>0</v>
      </c>
    </row>
    <row r="267" spans="2:14" hidden="1" outlineLevel="1" x14ac:dyDescent="0.2">
      <c r="B267" s="121"/>
      <c r="C267" s="457"/>
      <c r="D267" s="457"/>
      <c r="E267" s="457"/>
      <c r="F267" s="31"/>
      <c r="G267" s="31"/>
      <c r="H267" s="31"/>
      <c r="I267" s="31"/>
      <c r="J267" s="31"/>
      <c r="K267" s="31"/>
      <c r="L267" s="31"/>
      <c r="M267" s="31"/>
      <c r="N267" s="31"/>
    </row>
    <row r="268" spans="2:14" collapsed="1" x14ac:dyDescent="0.2">
      <c r="B268" s="121"/>
    </row>
    <row r="269" spans="2:14" ht="15.75" x14ac:dyDescent="0.2">
      <c r="C269" s="111" t="s">
        <v>909</v>
      </c>
      <c r="D269" s="111"/>
      <c r="E269" s="111"/>
      <c r="F269" s="126"/>
      <c r="G269" s="113"/>
      <c r="H269" s="113"/>
      <c r="I269" s="113"/>
      <c r="J269" s="113"/>
      <c r="K269" s="113"/>
      <c r="L269" s="113"/>
      <c r="M269" s="113"/>
      <c r="N269" s="113"/>
    </row>
    <row r="270" spans="2:14" x14ac:dyDescent="0.2">
      <c r="F270" s="455"/>
    </row>
    <row r="271" spans="2:14" x14ac:dyDescent="0.2">
      <c r="C271" t="s">
        <v>820</v>
      </c>
      <c r="F271" s="455"/>
    </row>
    <row r="272" spans="2:14" x14ac:dyDescent="0.2">
      <c r="F272" s="455"/>
      <c r="H272" s="625" t="str">
        <f>IF(S294&gt;0,"DPMA / DPMQ","")</f>
        <v/>
      </c>
      <c r="I272" s="625"/>
      <c r="J272" s="625"/>
    </row>
    <row r="273" spans="2:20" ht="25.5" x14ac:dyDescent="0.2">
      <c r="C273" s="596" t="s">
        <v>800</v>
      </c>
      <c r="D273" s="626"/>
      <c r="E273" s="627"/>
      <c r="F273" s="5" t="s">
        <v>109</v>
      </c>
      <c r="G273" s="5" t="s">
        <v>919</v>
      </c>
      <c r="H273" s="61" t="str">
        <f>IF(S294&gt;0,"Public","DPMA / DPMQ")</f>
        <v>DPMA / DPMQ</v>
      </c>
      <c r="I273" s="61" t="str">
        <f>IF(S294&gt;0,"Private","")</f>
        <v/>
      </c>
      <c r="J273" s="61" t="str">
        <f>IF(S294&gt;0,"Weighted","DPMA / DPMQ")</f>
        <v>DPMA / DPMQ</v>
      </c>
      <c r="K273" s="61" t="s">
        <v>743</v>
      </c>
      <c r="L273" s="5" t="s">
        <v>418</v>
      </c>
      <c r="M273" s="5" t="s">
        <v>419</v>
      </c>
      <c r="N273" s="480"/>
      <c r="Q273" s="517" t="s">
        <v>418</v>
      </c>
      <c r="R273" s="517" t="s">
        <v>419</v>
      </c>
    </row>
    <row r="274" spans="2:20" x14ac:dyDescent="0.2">
      <c r="B274" s="249">
        <v>1</v>
      </c>
      <c r="C274" s="622" t="str">
        <f t="shared" ref="C274:C293" si="125">IF(SPAChangeFlag=1,INDEX(PBSScriptsChanged,B274,1),MsgNotUsed)</f>
        <v>** NOT USED **</v>
      </c>
      <c r="D274" s="623"/>
      <c r="E274" s="624"/>
      <c r="F274" s="243"/>
      <c r="G274" s="57" t="str">
        <f>IF('4b. Impact - affected (pub)'!G274&lt;&gt;"",'4b. Impact - affected (pub)'!G274,"")</f>
        <v/>
      </c>
      <c r="H274" s="243"/>
      <c r="I274" s="243"/>
      <c r="J274" s="244">
        <f>IF(AND(ISBLANK(H274),COUNT(I274)=1),I274,IF(AND(COUNT(H274)=1,ISBLANK(I274)),H274,IF(COUNT(H274:I274)=2,H274*S274+I274*T274,0)))</f>
        <v>0</v>
      </c>
      <c r="K274" s="62" t="str">
        <f>IF(C274&lt;&gt;MsgNotUsed,'4b. Impact - affected (pub)'!L274,"")</f>
        <v/>
      </c>
      <c r="L274" s="244">
        <f>IF(J274&gt;Q274,-Q274,-J274)</f>
        <v>0</v>
      </c>
      <c r="M274" s="244">
        <f>IF(J274&gt;R274,-R274,-J274)</f>
        <v>0</v>
      </c>
      <c r="Q274" s="516">
        <f t="shared" ref="Q274:Q293" si="126">IFERROR(INDEX(CoPayPBS,K274),0)</f>
        <v>0</v>
      </c>
      <c r="R274" s="516">
        <f t="shared" ref="R274:R293" si="127">IFERROR(INDEX(CoPayRPBS,K274),0)</f>
        <v>0</v>
      </c>
      <c r="S274" s="394" t="str">
        <f t="shared" ref="S274:S293" si="128">IFERROR(INDEX(ServiceSplitPublic,K274),"")</f>
        <v/>
      </c>
      <c r="T274" s="394" t="str">
        <f t="shared" ref="T274:T293" si="129">IFERROR(INDEX(ServiceSplitPrivate,K274),"")</f>
        <v/>
      </c>
    </row>
    <row r="275" spans="2:20" x14ac:dyDescent="0.2">
      <c r="B275" s="249">
        <v>2</v>
      </c>
      <c r="C275" s="622" t="str">
        <f t="shared" si="125"/>
        <v>** NOT USED **</v>
      </c>
      <c r="D275" s="623"/>
      <c r="E275" s="624"/>
      <c r="F275" s="243"/>
      <c r="G275" s="57" t="str">
        <f>IF('4b. Impact - affected (pub)'!G275&lt;&gt;"",'4b. Impact - affected (pub)'!G275,"")</f>
        <v/>
      </c>
      <c r="H275" s="243"/>
      <c r="I275" s="243"/>
      <c r="J275" s="244">
        <f t="shared" ref="J275:J293" si="130">IF(AND(ISBLANK(H275),COUNT(I275)=1),I275,IF(AND(COUNT(H275)=1,ISBLANK(I275)),H275,IF(COUNT(H275:I275)=2,H275*S275+I275*T275,0)))</f>
        <v>0</v>
      </c>
      <c r="K275" s="62" t="str">
        <f>IF(C275&lt;&gt;MsgNotUsed,'4b. Impact - affected (pub)'!L275,"")</f>
        <v/>
      </c>
      <c r="L275" s="244">
        <f t="shared" ref="L275:L293" si="131">IF(J275&gt;Q275,-Q275,-J275)</f>
        <v>0</v>
      </c>
      <c r="M275" s="244">
        <f t="shared" ref="M275:M293" si="132">IF(J275&gt;R275,-R275,-J275)</f>
        <v>0</v>
      </c>
      <c r="Q275" s="516">
        <f t="shared" si="126"/>
        <v>0</v>
      </c>
      <c r="R275" s="516">
        <f t="shared" si="127"/>
        <v>0</v>
      </c>
      <c r="S275" s="394" t="str">
        <f t="shared" si="128"/>
        <v/>
      </c>
      <c r="T275" s="394" t="str">
        <f t="shared" si="129"/>
        <v/>
      </c>
    </row>
    <row r="276" spans="2:20" x14ac:dyDescent="0.2">
      <c r="B276" s="249">
        <v>3</v>
      </c>
      <c r="C276" s="622" t="str">
        <f t="shared" si="125"/>
        <v>** NOT USED **</v>
      </c>
      <c r="D276" s="623"/>
      <c r="E276" s="624"/>
      <c r="F276" s="243"/>
      <c r="G276" s="57" t="str">
        <f>IF('4b. Impact - affected (pub)'!G276&lt;&gt;"",'4b. Impact - affected (pub)'!G276,"")</f>
        <v/>
      </c>
      <c r="H276" s="243"/>
      <c r="I276" s="243"/>
      <c r="J276" s="244">
        <f t="shared" si="130"/>
        <v>0</v>
      </c>
      <c r="K276" s="62" t="str">
        <f>IF(C276&lt;&gt;MsgNotUsed,'4b. Impact - affected (pub)'!L276,"")</f>
        <v/>
      </c>
      <c r="L276" s="244">
        <f t="shared" si="131"/>
        <v>0</v>
      </c>
      <c r="M276" s="244">
        <f t="shared" si="132"/>
        <v>0</v>
      </c>
      <c r="Q276" s="516">
        <f t="shared" si="126"/>
        <v>0</v>
      </c>
      <c r="R276" s="516">
        <f t="shared" si="127"/>
        <v>0</v>
      </c>
      <c r="S276" s="394" t="str">
        <f t="shared" si="128"/>
        <v/>
      </c>
      <c r="T276" s="394" t="str">
        <f t="shared" si="129"/>
        <v/>
      </c>
    </row>
    <row r="277" spans="2:20" x14ac:dyDescent="0.2">
      <c r="B277" s="249">
        <v>4</v>
      </c>
      <c r="C277" s="622" t="str">
        <f t="shared" si="125"/>
        <v>** NOT USED **</v>
      </c>
      <c r="D277" s="623"/>
      <c r="E277" s="624"/>
      <c r="F277" s="243"/>
      <c r="G277" s="57" t="str">
        <f>IF('4b. Impact - affected (pub)'!G277&lt;&gt;"",'4b. Impact - affected (pub)'!G277,"")</f>
        <v/>
      </c>
      <c r="H277" s="243"/>
      <c r="I277" s="243"/>
      <c r="J277" s="244">
        <f t="shared" si="130"/>
        <v>0</v>
      </c>
      <c r="K277" s="62" t="str">
        <f>IF(C277&lt;&gt;MsgNotUsed,'4b. Impact - affected (pub)'!L277,"")</f>
        <v/>
      </c>
      <c r="L277" s="244">
        <f t="shared" si="131"/>
        <v>0</v>
      </c>
      <c r="M277" s="244">
        <f t="shared" si="132"/>
        <v>0</v>
      </c>
      <c r="Q277" s="516">
        <f t="shared" si="126"/>
        <v>0</v>
      </c>
      <c r="R277" s="516">
        <f t="shared" si="127"/>
        <v>0</v>
      </c>
      <c r="S277" s="394" t="str">
        <f t="shared" si="128"/>
        <v/>
      </c>
      <c r="T277" s="394" t="str">
        <f t="shared" si="129"/>
        <v/>
      </c>
    </row>
    <row r="278" spans="2:20" x14ac:dyDescent="0.2">
      <c r="B278" s="249">
        <v>5</v>
      </c>
      <c r="C278" s="622" t="str">
        <f t="shared" si="125"/>
        <v>** NOT USED **</v>
      </c>
      <c r="D278" s="623"/>
      <c r="E278" s="624"/>
      <c r="F278" s="243"/>
      <c r="G278" s="57" t="str">
        <f>IF('4b. Impact - affected (pub)'!G278&lt;&gt;"",'4b. Impact - affected (pub)'!G278,"")</f>
        <v/>
      </c>
      <c r="H278" s="243"/>
      <c r="I278" s="243"/>
      <c r="J278" s="244">
        <f t="shared" si="130"/>
        <v>0</v>
      </c>
      <c r="K278" s="62" t="str">
        <f>IF(C278&lt;&gt;MsgNotUsed,'4b. Impact - affected (pub)'!L278,"")</f>
        <v/>
      </c>
      <c r="L278" s="244">
        <f t="shared" si="131"/>
        <v>0</v>
      </c>
      <c r="M278" s="244">
        <f t="shared" si="132"/>
        <v>0</v>
      </c>
      <c r="Q278" s="516">
        <f t="shared" si="126"/>
        <v>0</v>
      </c>
      <c r="R278" s="516">
        <f t="shared" si="127"/>
        <v>0</v>
      </c>
      <c r="S278" s="394" t="str">
        <f t="shared" si="128"/>
        <v/>
      </c>
      <c r="T278" s="394" t="str">
        <f t="shared" si="129"/>
        <v/>
      </c>
    </row>
    <row r="279" spans="2:20" x14ac:dyDescent="0.2">
      <c r="B279" s="249">
        <v>6</v>
      </c>
      <c r="C279" s="622" t="str">
        <f t="shared" si="125"/>
        <v>** NOT USED **</v>
      </c>
      <c r="D279" s="623"/>
      <c r="E279" s="624"/>
      <c r="F279" s="243"/>
      <c r="G279" s="57" t="str">
        <f>IF('4b. Impact - affected (pub)'!G279&lt;&gt;"",'4b. Impact - affected (pub)'!G279,"")</f>
        <v/>
      </c>
      <c r="H279" s="243"/>
      <c r="I279" s="243"/>
      <c r="J279" s="244">
        <f t="shared" si="130"/>
        <v>0</v>
      </c>
      <c r="K279" s="62" t="str">
        <f>IF(C279&lt;&gt;MsgNotUsed,'4b. Impact - affected (pub)'!L279,"")</f>
        <v/>
      </c>
      <c r="L279" s="244">
        <f t="shared" si="131"/>
        <v>0</v>
      </c>
      <c r="M279" s="244">
        <f t="shared" si="132"/>
        <v>0</v>
      </c>
      <c r="Q279" s="516">
        <f t="shared" si="126"/>
        <v>0</v>
      </c>
      <c r="R279" s="516">
        <f t="shared" si="127"/>
        <v>0</v>
      </c>
      <c r="S279" s="394" t="str">
        <f t="shared" si="128"/>
        <v/>
      </c>
      <c r="T279" s="394" t="str">
        <f t="shared" si="129"/>
        <v/>
      </c>
    </row>
    <row r="280" spans="2:20" x14ac:dyDescent="0.2">
      <c r="B280" s="249">
        <v>7</v>
      </c>
      <c r="C280" s="622" t="str">
        <f t="shared" si="125"/>
        <v>** NOT USED **</v>
      </c>
      <c r="D280" s="623"/>
      <c r="E280" s="624"/>
      <c r="F280" s="243"/>
      <c r="G280" s="57" t="str">
        <f>IF('4b. Impact - affected (pub)'!G280&lt;&gt;"",'4b. Impact - affected (pub)'!G280,"")</f>
        <v/>
      </c>
      <c r="H280" s="243"/>
      <c r="I280" s="243"/>
      <c r="J280" s="244">
        <f t="shared" si="130"/>
        <v>0</v>
      </c>
      <c r="K280" s="62" t="str">
        <f>IF(C280&lt;&gt;MsgNotUsed,'4b. Impact - affected (pub)'!L280,"")</f>
        <v/>
      </c>
      <c r="L280" s="244">
        <f t="shared" si="131"/>
        <v>0</v>
      </c>
      <c r="M280" s="244">
        <f t="shared" si="132"/>
        <v>0</v>
      </c>
      <c r="Q280" s="516">
        <f t="shared" si="126"/>
        <v>0</v>
      </c>
      <c r="R280" s="516">
        <f t="shared" si="127"/>
        <v>0</v>
      </c>
      <c r="S280" s="394" t="str">
        <f t="shared" si="128"/>
        <v/>
      </c>
      <c r="T280" s="394" t="str">
        <f t="shared" si="129"/>
        <v/>
      </c>
    </row>
    <row r="281" spans="2:20" x14ac:dyDescent="0.2">
      <c r="B281" s="249">
        <v>8</v>
      </c>
      <c r="C281" s="622" t="str">
        <f t="shared" si="125"/>
        <v>** NOT USED **</v>
      </c>
      <c r="D281" s="623"/>
      <c r="E281" s="624"/>
      <c r="F281" s="243"/>
      <c r="G281" s="57" t="str">
        <f>IF('4b. Impact - affected (pub)'!G281&lt;&gt;"",'4b. Impact - affected (pub)'!G281,"")</f>
        <v/>
      </c>
      <c r="H281" s="243"/>
      <c r="I281" s="243"/>
      <c r="J281" s="244">
        <f t="shared" si="130"/>
        <v>0</v>
      </c>
      <c r="K281" s="62" t="str">
        <f>IF(C281&lt;&gt;MsgNotUsed,'4b. Impact - affected (pub)'!L281,"")</f>
        <v/>
      </c>
      <c r="L281" s="244">
        <f t="shared" si="131"/>
        <v>0</v>
      </c>
      <c r="M281" s="244">
        <f t="shared" si="132"/>
        <v>0</v>
      </c>
      <c r="Q281" s="516">
        <f t="shared" si="126"/>
        <v>0</v>
      </c>
      <c r="R281" s="516">
        <f t="shared" si="127"/>
        <v>0</v>
      </c>
      <c r="S281" s="394" t="str">
        <f t="shared" si="128"/>
        <v/>
      </c>
      <c r="T281" s="394" t="str">
        <f t="shared" si="129"/>
        <v/>
      </c>
    </row>
    <row r="282" spans="2:20" x14ac:dyDescent="0.2">
      <c r="B282" s="249">
        <v>9</v>
      </c>
      <c r="C282" s="622" t="str">
        <f t="shared" si="125"/>
        <v>** NOT USED **</v>
      </c>
      <c r="D282" s="623"/>
      <c r="E282" s="624"/>
      <c r="F282" s="243"/>
      <c r="G282" s="57" t="str">
        <f>IF('4b. Impact - affected (pub)'!G282&lt;&gt;"",'4b. Impact - affected (pub)'!G282,"")</f>
        <v/>
      </c>
      <c r="H282" s="243"/>
      <c r="I282" s="243"/>
      <c r="J282" s="244">
        <f t="shared" si="130"/>
        <v>0</v>
      </c>
      <c r="K282" s="62" t="str">
        <f>IF(C282&lt;&gt;MsgNotUsed,'4b. Impact - affected (pub)'!L282,"")</f>
        <v/>
      </c>
      <c r="L282" s="244">
        <f t="shared" si="131"/>
        <v>0</v>
      </c>
      <c r="M282" s="244">
        <f t="shared" si="132"/>
        <v>0</v>
      </c>
      <c r="Q282" s="516">
        <f t="shared" si="126"/>
        <v>0</v>
      </c>
      <c r="R282" s="516">
        <f t="shared" si="127"/>
        <v>0</v>
      </c>
      <c r="S282" s="394" t="str">
        <f t="shared" si="128"/>
        <v/>
      </c>
      <c r="T282" s="394" t="str">
        <f t="shared" si="129"/>
        <v/>
      </c>
    </row>
    <row r="283" spans="2:20" x14ac:dyDescent="0.2">
      <c r="B283" s="249">
        <v>10</v>
      </c>
      <c r="C283" s="622" t="str">
        <f t="shared" si="125"/>
        <v>** NOT USED **</v>
      </c>
      <c r="D283" s="623"/>
      <c r="E283" s="624"/>
      <c r="F283" s="243"/>
      <c r="G283" s="57" t="str">
        <f>IF('4b. Impact - affected (pub)'!G283&lt;&gt;"",'4b. Impact - affected (pub)'!G283,"")</f>
        <v/>
      </c>
      <c r="H283" s="243"/>
      <c r="I283" s="243"/>
      <c r="J283" s="244">
        <f t="shared" si="130"/>
        <v>0</v>
      </c>
      <c r="K283" s="62" t="str">
        <f>IF(C283&lt;&gt;MsgNotUsed,'4b. Impact - affected (pub)'!L283,"")</f>
        <v/>
      </c>
      <c r="L283" s="244">
        <f t="shared" si="131"/>
        <v>0</v>
      </c>
      <c r="M283" s="244">
        <f t="shared" si="132"/>
        <v>0</v>
      </c>
      <c r="Q283" s="516">
        <f t="shared" si="126"/>
        <v>0</v>
      </c>
      <c r="R283" s="516">
        <f t="shared" si="127"/>
        <v>0</v>
      </c>
      <c r="S283" s="394" t="str">
        <f t="shared" si="128"/>
        <v/>
      </c>
      <c r="T283" s="394" t="str">
        <f t="shared" si="129"/>
        <v/>
      </c>
    </row>
    <row r="284" spans="2:20" x14ac:dyDescent="0.2">
      <c r="B284" s="249">
        <v>11</v>
      </c>
      <c r="C284" s="622" t="str">
        <f t="shared" si="125"/>
        <v>** NOT USED **</v>
      </c>
      <c r="D284" s="623"/>
      <c r="E284" s="624"/>
      <c r="F284" s="243"/>
      <c r="G284" s="57" t="str">
        <f>IF('4b. Impact - affected (pub)'!G284&lt;&gt;"",'4b. Impact - affected (pub)'!G284,"")</f>
        <v/>
      </c>
      <c r="H284" s="243"/>
      <c r="I284" s="243"/>
      <c r="J284" s="244">
        <f t="shared" si="130"/>
        <v>0</v>
      </c>
      <c r="K284" s="62" t="str">
        <f>IF(C284&lt;&gt;MsgNotUsed,'4b. Impact - affected (pub)'!L284,"")</f>
        <v/>
      </c>
      <c r="L284" s="244">
        <f t="shared" si="131"/>
        <v>0</v>
      </c>
      <c r="M284" s="244">
        <f t="shared" si="132"/>
        <v>0</v>
      </c>
      <c r="Q284" s="516">
        <f t="shared" si="126"/>
        <v>0</v>
      </c>
      <c r="R284" s="516">
        <f t="shared" si="127"/>
        <v>0</v>
      </c>
      <c r="S284" s="394" t="str">
        <f t="shared" si="128"/>
        <v/>
      </c>
      <c r="T284" s="394" t="str">
        <f t="shared" si="129"/>
        <v/>
      </c>
    </row>
    <row r="285" spans="2:20" x14ac:dyDescent="0.2">
      <c r="B285" s="249">
        <v>12</v>
      </c>
      <c r="C285" s="622" t="str">
        <f t="shared" si="125"/>
        <v>** NOT USED **</v>
      </c>
      <c r="D285" s="623"/>
      <c r="E285" s="624"/>
      <c r="F285" s="243"/>
      <c r="G285" s="57" t="str">
        <f>IF('4b. Impact - affected (pub)'!G285&lt;&gt;"",'4b. Impact - affected (pub)'!G285,"")</f>
        <v/>
      </c>
      <c r="H285" s="243"/>
      <c r="I285" s="243"/>
      <c r="J285" s="244">
        <f t="shared" si="130"/>
        <v>0</v>
      </c>
      <c r="K285" s="62" t="str">
        <f>IF(C285&lt;&gt;MsgNotUsed,'4b. Impact - affected (pub)'!L285,"")</f>
        <v/>
      </c>
      <c r="L285" s="244">
        <f t="shared" si="131"/>
        <v>0</v>
      </c>
      <c r="M285" s="244">
        <f t="shared" si="132"/>
        <v>0</v>
      </c>
      <c r="Q285" s="516">
        <f t="shared" si="126"/>
        <v>0</v>
      </c>
      <c r="R285" s="516">
        <f t="shared" si="127"/>
        <v>0</v>
      </c>
      <c r="S285" s="394" t="str">
        <f t="shared" si="128"/>
        <v/>
      </c>
      <c r="T285" s="394" t="str">
        <f t="shared" si="129"/>
        <v/>
      </c>
    </row>
    <row r="286" spans="2:20" x14ac:dyDescent="0.2">
      <c r="B286" s="249">
        <v>13</v>
      </c>
      <c r="C286" s="622" t="str">
        <f t="shared" si="125"/>
        <v>** NOT USED **</v>
      </c>
      <c r="D286" s="623"/>
      <c r="E286" s="624"/>
      <c r="F286" s="243"/>
      <c r="G286" s="57" t="str">
        <f>IF('4b. Impact - affected (pub)'!G286&lt;&gt;"",'4b. Impact - affected (pub)'!G286,"")</f>
        <v/>
      </c>
      <c r="H286" s="243"/>
      <c r="I286" s="243"/>
      <c r="J286" s="244">
        <f t="shared" si="130"/>
        <v>0</v>
      </c>
      <c r="K286" s="62" t="str">
        <f>IF(C286&lt;&gt;MsgNotUsed,'4b. Impact - affected (pub)'!L286,"")</f>
        <v/>
      </c>
      <c r="L286" s="244">
        <f t="shared" si="131"/>
        <v>0</v>
      </c>
      <c r="M286" s="244">
        <f t="shared" si="132"/>
        <v>0</v>
      </c>
      <c r="Q286" s="516">
        <f t="shared" si="126"/>
        <v>0</v>
      </c>
      <c r="R286" s="516">
        <f t="shared" si="127"/>
        <v>0</v>
      </c>
      <c r="S286" s="394" t="str">
        <f t="shared" si="128"/>
        <v/>
      </c>
      <c r="T286" s="394" t="str">
        <f t="shared" si="129"/>
        <v/>
      </c>
    </row>
    <row r="287" spans="2:20" x14ac:dyDescent="0.2">
      <c r="B287" s="249">
        <v>14</v>
      </c>
      <c r="C287" s="622" t="str">
        <f t="shared" si="125"/>
        <v>** NOT USED **</v>
      </c>
      <c r="D287" s="623"/>
      <c r="E287" s="624"/>
      <c r="F287" s="243"/>
      <c r="G287" s="57" t="str">
        <f>IF('4b. Impact - affected (pub)'!G287&lt;&gt;"",'4b. Impact - affected (pub)'!G287,"")</f>
        <v/>
      </c>
      <c r="H287" s="243"/>
      <c r="I287" s="243"/>
      <c r="J287" s="244">
        <f t="shared" si="130"/>
        <v>0</v>
      </c>
      <c r="K287" s="62" t="str">
        <f>IF(C287&lt;&gt;MsgNotUsed,'4b. Impact - affected (pub)'!L287,"")</f>
        <v/>
      </c>
      <c r="L287" s="244">
        <f t="shared" si="131"/>
        <v>0</v>
      </c>
      <c r="M287" s="244">
        <f t="shared" si="132"/>
        <v>0</v>
      </c>
      <c r="Q287" s="516">
        <f t="shared" si="126"/>
        <v>0</v>
      </c>
      <c r="R287" s="516">
        <f t="shared" si="127"/>
        <v>0</v>
      </c>
      <c r="S287" s="394" t="str">
        <f t="shared" si="128"/>
        <v/>
      </c>
      <c r="T287" s="394" t="str">
        <f t="shared" si="129"/>
        <v/>
      </c>
    </row>
    <row r="288" spans="2:20" x14ac:dyDescent="0.2">
      <c r="B288" s="249">
        <v>15</v>
      </c>
      <c r="C288" s="622" t="str">
        <f t="shared" si="125"/>
        <v>** NOT USED **</v>
      </c>
      <c r="D288" s="623"/>
      <c r="E288" s="624"/>
      <c r="F288" s="243"/>
      <c r="G288" s="57" t="str">
        <f>IF('4b. Impact - affected (pub)'!G288&lt;&gt;"",'4b. Impact - affected (pub)'!G288,"")</f>
        <v/>
      </c>
      <c r="H288" s="243"/>
      <c r="I288" s="243"/>
      <c r="J288" s="244">
        <f t="shared" si="130"/>
        <v>0</v>
      </c>
      <c r="K288" s="62" t="str">
        <f>IF(C288&lt;&gt;MsgNotUsed,'4b. Impact - affected (pub)'!L288,"")</f>
        <v/>
      </c>
      <c r="L288" s="244">
        <f t="shared" si="131"/>
        <v>0</v>
      </c>
      <c r="M288" s="244">
        <f t="shared" si="132"/>
        <v>0</v>
      </c>
      <c r="Q288" s="516">
        <f t="shared" si="126"/>
        <v>0</v>
      </c>
      <c r="R288" s="516">
        <f t="shared" si="127"/>
        <v>0</v>
      </c>
      <c r="S288" s="394" t="str">
        <f t="shared" si="128"/>
        <v/>
      </c>
      <c r="T288" s="394" t="str">
        <f t="shared" si="129"/>
        <v/>
      </c>
    </row>
    <row r="289" spans="2:20" x14ac:dyDescent="0.2">
      <c r="B289" s="249">
        <v>16</v>
      </c>
      <c r="C289" s="622" t="str">
        <f t="shared" si="125"/>
        <v>** NOT USED **</v>
      </c>
      <c r="D289" s="623"/>
      <c r="E289" s="624"/>
      <c r="F289" s="243"/>
      <c r="G289" s="57" t="str">
        <f>IF('4b. Impact - affected (pub)'!G289&lt;&gt;"",'4b. Impact - affected (pub)'!G289,"")</f>
        <v/>
      </c>
      <c r="H289" s="243"/>
      <c r="I289" s="243"/>
      <c r="J289" s="244">
        <f t="shared" si="130"/>
        <v>0</v>
      </c>
      <c r="K289" s="62" t="str">
        <f>IF(C289&lt;&gt;MsgNotUsed,'4b. Impact - affected (pub)'!L289,"")</f>
        <v/>
      </c>
      <c r="L289" s="244">
        <f t="shared" si="131"/>
        <v>0</v>
      </c>
      <c r="M289" s="244">
        <f t="shared" si="132"/>
        <v>0</v>
      </c>
      <c r="Q289" s="516">
        <f t="shared" si="126"/>
        <v>0</v>
      </c>
      <c r="R289" s="516">
        <f t="shared" si="127"/>
        <v>0</v>
      </c>
      <c r="S289" s="394" t="str">
        <f t="shared" si="128"/>
        <v/>
      </c>
      <c r="T289" s="394" t="str">
        <f t="shared" si="129"/>
        <v/>
      </c>
    </row>
    <row r="290" spans="2:20" x14ac:dyDescent="0.2">
      <c r="B290" s="249">
        <v>17</v>
      </c>
      <c r="C290" s="622" t="str">
        <f t="shared" si="125"/>
        <v>** NOT USED **</v>
      </c>
      <c r="D290" s="623"/>
      <c r="E290" s="624"/>
      <c r="F290" s="243"/>
      <c r="G290" s="57" t="str">
        <f>IF('4b. Impact - affected (pub)'!G290&lt;&gt;"",'4b. Impact - affected (pub)'!G290,"")</f>
        <v/>
      </c>
      <c r="H290" s="243"/>
      <c r="I290" s="243"/>
      <c r="J290" s="244">
        <f t="shared" si="130"/>
        <v>0</v>
      </c>
      <c r="K290" s="62" t="str">
        <f>IF(C290&lt;&gt;MsgNotUsed,'4b. Impact - affected (pub)'!L290,"")</f>
        <v/>
      </c>
      <c r="L290" s="244">
        <f t="shared" si="131"/>
        <v>0</v>
      </c>
      <c r="M290" s="244">
        <f t="shared" si="132"/>
        <v>0</v>
      </c>
      <c r="Q290" s="516">
        <f t="shared" si="126"/>
        <v>0</v>
      </c>
      <c r="R290" s="516">
        <f t="shared" si="127"/>
        <v>0</v>
      </c>
      <c r="S290" s="394" t="str">
        <f t="shared" si="128"/>
        <v/>
      </c>
      <c r="T290" s="394" t="str">
        <f t="shared" si="129"/>
        <v/>
      </c>
    </row>
    <row r="291" spans="2:20" x14ac:dyDescent="0.2">
      <c r="B291" s="249">
        <v>18</v>
      </c>
      <c r="C291" s="622" t="str">
        <f t="shared" si="125"/>
        <v>** NOT USED **</v>
      </c>
      <c r="D291" s="623"/>
      <c r="E291" s="624"/>
      <c r="F291" s="243"/>
      <c r="G291" s="57" t="str">
        <f>IF('4b. Impact - affected (pub)'!G291&lt;&gt;"",'4b. Impact - affected (pub)'!G291,"")</f>
        <v/>
      </c>
      <c r="H291" s="243"/>
      <c r="I291" s="243"/>
      <c r="J291" s="244">
        <f t="shared" si="130"/>
        <v>0</v>
      </c>
      <c r="K291" s="62" t="str">
        <f>IF(C291&lt;&gt;MsgNotUsed,'4b. Impact - affected (pub)'!L291,"")</f>
        <v/>
      </c>
      <c r="L291" s="244">
        <f t="shared" si="131"/>
        <v>0</v>
      </c>
      <c r="M291" s="244">
        <f t="shared" si="132"/>
        <v>0</v>
      </c>
      <c r="Q291" s="516">
        <f t="shared" si="126"/>
        <v>0</v>
      </c>
      <c r="R291" s="516">
        <f t="shared" si="127"/>
        <v>0</v>
      </c>
      <c r="S291" s="394" t="str">
        <f t="shared" si="128"/>
        <v/>
      </c>
      <c r="T291" s="394" t="str">
        <f t="shared" si="129"/>
        <v/>
      </c>
    </row>
    <row r="292" spans="2:20" x14ac:dyDescent="0.2">
      <c r="B292" s="249">
        <v>19</v>
      </c>
      <c r="C292" s="622" t="str">
        <f t="shared" si="125"/>
        <v>** NOT USED **</v>
      </c>
      <c r="D292" s="623"/>
      <c r="E292" s="624"/>
      <c r="F292" s="243"/>
      <c r="G292" s="57" t="str">
        <f>IF('4b. Impact - affected (pub)'!G292&lt;&gt;"",'4b. Impact - affected (pub)'!G292,"")</f>
        <v/>
      </c>
      <c r="H292" s="243"/>
      <c r="I292" s="243"/>
      <c r="J292" s="244">
        <f t="shared" si="130"/>
        <v>0</v>
      </c>
      <c r="K292" s="62" t="str">
        <f>IF(C292&lt;&gt;MsgNotUsed,'4b. Impact - affected (pub)'!L292,"")</f>
        <v/>
      </c>
      <c r="L292" s="244">
        <f t="shared" si="131"/>
        <v>0</v>
      </c>
      <c r="M292" s="244">
        <f t="shared" si="132"/>
        <v>0</v>
      </c>
      <c r="Q292" s="516">
        <f t="shared" si="126"/>
        <v>0</v>
      </c>
      <c r="R292" s="516">
        <f t="shared" si="127"/>
        <v>0</v>
      </c>
      <c r="S292" s="394" t="str">
        <f t="shared" si="128"/>
        <v/>
      </c>
      <c r="T292" s="394" t="str">
        <f t="shared" si="129"/>
        <v/>
      </c>
    </row>
    <row r="293" spans="2:20" x14ac:dyDescent="0.2">
      <c r="B293" s="249">
        <v>20</v>
      </c>
      <c r="C293" s="622" t="str">
        <f t="shared" si="125"/>
        <v>** NOT USED **</v>
      </c>
      <c r="D293" s="623"/>
      <c r="E293" s="624"/>
      <c r="F293" s="243"/>
      <c r="G293" s="57" t="str">
        <f>IF('4b. Impact - affected (pub)'!G293&lt;&gt;"",'4b. Impact - affected (pub)'!G293,"")</f>
        <v/>
      </c>
      <c r="H293" s="243"/>
      <c r="I293" s="243"/>
      <c r="J293" s="244">
        <f t="shared" si="130"/>
        <v>0</v>
      </c>
      <c r="K293" s="62" t="str">
        <f>IF(C293&lt;&gt;MsgNotUsed,'4b. Impact - affected (pub)'!L293,"")</f>
        <v/>
      </c>
      <c r="L293" s="244">
        <f t="shared" si="131"/>
        <v>0</v>
      </c>
      <c r="M293" s="244">
        <f t="shared" si="132"/>
        <v>0</v>
      </c>
      <c r="Q293" s="516">
        <f t="shared" si="126"/>
        <v>0</v>
      </c>
      <c r="R293" s="516">
        <f t="shared" si="127"/>
        <v>0</v>
      </c>
      <c r="S293" s="394" t="str">
        <f t="shared" si="128"/>
        <v/>
      </c>
      <c r="T293" s="394" t="str">
        <f t="shared" si="129"/>
        <v/>
      </c>
    </row>
    <row r="294" spans="2:20" x14ac:dyDescent="0.2">
      <c r="S294" s="518">
        <f>SUM(S274:S293)</f>
        <v>0</v>
      </c>
    </row>
    <row r="295" spans="2:20" x14ac:dyDescent="0.2">
      <c r="F295" s="455"/>
    </row>
    <row r="296" spans="2:20" ht="15.75" x14ac:dyDescent="0.2">
      <c r="C296" s="111" t="s">
        <v>851</v>
      </c>
      <c r="D296" s="111"/>
      <c r="E296" s="111"/>
      <c r="F296" s="137"/>
      <c r="G296" s="112"/>
      <c r="H296" s="112"/>
      <c r="I296" s="112"/>
      <c r="J296" s="112"/>
      <c r="K296" s="113"/>
      <c r="L296" s="113"/>
      <c r="M296" s="113"/>
      <c r="N296" s="113"/>
    </row>
    <row r="297" spans="2:20" x14ac:dyDescent="0.2">
      <c r="C297" s="484"/>
      <c r="D297" s="484"/>
      <c r="E297" s="484"/>
      <c r="F297" s="484"/>
      <c r="G297" s="484"/>
      <c r="H297" s="484"/>
      <c r="I297" s="484"/>
      <c r="J297" s="484"/>
      <c r="K297" s="484"/>
      <c r="L297" s="484"/>
      <c r="M297" s="484"/>
      <c r="N297" s="484"/>
    </row>
    <row r="298" spans="2:20" x14ac:dyDescent="0.2">
      <c r="C298" s="484" t="s">
        <v>861</v>
      </c>
      <c r="D298" s="484"/>
      <c r="E298" s="484"/>
      <c r="F298" s="484"/>
      <c r="G298" s="484"/>
      <c r="H298" s="484"/>
      <c r="I298" s="484"/>
      <c r="J298" s="484"/>
      <c r="K298" s="484"/>
      <c r="L298" s="484"/>
    </row>
  </sheetData>
  <mergeCells count="63">
    <mergeCell ref="C289:E289"/>
    <mergeCell ref="C290:E290"/>
    <mergeCell ref="C291:E291"/>
    <mergeCell ref="C292:E292"/>
    <mergeCell ref="C293:E293"/>
    <mergeCell ref="C284:E284"/>
    <mergeCell ref="C285:E285"/>
    <mergeCell ref="C286:E286"/>
    <mergeCell ref="C287:E287"/>
    <mergeCell ref="C288:E288"/>
    <mergeCell ref="C276:E276"/>
    <mergeCell ref="C273:E273"/>
    <mergeCell ref="C274:E274"/>
    <mergeCell ref="C275:E275"/>
    <mergeCell ref="K32:M32"/>
    <mergeCell ref="K44:M44"/>
    <mergeCell ref="K56:M56"/>
    <mergeCell ref="K68:M68"/>
    <mergeCell ref="K80:M80"/>
    <mergeCell ref="H272:J272"/>
    <mergeCell ref="K92:M92"/>
    <mergeCell ref="K104:M104"/>
    <mergeCell ref="K116:M116"/>
    <mergeCell ref="K128:M128"/>
    <mergeCell ref="K140:M140"/>
    <mergeCell ref="K260:M260"/>
    <mergeCell ref="C283:E283"/>
    <mergeCell ref="C277:E277"/>
    <mergeCell ref="C278:E278"/>
    <mergeCell ref="C279:E279"/>
    <mergeCell ref="C280:E280"/>
    <mergeCell ref="C281:E281"/>
    <mergeCell ref="C282:E282"/>
    <mergeCell ref="L1:N1"/>
    <mergeCell ref="K212:M212"/>
    <mergeCell ref="K224:M224"/>
    <mergeCell ref="K236:M236"/>
    <mergeCell ref="K248:M248"/>
    <mergeCell ref="K152:M152"/>
    <mergeCell ref="K164:M164"/>
    <mergeCell ref="K176:M176"/>
    <mergeCell ref="K188:M188"/>
    <mergeCell ref="K200:M200"/>
    <mergeCell ref="L28:M28"/>
    <mergeCell ref="L40:M40"/>
    <mergeCell ref="L52:M52"/>
    <mergeCell ref="L64:M64"/>
    <mergeCell ref="L76:M76"/>
    <mergeCell ref="L88:M88"/>
    <mergeCell ref="L100:M100"/>
    <mergeCell ref="L112:M112"/>
    <mergeCell ref="L124:M124"/>
    <mergeCell ref="L136:M136"/>
    <mergeCell ref="L148:M148"/>
    <mergeCell ref="L220:M220"/>
    <mergeCell ref="L232:M232"/>
    <mergeCell ref="L244:M244"/>
    <mergeCell ref="L256:M256"/>
    <mergeCell ref="L160:M160"/>
    <mergeCell ref="L172:M172"/>
    <mergeCell ref="L184:M184"/>
    <mergeCell ref="L196:M196"/>
    <mergeCell ref="L208:M208"/>
  </mergeCells>
  <conditionalFormatting sqref="F274:I293">
    <cfRule type="expression" dxfId="57" priority="2">
      <formula>$C274=MsgNotUsed</formula>
    </cfRule>
  </conditionalFormatting>
  <conditionalFormatting sqref="H272:J272">
    <cfRule type="notContainsBlanks" dxfId="56" priority="44">
      <formula>LEN(TRIM(H272))&gt;0</formula>
    </cfRule>
  </conditionalFormatting>
  <conditionalFormatting sqref="I273">
    <cfRule type="expression" dxfId="55" priority="43">
      <formula>$S$294=0</formula>
    </cfRule>
  </conditionalFormatting>
  <conditionalFormatting sqref="I274:I293">
    <cfRule type="expression" dxfId="54" priority="1">
      <formula>$S274=0</formula>
    </cfRule>
    <cfRule type="expression" dxfId="53" priority="184">
      <formula>SplitPPMarket&lt;&gt;"Y"</formula>
    </cfRule>
  </conditionalFormatting>
  <conditionalFormatting sqref="K32:N32">
    <cfRule type="notContainsBlanks" dxfId="52" priority="85">
      <formula>LEN(TRIM(K32))&gt;0</formula>
    </cfRule>
  </conditionalFormatting>
  <conditionalFormatting sqref="K44:N44">
    <cfRule type="notContainsBlanks" dxfId="51" priority="21">
      <formula>LEN(TRIM(K44))&gt;0</formula>
    </cfRule>
  </conditionalFormatting>
  <conditionalFormatting sqref="K56:N56">
    <cfRule type="notContainsBlanks" dxfId="50" priority="20">
      <formula>LEN(TRIM(K56))&gt;0</formula>
    </cfRule>
  </conditionalFormatting>
  <conditionalFormatting sqref="K68:N68">
    <cfRule type="notContainsBlanks" dxfId="49" priority="19">
      <formula>LEN(TRIM(K68))&gt;0</formula>
    </cfRule>
  </conditionalFormatting>
  <conditionalFormatting sqref="K80:N80">
    <cfRule type="notContainsBlanks" dxfId="48" priority="18">
      <formula>LEN(TRIM(K80))&gt;0</formula>
    </cfRule>
  </conditionalFormatting>
  <conditionalFormatting sqref="K92:N92">
    <cfRule type="notContainsBlanks" dxfId="47" priority="17">
      <formula>LEN(TRIM(K92))&gt;0</formula>
    </cfRule>
  </conditionalFormatting>
  <conditionalFormatting sqref="K104:N104">
    <cfRule type="notContainsBlanks" dxfId="46" priority="16">
      <formula>LEN(TRIM(K104))&gt;0</formula>
    </cfRule>
  </conditionalFormatting>
  <conditionalFormatting sqref="K116:N116">
    <cfRule type="notContainsBlanks" dxfId="45" priority="15">
      <formula>LEN(TRIM(K116))&gt;0</formula>
    </cfRule>
  </conditionalFormatting>
  <conditionalFormatting sqref="K128:N128">
    <cfRule type="notContainsBlanks" dxfId="44" priority="14">
      <formula>LEN(TRIM(K128))&gt;0</formula>
    </cfRule>
  </conditionalFormatting>
  <conditionalFormatting sqref="K140:N140">
    <cfRule type="notContainsBlanks" dxfId="43" priority="13">
      <formula>LEN(TRIM(K140))&gt;0</formula>
    </cfRule>
  </conditionalFormatting>
  <conditionalFormatting sqref="K152:N152">
    <cfRule type="notContainsBlanks" dxfId="42" priority="12">
      <formula>LEN(TRIM(K152))&gt;0</formula>
    </cfRule>
  </conditionalFormatting>
  <conditionalFormatting sqref="K164:N164">
    <cfRule type="notContainsBlanks" dxfId="41" priority="11">
      <formula>LEN(TRIM(K164))&gt;0</formula>
    </cfRule>
  </conditionalFormatting>
  <conditionalFormatting sqref="K176:N176">
    <cfRule type="notContainsBlanks" dxfId="40" priority="10">
      <formula>LEN(TRIM(K176))&gt;0</formula>
    </cfRule>
  </conditionalFormatting>
  <conditionalFormatting sqref="K188:N188">
    <cfRule type="notContainsBlanks" dxfId="39" priority="9">
      <formula>LEN(TRIM(K188))&gt;0</formula>
    </cfRule>
  </conditionalFormatting>
  <conditionalFormatting sqref="K200:N200">
    <cfRule type="notContainsBlanks" dxfId="38" priority="8">
      <formula>LEN(TRIM(K200))&gt;0</formula>
    </cfRule>
  </conditionalFormatting>
  <conditionalFormatting sqref="K212:N212">
    <cfRule type="notContainsBlanks" dxfId="37" priority="7">
      <formula>LEN(TRIM(K212))&gt;0</formula>
    </cfRule>
  </conditionalFormatting>
  <conditionalFormatting sqref="K224:N224">
    <cfRule type="notContainsBlanks" dxfId="36" priority="6">
      <formula>LEN(TRIM(K224))&gt;0</formula>
    </cfRule>
  </conditionalFormatting>
  <conditionalFormatting sqref="K236:N236">
    <cfRule type="notContainsBlanks" dxfId="35" priority="5">
      <formula>LEN(TRIM(K236))&gt;0</formula>
    </cfRule>
  </conditionalFormatting>
  <conditionalFormatting sqref="K248:N248">
    <cfRule type="notContainsBlanks" dxfId="34" priority="4">
      <formula>LEN(TRIM(K248))&gt;0</formula>
    </cfRule>
  </conditionalFormatting>
  <conditionalFormatting sqref="K260:N260">
    <cfRule type="notContainsBlanks" dxfId="33" priority="3">
      <formula>LEN(TRIM(K260))&gt;0</formula>
    </cfRule>
  </conditionalFormatting>
  <dataValidations count="1">
    <dataValidation allowBlank="1" showErrorMessage="1" sqref="D60:I62 D36:I38 D127:I129 D48:I50 D55:I57 D31:I34 D67:I69 D264:I266 D120:I122 D72:I74 D79:I81 D84:I86 D91:I93 D96:I98 D103:I105 D108:I110 D115:I117 D43:I45 D223:I225 D139:I141 D15:I17 F58:I58 D132:I134 D24:I24 D228:I230 D144:I146 D151:I153 D156:I158 D235:I237 D240:I242 D163:I165 D168:I170 D175:I177 D180:I182 D187:I189 D192:I194 D199:I201 D204:I206 D211:I213 D216:I218 D247:I249 D252:I254 D259:I261 D20:I22 J58:N62" xr:uid="{00000000-0002-0000-0C00-000000000000}"/>
  </dataValidations>
  <pageMargins left="0.11811023622047245" right="0.11811023622047245" top="0.19685039370078741" bottom="0.15748031496062992" header="0.31496062992125984" footer="0.31496062992125984"/>
  <pageSetup paperSize="9" scale="47" orientation="landscape" horizontalDpi="300" verticalDpi="300" r:id="rId1"/>
  <headerFooter>
    <oddHeader>&amp;C&amp;"Calibri"&amp;12&amp;KFF0000 OFFICIAL&amp;1#_x000D_</oddHeader>
    <oddFooter>&amp;C_x000D_&amp;1#&amp;"Calibri"&amp;12&amp;KFF0000 OFFICIAL</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17">
    <tabColor theme="4"/>
    <pageSetUpPr fitToPage="1"/>
  </sheetPr>
  <dimension ref="A1:M43"/>
  <sheetViews>
    <sheetView showGridLines="0" zoomScaleNormal="100" workbookViewId="0">
      <pane ySplit="3" topLeftCell="A4" activePane="bottomLeft" state="frozen"/>
      <selection activeCell="B7" sqref="B7:G7"/>
      <selection pane="bottomLeft" activeCell="A4" sqref="A4"/>
    </sheetView>
  </sheetViews>
  <sheetFormatPr defaultRowHeight="12.75" customHeight="1" x14ac:dyDescent="0.2"/>
  <cols>
    <col min="1" max="1" width="3.7109375" customWidth="1"/>
    <col min="2" max="2" width="20.7109375" customWidth="1"/>
    <col min="3" max="10" width="15.7109375" customWidth="1"/>
    <col min="11" max="11" width="15.7109375" hidden="1" customWidth="1"/>
    <col min="12" max="12" width="20.7109375" customWidth="1"/>
    <col min="13" max="13" width="25.7109375" customWidth="1"/>
  </cols>
  <sheetData>
    <row r="1" spans="1:13" ht="23.25" x14ac:dyDescent="0.2">
      <c r="A1" s="284">
        <f>IF((SUM(C17:H17)+SUM(C22:H22)&lt;&gt;0),2,0)</f>
        <v>0</v>
      </c>
      <c r="B1" s="281" t="s">
        <v>926</v>
      </c>
      <c r="C1" s="281"/>
      <c r="D1" s="281"/>
      <c r="E1" s="280"/>
      <c r="F1" s="280"/>
      <c r="G1" s="280"/>
      <c r="H1" s="280"/>
      <c r="I1" s="280"/>
      <c r="J1" s="280"/>
      <c r="K1" s="280"/>
      <c r="L1" s="285" t="s">
        <v>45</v>
      </c>
      <c r="M1" s="286" t="str">
        <f>IF(K17=0,"Nil",IF(K19="HS","High save",IF(K19="HC","High cost",IF(K17&lt;0,"Minor save",IF(K17&gt;0,"Minor cost")))))</f>
        <v>Nil</v>
      </c>
    </row>
    <row r="2" spans="1:13" ht="23.25" x14ac:dyDescent="0.2">
      <c r="A2" s="280"/>
      <c r="B2" s="282" t="str">
        <f>CONCATENATE("Name of medicine: ", MedicineBrand)</f>
        <v xml:space="preserve">Name of medicine: </v>
      </c>
      <c r="C2" s="283"/>
      <c r="D2" s="283"/>
      <c r="E2" s="280"/>
      <c r="F2" s="280"/>
      <c r="G2" s="280"/>
      <c r="H2" s="280"/>
      <c r="I2" s="280"/>
      <c r="J2" s="280"/>
      <c r="K2" s="280"/>
      <c r="L2" s="285" t="s">
        <v>47</v>
      </c>
      <c r="M2" s="286" t="str">
        <f>IF(K22=0,"Nil",IF(K22&lt;0,"Save",IF(K22&gt;0,"Cost")))</f>
        <v>Nil</v>
      </c>
    </row>
    <row r="3" spans="1:13" ht="15.75" x14ac:dyDescent="0.2">
      <c r="A3" s="280"/>
      <c r="B3" s="282" t="str">
        <f>CONCATENATE("Indication: ",Indication)</f>
        <v xml:space="preserve">Indication: </v>
      </c>
      <c r="C3" s="283"/>
      <c r="D3" s="283"/>
      <c r="E3" s="280"/>
      <c r="F3" s="280"/>
      <c r="G3" s="280"/>
      <c r="H3" s="280"/>
      <c r="I3" s="280"/>
      <c r="J3" s="280"/>
      <c r="K3" s="280"/>
      <c r="L3" s="280"/>
      <c r="M3" s="280"/>
    </row>
    <row r="4" spans="1:13" x14ac:dyDescent="0.2">
      <c r="A4" s="319"/>
      <c r="B4" s="461"/>
      <c r="C4" s="461"/>
      <c r="D4" s="461"/>
      <c r="E4" s="319"/>
      <c r="F4" s="319"/>
      <c r="G4" s="319"/>
      <c r="H4" s="319"/>
      <c r="I4" s="319"/>
      <c r="J4" s="319"/>
      <c r="K4" s="319"/>
      <c r="L4" s="319"/>
      <c r="M4" s="319"/>
    </row>
    <row r="5" spans="1:13" ht="15.75" x14ac:dyDescent="0.2">
      <c r="A5" s="110"/>
      <c r="B5" s="111" t="s">
        <v>2</v>
      </c>
      <c r="C5" s="111"/>
      <c r="D5" s="111"/>
      <c r="E5" s="126"/>
      <c r="F5" s="113"/>
      <c r="G5" s="113"/>
      <c r="H5" s="113"/>
      <c r="I5" s="113"/>
      <c r="J5" s="110"/>
      <c r="K5" s="110"/>
      <c r="L5" s="110"/>
      <c r="M5" s="110"/>
    </row>
    <row r="6" spans="1:13" ht="14.25" x14ac:dyDescent="0.2">
      <c r="B6" s="449"/>
      <c r="C6" s="449"/>
      <c r="D6" s="449"/>
      <c r="E6" s="455"/>
    </row>
    <row r="7" spans="1:13" x14ac:dyDescent="0.2">
      <c r="B7" t="s">
        <v>227</v>
      </c>
    </row>
    <row r="8" spans="1:13" x14ac:dyDescent="0.2"/>
    <row r="9" spans="1:13" x14ac:dyDescent="0.2"/>
    <row r="10" spans="1:13" ht="15.75" x14ac:dyDescent="0.2">
      <c r="B10" s="111" t="s">
        <v>228</v>
      </c>
      <c r="C10" s="111"/>
      <c r="D10" s="111"/>
      <c r="E10" s="126"/>
      <c r="F10" s="113"/>
      <c r="G10" s="113"/>
      <c r="H10" s="113"/>
      <c r="I10" s="113"/>
      <c r="J10" s="136"/>
      <c r="K10" s="136"/>
      <c r="L10" s="136"/>
      <c r="M10" s="136"/>
    </row>
    <row r="11" spans="1:13" ht="15.75" x14ac:dyDescent="0.2">
      <c r="B11" s="454"/>
      <c r="C11" s="454"/>
      <c r="D11" s="454"/>
      <c r="E11" s="455"/>
    </row>
    <row r="12" spans="1:13" x14ac:dyDescent="0.2">
      <c r="B12" s="172" t="s">
        <v>295</v>
      </c>
      <c r="C12" s="172"/>
      <c r="D12" s="172"/>
      <c r="E12" s="172"/>
      <c r="F12" s="172"/>
      <c r="G12" s="172"/>
      <c r="H12" s="172"/>
      <c r="I12" s="172"/>
      <c r="J12" s="172"/>
      <c r="K12" s="172"/>
      <c r="L12" s="172"/>
      <c r="M12" s="172"/>
    </row>
    <row r="13" spans="1:13" x14ac:dyDescent="0.2">
      <c r="B13" s="456"/>
      <c r="C13" s="456"/>
      <c r="D13" s="456"/>
      <c r="K13" s="125" t="s">
        <v>0</v>
      </c>
      <c r="L13" s="456"/>
      <c r="M13" s="456"/>
    </row>
    <row r="14" spans="1:13" ht="15" x14ac:dyDescent="0.2">
      <c r="B14" s="458" t="s">
        <v>0</v>
      </c>
      <c r="C14" s="74">
        <f>FirstYear</f>
        <v>2026</v>
      </c>
      <c r="D14" s="74">
        <f>C14+1</f>
        <v>2027</v>
      </c>
      <c r="E14" s="74">
        <f>D14+1</f>
        <v>2028</v>
      </c>
      <c r="F14" s="74">
        <f>E14+1</f>
        <v>2029</v>
      </c>
      <c r="G14" s="74">
        <f>F14+1</f>
        <v>2030</v>
      </c>
      <c r="H14" s="74">
        <f>G14+1</f>
        <v>2031</v>
      </c>
      <c r="K14" s="140" t="s">
        <v>254</v>
      </c>
      <c r="M14" s="456"/>
    </row>
    <row r="15" spans="1:13" x14ac:dyDescent="0.2">
      <c r="B15" s="76" t="s">
        <v>229</v>
      </c>
      <c r="C15" s="239">
        <f>'3b. Impact - proposed (pub)'!D17</f>
        <v>0</v>
      </c>
      <c r="D15" s="239">
        <f>'3b. Impact - proposed (pub)'!E17</f>
        <v>0</v>
      </c>
      <c r="E15" s="239">
        <f>'3b. Impact - proposed (pub)'!F17</f>
        <v>0</v>
      </c>
      <c r="F15" s="239">
        <f>'3b. Impact - proposed (pub)'!G17</f>
        <v>0</v>
      </c>
      <c r="G15" s="239">
        <f>'3b. Impact - proposed (pub)'!H17</f>
        <v>0</v>
      </c>
      <c r="H15" s="239">
        <f>'3b. Impact - proposed (pub)'!I17</f>
        <v>0</v>
      </c>
      <c r="K15" s="141">
        <v>20</v>
      </c>
    </row>
    <row r="16" spans="1:13" x14ac:dyDescent="0.2">
      <c r="B16" s="3" t="s">
        <v>230</v>
      </c>
      <c r="C16" s="239">
        <f>'4b. Impact - affected (pub)'!D17</f>
        <v>0</v>
      </c>
      <c r="D16" s="239">
        <f>'4b. Impact - affected (pub)'!E17</f>
        <v>0</v>
      </c>
      <c r="E16" s="239">
        <f>'4b. Impact - affected (pub)'!F17</f>
        <v>0</v>
      </c>
      <c r="F16" s="239">
        <f>'4b. Impact - affected (pub)'!G17</f>
        <v>0</v>
      </c>
      <c r="G16" s="239">
        <f>'4b. Impact - affected (pub)'!H17</f>
        <v>0</v>
      </c>
      <c r="H16" s="239">
        <f>'4b. Impact - affected (pub)'!I17</f>
        <v>0</v>
      </c>
      <c r="K16" s="140" t="s">
        <v>255</v>
      </c>
    </row>
    <row r="17" spans="2:11" x14ac:dyDescent="0.2">
      <c r="B17" s="3" t="s">
        <v>85</v>
      </c>
      <c r="C17" s="240">
        <f t="shared" ref="C17:H17" si="0">C15+C16</f>
        <v>0</v>
      </c>
      <c r="D17" s="240">
        <f t="shared" si="0"/>
        <v>0</v>
      </c>
      <c r="E17" s="240">
        <f t="shared" si="0"/>
        <v>0</v>
      </c>
      <c r="F17" s="240">
        <f t="shared" si="0"/>
        <v>0</v>
      </c>
      <c r="G17" s="240">
        <f t="shared" si="0"/>
        <v>0</v>
      </c>
      <c r="H17" s="240">
        <f t="shared" si="0"/>
        <v>0</v>
      </c>
      <c r="K17" s="211">
        <f>SUM(C35:G35)</f>
        <v>0</v>
      </c>
    </row>
    <row r="18" spans="2:11" x14ac:dyDescent="0.2">
      <c r="B18" s="457"/>
      <c r="C18" s="457"/>
      <c r="D18" s="457"/>
      <c r="E18" s="31"/>
      <c r="F18" s="31"/>
      <c r="G18" s="31"/>
      <c r="H18" s="31"/>
      <c r="I18" s="31"/>
      <c r="J18" s="31"/>
      <c r="K18" s="140" t="s">
        <v>256</v>
      </c>
    </row>
    <row r="19" spans="2:11" ht="15" x14ac:dyDescent="0.2">
      <c r="B19" s="458" t="s">
        <v>1</v>
      </c>
      <c r="C19" s="74">
        <f>FirstYear</f>
        <v>2026</v>
      </c>
      <c r="D19" s="74">
        <f>C19+1</f>
        <v>2027</v>
      </c>
      <c r="E19" s="74">
        <f>D19+1</f>
        <v>2028</v>
      </c>
      <c r="F19" s="74">
        <f>E19+1</f>
        <v>2029</v>
      </c>
      <c r="G19" s="74">
        <f>F19+1</f>
        <v>2030</v>
      </c>
      <c r="H19" s="74">
        <f>G19+1</f>
        <v>2031</v>
      </c>
      <c r="K19" s="142" t="str">
        <f>IF(OR(C35&gt;K15,D35&gt;K15,E35&gt;K15,F35&gt;K15,G35&gt;K15),"HC",IF(OR(C35&lt;-K15,D35&lt;-K15,E35&lt;-K15,F35&lt;-K15,G35&lt;-K15),"HS","X"))</f>
        <v>X</v>
      </c>
    </row>
    <row r="20" spans="2:11" x14ac:dyDescent="0.2">
      <c r="B20" s="76" t="s">
        <v>229</v>
      </c>
      <c r="C20" s="238">
        <f>'3b. Impact - proposed (pub)'!D22</f>
        <v>0</v>
      </c>
      <c r="D20" s="238">
        <f>'3b. Impact - proposed (pub)'!E22</f>
        <v>0</v>
      </c>
      <c r="E20" s="238">
        <f>'3b. Impact - proposed (pub)'!F22</f>
        <v>0</v>
      </c>
      <c r="F20" s="238">
        <f>'3b. Impact - proposed (pub)'!G22</f>
        <v>0</v>
      </c>
      <c r="G20" s="238">
        <f>'3b. Impact - proposed (pub)'!H22</f>
        <v>0</v>
      </c>
      <c r="H20" s="238">
        <f>'3b. Impact - proposed (pub)'!I22</f>
        <v>0</v>
      </c>
      <c r="K20" s="1"/>
    </row>
    <row r="21" spans="2:11" x14ac:dyDescent="0.2">
      <c r="B21" s="3" t="s">
        <v>230</v>
      </c>
      <c r="C21" s="238">
        <f>'4b. Impact - affected (pub)'!D22</f>
        <v>0</v>
      </c>
      <c r="D21" s="238">
        <f>'4b. Impact - affected (pub)'!E22</f>
        <v>0</v>
      </c>
      <c r="E21" s="238">
        <f>'4b. Impact - affected (pub)'!F22</f>
        <v>0</v>
      </c>
      <c r="F21" s="238">
        <f>'4b. Impact - affected (pub)'!G22</f>
        <v>0</v>
      </c>
      <c r="G21" s="238">
        <f>'4b. Impact - affected (pub)'!H22</f>
        <v>0</v>
      </c>
      <c r="H21" s="238">
        <f>'4b. Impact - affected (pub)'!I22</f>
        <v>0</v>
      </c>
      <c r="K21" s="125" t="s">
        <v>1</v>
      </c>
    </row>
    <row r="22" spans="2:11" x14ac:dyDescent="0.2">
      <c r="B22" s="3" t="s">
        <v>86</v>
      </c>
      <c r="C22" s="240">
        <f t="shared" ref="C22:H22" si="1">C20+C21</f>
        <v>0</v>
      </c>
      <c r="D22" s="240">
        <f t="shared" si="1"/>
        <v>0</v>
      </c>
      <c r="E22" s="240">
        <f t="shared" si="1"/>
        <v>0</v>
      </c>
      <c r="F22" s="240">
        <f t="shared" si="1"/>
        <v>0</v>
      </c>
      <c r="G22" s="240">
        <f t="shared" si="1"/>
        <v>0</v>
      </c>
      <c r="H22" s="240">
        <f t="shared" si="1"/>
        <v>0</v>
      </c>
      <c r="K22" s="212">
        <f>SUM(C41:G41)</f>
        <v>0</v>
      </c>
    </row>
    <row r="24" spans="2:11" x14ac:dyDescent="0.2">
      <c r="B24" s="233" t="s">
        <v>832</v>
      </c>
      <c r="C24" s="241">
        <f t="shared" ref="C24:H24" si="2">C22+C17</f>
        <v>0</v>
      </c>
      <c r="D24" s="241">
        <f t="shared" si="2"/>
        <v>0</v>
      </c>
      <c r="E24" s="241">
        <f t="shared" si="2"/>
        <v>0</v>
      </c>
      <c r="F24" s="241">
        <f t="shared" si="2"/>
        <v>0</v>
      </c>
      <c r="G24" s="241">
        <f t="shared" si="2"/>
        <v>0</v>
      </c>
      <c r="H24" s="241">
        <f t="shared" si="2"/>
        <v>0</v>
      </c>
    </row>
    <row r="25" spans="2:11" x14ac:dyDescent="0.2">
      <c r="B25" s="457"/>
      <c r="C25" s="457"/>
      <c r="D25" s="457"/>
      <c r="E25" s="31"/>
      <c r="F25" s="31"/>
      <c r="G25" s="31"/>
      <c r="H25" s="31"/>
      <c r="I25" s="31"/>
      <c r="J25" s="31"/>
      <c r="K25" s="213">
        <f>'0. Title'!B23</f>
        <v>0</v>
      </c>
    </row>
    <row r="26" spans="2:11" x14ac:dyDescent="0.2">
      <c r="B26" s="457"/>
      <c r="C26" s="457"/>
      <c r="D26" s="457"/>
      <c r="E26" s="31"/>
      <c r="F26" s="31"/>
      <c r="G26" s="31"/>
      <c r="H26" s="31"/>
      <c r="I26" s="31"/>
      <c r="J26" s="31"/>
      <c r="K26" s="460"/>
    </row>
    <row r="27" spans="2:11" ht="15.75" x14ac:dyDescent="0.2">
      <c r="B27" s="72" t="str">
        <f>IF(OR(SPANewFlag=1,SPAChangeFlag=1),"2. Summary - effective prices",MsgNotRequired)</f>
        <v>** NOT REQUIRED **</v>
      </c>
      <c r="C27" s="111"/>
      <c r="D27" s="111"/>
      <c r="E27" s="126"/>
      <c r="F27" s="113"/>
      <c r="G27" s="113"/>
      <c r="H27" s="113"/>
      <c r="I27" s="113"/>
      <c r="J27" s="31"/>
      <c r="K27" s="31"/>
    </row>
    <row r="28" spans="2:11" x14ac:dyDescent="0.2">
      <c r="B28" s="459"/>
      <c r="C28" s="459"/>
      <c r="D28" s="459"/>
      <c r="E28" s="459"/>
      <c r="F28" s="459"/>
      <c r="G28" s="459"/>
      <c r="H28" s="459"/>
      <c r="I28" s="459"/>
      <c r="J28" s="459"/>
      <c r="K28" s="459"/>
    </row>
    <row r="29" spans="2:11" x14ac:dyDescent="0.2">
      <c r="B29" s="172" t="s">
        <v>294</v>
      </c>
      <c r="C29" s="459"/>
      <c r="D29" s="459"/>
      <c r="E29" s="459"/>
      <c r="F29" s="459"/>
      <c r="G29" s="459"/>
      <c r="H29" s="459"/>
      <c r="I29" s="459"/>
      <c r="J29" s="459"/>
      <c r="K29" s="459"/>
    </row>
    <row r="30" spans="2:11" x14ac:dyDescent="0.2"/>
    <row r="31" spans="2:11" ht="15" x14ac:dyDescent="0.2">
      <c r="B31" s="458" t="s">
        <v>0</v>
      </c>
      <c r="C31" s="74">
        <f>FirstYear</f>
        <v>2026</v>
      </c>
      <c r="D31" s="74">
        <f>C31+1</f>
        <v>2027</v>
      </c>
      <c r="E31" s="74">
        <f>D31+1</f>
        <v>2028</v>
      </c>
      <c r="F31" s="74">
        <f>E31+1</f>
        <v>2029</v>
      </c>
      <c r="G31" s="74">
        <f>F31+1</f>
        <v>2030</v>
      </c>
      <c r="H31" s="74">
        <f>G31+1</f>
        <v>2031</v>
      </c>
    </row>
    <row r="32" spans="2:11" x14ac:dyDescent="0.2">
      <c r="B32" s="76" t="s">
        <v>229</v>
      </c>
      <c r="C32" s="239">
        <f>'3c. Impact - proposed (eff)'!D17</f>
        <v>0</v>
      </c>
      <c r="D32" s="239">
        <f>'3c. Impact - proposed (eff)'!E17</f>
        <v>0</v>
      </c>
      <c r="E32" s="239">
        <f>'3c. Impact - proposed (eff)'!F17</f>
        <v>0</v>
      </c>
      <c r="F32" s="239">
        <f>'3c. Impact - proposed (eff)'!G17</f>
        <v>0</v>
      </c>
      <c r="G32" s="239">
        <f>'3c. Impact - proposed (eff)'!H17</f>
        <v>0</v>
      </c>
      <c r="H32" s="239">
        <f>'3c. Impact - proposed (eff)'!I17</f>
        <v>0</v>
      </c>
    </row>
    <row r="33" spans="2:11" x14ac:dyDescent="0.2">
      <c r="B33" s="3" t="s">
        <v>230</v>
      </c>
      <c r="C33" s="239">
        <f>'4c. Impact - affected (eff)'!D17</f>
        <v>0</v>
      </c>
      <c r="D33" s="239">
        <f>'4c. Impact - affected (eff)'!E17</f>
        <v>0</v>
      </c>
      <c r="E33" s="239">
        <f>'4c. Impact - affected (eff)'!F17</f>
        <v>0</v>
      </c>
      <c r="F33" s="239">
        <f>'4c. Impact - affected (eff)'!G17</f>
        <v>0</v>
      </c>
      <c r="G33" s="239">
        <f>'4c. Impact - affected (eff)'!H17</f>
        <v>0</v>
      </c>
      <c r="H33" s="239">
        <f>'4c. Impact - affected (eff)'!I17</f>
        <v>0</v>
      </c>
    </row>
    <row r="34" spans="2:11" x14ac:dyDescent="0.2">
      <c r="B34" s="3" t="s">
        <v>85</v>
      </c>
      <c r="C34" s="240">
        <f t="shared" ref="C34:H34" si="3">C32+C33</f>
        <v>0</v>
      </c>
      <c r="D34" s="240">
        <f t="shared" si="3"/>
        <v>0</v>
      </c>
      <c r="E34" s="240">
        <f t="shared" si="3"/>
        <v>0</v>
      </c>
      <c r="F34" s="240">
        <f t="shared" si="3"/>
        <v>0</v>
      </c>
      <c r="G34" s="240">
        <f t="shared" si="3"/>
        <v>0</v>
      </c>
      <c r="H34" s="240">
        <f t="shared" si="3"/>
        <v>0</v>
      </c>
    </row>
    <row r="35" spans="2:11" hidden="1" x14ac:dyDescent="0.2">
      <c r="B35" s="6"/>
      <c r="C35" s="36">
        <f t="shared" ref="C35:H35" si="4">IF($K$25=0,C17,C34)/1000000</f>
        <v>0</v>
      </c>
      <c r="D35" s="36">
        <f t="shared" si="4"/>
        <v>0</v>
      </c>
      <c r="E35" s="36">
        <f t="shared" si="4"/>
        <v>0</v>
      </c>
      <c r="F35" s="36">
        <f t="shared" si="4"/>
        <v>0</v>
      </c>
      <c r="G35" s="36">
        <f t="shared" si="4"/>
        <v>0</v>
      </c>
      <c r="H35" s="36">
        <f t="shared" si="4"/>
        <v>0</v>
      </c>
    </row>
    <row r="36" spans="2:11" x14ac:dyDescent="0.2">
      <c r="B36" s="457"/>
      <c r="C36" s="457"/>
      <c r="D36" s="457"/>
      <c r="E36" s="31"/>
      <c r="F36" s="31"/>
      <c r="G36" s="31"/>
      <c r="H36" s="31"/>
    </row>
    <row r="37" spans="2:11" ht="15" x14ac:dyDescent="0.2">
      <c r="B37" s="458" t="s">
        <v>1</v>
      </c>
      <c r="C37" s="74">
        <f>FirstYear</f>
        <v>2026</v>
      </c>
      <c r="D37" s="74">
        <f>C37+1</f>
        <v>2027</v>
      </c>
      <c r="E37" s="74">
        <f>D37+1</f>
        <v>2028</v>
      </c>
      <c r="F37" s="74">
        <f>E37+1</f>
        <v>2029</v>
      </c>
      <c r="G37" s="74">
        <f>F37+1</f>
        <v>2030</v>
      </c>
      <c r="H37" s="74">
        <f>G37+1</f>
        <v>2031</v>
      </c>
    </row>
    <row r="38" spans="2:11" x14ac:dyDescent="0.2">
      <c r="B38" s="76" t="s">
        <v>229</v>
      </c>
      <c r="C38" s="238">
        <f>'3c. Impact - proposed (eff)'!D22</f>
        <v>0</v>
      </c>
      <c r="D38" s="238">
        <f>'3c. Impact - proposed (eff)'!E22</f>
        <v>0</v>
      </c>
      <c r="E38" s="238">
        <f>'3c. Impact - proposed (eff)'!F22</f>
        <v>0</v>
      </c>
      <c r="F38" s="238">
        <f>'3c. Impact - proposed (eff)'!G22</f>
        <v>0</v>
      </c>
      <c r="G38" s="238">
        <f>'3c. Impact - proposed (eff)'!H22</f>
        <v>0</v>
      </c>
      <c r="H38" s="238">
        <f>'3c. Impact - proposed (eff)'!I22</f>
        <v>0</v>
      </c>
    </row>
    <row r="39" spans="2:11" x14ac:dyDescent="0.2">
      <c r="B39" s="3" t="s">
        <v>230</v>
      </c>
      <c r="C39" s="238">
        <f>'4c. Impact - affected (eff)'!D22</f>
        <v>0</v>
      </c>
      <c r="D39" s="238">
        <f>'4c. Impact - affected (eff)'!E22</f>
        <v>0</v>
      </c>
      <c r="E39" s="238">
        <f>'4c. Impact - affected (eff)'!F22</f>
        <v>0</v>
      </c>
      <c r="F39" s="238">
        <f>'4c. Impact - affected (eff)'!G22</f>
        <v>0</v>
      </c>
      <c r="G39" s="238">
        <f>'4c. Impact - affected (eff)'!H22</f>
        <v>0</v>
      </c>
      <c r="H39" s="238">
        <f>'4c. Impact - affected (eff)'!I22</f>
        <v>0</v>
      </c>
    </row>
    <row r="40" spans="2:11" x14ac:dyDescent="0.2">
      <c r="B40" s="3" t="s">
        <v>86</v>
      </c>
      <c r="C40" s="240">
        <f t="shared" ref="C40:H40" si="5">C38+C39</f>
        <v>0</v>
      </c>
      <c r="D40" s="240">
        <f t="shared" si="5"/>
        <v>0</v>
      </c>
      <c r="E40" s="240">
        <f t="shared" si="5"/>
        <v>0</v>
      </c>
      <c r="F40" s="240">
        <f t="shared" si="5"/>
        <v>0</v>
      </c>
      <c r="G40" s="240">
        <f t="shared" si="5"/>
        <v>0</v>
      </c>
      <c r="H40" s="240">
        <f t="shared" si="5"/>
        <v>0</v>
      </c>
    </row>
    <row r="41" spans="2:11" hidden="1" x14ac:dyDescent="0.2">
      <c r="B41" s="1"/>
      <c r="C41" s="36">
        <f t="shared" ref="C41:H41" si="6">IF($K$25=0,C22,C40)/1000</f>
        <v>0</v>
      </c>
      <c r="D41" s="36">
        <f t="shared" si="6"/>
        <v>0</v>
      </c>
      <c r="E41" s="36">
        <f t="shared" si="6"/>
        <v>0</v>
      </c>
      <c r="F41" s="36">
        <f t="shared" si="6"/>
        <v>0</v>
      </c>
      <c r="G41" s="36">
        <f t="shared" si="6"/>
        <v>0</v>
      </c>
      <c r="H41" s="36">
        <f t="shared" si="6"/>
        <v>0</v>
      </c>
      <c r="J41" s="1"/>
      <c r="K41" s="1"/>
    </row>
    <row r="42" spans="2:11" ht="12.75" customHeight="1" x14ac:dyDescent="0.2">
      <c r="B42" s="457"/>
      <c r="C42" s="457"/>
      <c r="D42" s="457"/>
      <c r="E42" s="31"/>
      <c r="F42" s="31"/>
      <c r="G42" s="31"/>
      <c r="H42" s="31"/>
    </row>
    <row r="43" spans="2:11" ht="12.75" customHeight="1" x14ac:dyDescent="0.2">
      <c r="B43" s="233" t="s">
        <v>832</v>
      </c>
      <c r="C43" s="241">
        <f t="shared" ref="C43:H43" si="7">C40+C34</f>
        <v>0</v>
      </c>
      <c r="D43" s="241">
        <f t="shared" si="7"/>
        <v>0</v>
      </c>
      <c r="E43" s="241">
        <f t="shared" si="7"/>
        <v>0</v>
      </c>
      <c r="F43" s="241">
        <f t="shared" si="7"/>
        <v>0</v>
      </c>
      <c r="G43" s="241">
        <f t="shared" si="7"/>
        <v>0</v>
      </c>
      <c r="H43" s="241">
        <f t="shared" si="7"/>
        <v>0</v>
      </c>
    </row>
  </sheetData>
  <conditionalFormatting sqref="C32:H34 C38:H40 C43:H43">
    <cfRule type="expression" dxfId="32" priority="1">
      <formula>$B$27=MsgNotRequired</formula>
    </cfRule>
  </conditionalFormatting>
  <dataValidations disablePrompts="1" count="1">
    <dataValidation allowBlank="1" showErrorMessage="1" sqref="C32:H35 C38:H41 C15:H17 C20:H24 C43:H43" xr:uid="{00000000-0002-0000-0D00-000000000000}"/>
  </dataValidations>
  <pageMargins left="0.11811023622047245" right="0.11811023622047245" top="0.19685039370078741" bottom="0.15748031496062992" header="0.31496062992125984" footer="0.31496062992125984"/>
  <pageSetup paperSize="9" scale="47" orientation="landscape" horizontalDpi="300" verticalDpi="300" r:id="rId1"/>
  <headerFooter>
    <oddHeader>&amp;C&amp;"Calibri"&amp;12&amp;KFF0000 OFFICIAL&amp;1#_x000D_</oddHeader>
    <oddFooter>&amp;C_x000D_&amp;1#&amp;"Calibri"&amp;12&amp;KFF0000 OFFICIAL</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0">
    <tabColor theme="4"/>
    <pageSetUpPr fitToPage="1"/>
  </sheetPr>
  <dimension ref="A1:AM524"/>
  <sheetViews>
    <sheetView showGridLines="0" zoomScaleNormal="100" workbookViewId="0">
      <pane ySplit="3" topLeftCell="A4" activePane="bottomLeft" state="frozen"/>
      <selection activeCell="B7" sqref="B7:G7"/>
      <selection pane="bottomLeft" activeCell="A4" sqref="A4"/>
    </sheetView>
  </sheetViews>
  <sheetFormatPr defaultRowHeight="12.75" customHeight="1" outlineLevelRow="2" x14ac:dyDescent="0.2"/>
  <cols>
    <col min="1" max="1" width="3.7109375" customWidth="1"/>
    <col min="2" max="2" width="3.7109375" hidden="1" customWidth="1"/>
    <col min="3" max="3" width="35.7109375" customWidth="1"/>
    <col min="4" max="10" width="15.7109375" customWidth="1"/>
    <col min="11" max="25" width="10.7109375" hidden="1" customWidth="1"/>
    <col min="26" max="27" width="15.7109375" customWidth="1"/>
    <col min="28" max="39" width="10.7109375" hidden="1" customWidth="1"/>
  </cols>
  <sheetData>
    <row r="1" spans="1:39" ht="23.25" x14ac:dyDescent="0.2">
      <c r="A1" s="284">
        <f>IF((SUM(D27:I27)+SUM(D38:I38)+SUM(D48:I48)&lt;&gt;0),2,0)</f>
        <v>0</v>
      </c>
      <c r="B1" s="279"/>
      <c r="C1" s="281" t="s">
        <v>691</v>
      </c>
      <c r="D1" s="280"/>
      <c r="E1" s="280"/>
      <c r="F1" s="280"/>
      <c r="G1" s="280"/>
      <c r="H1" s="280"/>
      <c r="I1" s="280"/>
      <c r="J1" s="280"/>
      <c r="K1" s="280"/>
      <c r="L1" s="280"/>
      <c r="M1" s="285"/>
      <c r="N1" s="285"/>
      <c r="O1" s="285"/>
      <c r="P1" s="285"/>
      <c r="Q1" s="285"/>
      <c r="R1" s="285"/>
      <c r="S1" s="285"/>
      <c r="T1" s="285"/>
      <c r="U1" s="285"/>
      <c r="V1" s="285"/>
      <c r="W1" s="285"/>
      <c r="X1" s="285"/>
      <c r="Y1" s="285"/>
      <c r="Z1" s="285" t="s">
        <v>302</v>
      </c>
      <c r="AA1" s="286" t="str">
        <f>IF(L49=0,"Nil",IF(L49&lt;0,"Save",IF(L49&gt;0,"Cost")))</f>
        <v>Nil</v>
      </c>
      <c r="AB1" s="285"/>
      <c r="AC1" s="285"/>
      <c r="AD1" s="285"/>
      <c r="AE1" s="285"/>
      <c r="AF1" s="285"/>
      <c r="AG1" s="285"/>
      <c r="AH1" s="285"/>
      <c r="AI1" s="285"/>
      <c r="AJ1" s="285"/>
      <c r="AK1" s="285"/>
      <c r="AL1" s="285"/>
      <c r="AM1" s="285"/>
    </row>
    <row r="2" spans="1:39" ht="15.75" x14ac:dyDescent="0.2">
      <c r="A2" s="280"/>
      <c r="B2" s="280"/>
      <c r="C2" s="282" t="str">
        <f>CONCATENATE("Name of medicine: ", MedicineBrand)</f>
        <v xml:space="preserve">Name of medicine: </v>
      </c>
      <c r="D2" s="280"/>
      <c r="E2" s="280"/>
      <c r="F2" s="280"/>
      <c r="G2" s="280"/>
      <c r="H2" s="280"/>
      <c r="I2" s="280"/>
      <c r="J2" s="280"/>
      <c r="K2" s="280"/>
      <c r="L2" s="280"/>
      <c r="M2" s="280"/>
      <c r="N2" s="280"/>
      <c r="O2" s="280"/>
      <c r="P2" s="280"/>
      <c r="Q2" s="280"/>
      <c r="R2" s="280"/>
      <c r="S2" s="280"/>
      <c r="T2" s="280"/>
      <c r="U2" s="280"/>
      <c r="V2" s="280"/>
      <c r="W2" s="280"/>
      <c r="X2" s="280"/>
      <c r="Y2" s="280"/>
      <c r="Z2" s="280"/>
      <c r="AA2" s="280"/>
      <c r="AB2" s="280"/>
      <c r="AC2" s="280"/>
      <c r="AD2" s="280"/>
      <c r="AE2" s="280"/>
      <c r="AF2" s="280"/>
      <c r="AG2" s="280"/>
      <c r="AH2" s="280"/>
      <c r="AI2" s="280"/>
      <c r="AJ2" s="280"/>
      <c r="AK2" s="280"/>
      <c r="AL2" s="280"/>
      <c r="AM2" s="280"/>
    </row>
    <row r="3" spans="1:39" ht="15.75" x14ac:dyDescent="0.2">
      <c r="A3" s="280"/>
      <c r="B3" s="280"/>
      <c r="C3" s="282" t="str">
        <f>CONCATENATE("Indication: ",Indication)</f>
        <v xml:space="preserve">Indication: </v>
      </c>
      <c r="D3" s="280"/>
      <c r="E3" s="280"/>
      <c r="F3" s="280"/>
      <c r="G3" s="280"/>
      <c r="H3" s="280"/>
      <c r="I3" s="280"/>
      <c r="J3" s="280"/>
      <c r="K3" s="280"/>
      <c r="L3" s="280"/>
      <c r="M3" s="280"/>
      <c r="N3" s="280"/>
      <c r="O3" s="280"/>
      <c r="P3" s="280"/>
      <c r="Q3" s="280"/>
      <c r="R3" s="280"/>
      <c r="S3" s="280"/>
      <c r="T3" s="280"/>
      <c r="U3" s="280"/>
      <c r="V3" s="280"/>
      <c r="W3" s="280"/>
      <c r="X3" s="280"/>
      <c r="Y3" s="280"/>
      <c r="Z3" s="280"/>
      <c r="AA3" s="280"/>
      <c r="AB3" s="280"/>
      <c r="AC3" s="280"/>
      <c r="AD3" s="280"/>
      <c r="AE3" s="280"/>
      <c r="AF3" s="280"/>
      <c r="AG3" s="280"/>
      <c r="AH3" s="280"/>
      <c r="AI3" s="280"/>
      <c r="AJ3" s="280"/>
      <c r="AK3" s="280"/>
      <c r="AL3" s="280"/>
      <c r="AM3" s="280"/>
    </row>
    <row r="4" spans="1:39" x14ac:dyDescent="0.2">
      <c r="C4" s="450"/>
    </row>
    <row r="5" spans="1:39" ht="15.75" x14ac:dyDescent="0.2">
      <c r="C5" s="111" t="s">
        <v>2</v>
      </c>
      <c r="D5" s="113"/>
      <c r="E5" s="113"/>
      <c r="F5" s="113"/>
      <c r="G5" s="113"/>
      <c r="H5" s="113"/>
      <c r="I5" s="113"/>
      <c r="J5" s="113"/>
      <c r="K5" s="113"/>
      <c r="L5" s="113"/>
      <c r="M5" s="113"/>
      <c r="N5" s="113"/>
      <c r="O5" s="113"/>
      <c r="P5" s="113"/>
      <c r="Q5" s="113"/>
      <c r="R5" s="113"/>
      <c r="S5" s="113"/>
      <c r="T5" s="113"/>
      <c r="U5" s="113"/>
      <c r="V5" s="113"/>
      <c r="W5" s="113"/>
      <c r="X5" s="113"/>
      <c r="Y5" s="113"/>
      <c r="Z5" s="113"/>
      <c r="AA5" s="113"/>
      <c r="AB5" s="113"/>
      <c r="AC5" s="113"/>
      <c r="AD5" s="113"/>
      <c r="AE5" s="113"/>
      <c r="AF5" s="113"/>
      <c r="AG5" s="113"/>
      <c r="AH5" s="113"/>
      <c r="AI5" s="113"/>
      <c r="AJ5" s="113"/>
      <c r="AK5" s="113"/>
      <c r="AL5" s="113"/>
      <c r="AM5" s="113"/>
    </row>
    <row r="6" spans="1:39" x14ac:dyDescent="0.2"/>
    <row r="7" spans="1:39" x14ac:dyDescent="0.2">
      <c r="C7" t="s">
        <v>693</v>
      </c>
    </row>
    <row r="8" spans="1:39" x14ac:dyDescent="0.2">
      <c r="C8" s="450"/>
    </row>
    <row r="9" spans="1:39" ht="15.75" x14ac:dyDescent="0.2">
      <c r="C9" s="111" t="s">
        <v>1110</v>
      </c>
      <c r="D9" s="113"/>
      <c r="E9" s="113"/>
      <c r="F9" s="113"/>
      <c r="G9" s="113"/>
      <c r="H9" s="113"/>
      <c r="I9" s="113"/>
      <c r="J9" s="113"/>
      <c r="K9" s="113"/>
      <c r="L9" s="113"/>
      <c r="M9" s="113"/>
      <c r="N9" s="113"/>
      <c r="O9" s="113"/>
      <c r="P9" s="113"/>
      <c r="Q9" s="113"/>
      <c r="R9" s="113"/>
      <c r="S9" s="113"/>
      <c r="T9" s="113"/>
      <c r="U9" s="113"/>
      <c r="V9" s="113"/>
      <c r="W9" s="113"/>
      <c r="X9" s="113"/>
      <c r="Y9" s="113"/>
      <c r="Z9" s="113"/>
      <c r="AA9" s="113"/>
      <c r="AB9" s="113"/>
      <c r="AC9" s="113"/>
      <c r="AD9" s="113"/>
      <c r="AE9" s="113"/>
      <c r="AF9" s="113"/>
      <c r="AG9" s="113"/>
      <c r="AH9" s="113"/>
      <c r="AI9" s="113"/>
      <c r="AJ9" s="113"/>
      <c r="AK9" s="113"/>
      <c r="AL9" s="113"/>
      <c r="AM9" s="113"/>
    </row>
    <row r="10" spans="1:39" hidden="1" outlineLevel="1" x14ac:dyDescent="0.2"/>
    <row r="11" spans="1:39" hidden="1" outlineLevel="1" x14ac:dyDescent="0.2">
      <c r="C11" t="s">
        <v>1111</v>
      </c>
    </row>
    <row r="12" spans="1:39" hidden="1" outlineLevel="1" x14ac:dyDescent="0.2"/>
    <row r="13" spans="1:39" hidden="1" outlineLevel="1" x14ac:dyDescent="0.2">
      <c r="C13" s="260" t="s">
        <v>119</v>
      </c>
      <c r="D13" s="74">
        <f>FirstYear</f>
        <v>2026</v>
      </c>
      <c r="E13" s="74">
        <f>D13+1</f>
        <v>2027</v>
      </c>
      <c r="F13" s="74">
        <f>E13+1</f>
        <v>2028</v>
      </c>
      <c r="G13" s="74">
        <f>F13+1</f>
        <v>2029</v>
      </c>
      <c r="H13" s="74">
        <f>G13+1</f>
        <v>2030</v>
      </c>
      <c r="I13" s="74">
        <f>H13+1</f>
        <v>2031</v>
      </c>
      <c r="K13" s="477" t="s">
        <v>870</v>
      </c>
    </row>
    <row r="14" spans="1:39" hidden="1" outlineLevel="1" x14ac:dyDescent="0.2">
      <c r="C14" s="81" t="s">
        <v>1084</v>
      </c>
      <c r="D14" s="144">
        <f t="shared" ref="D14:I14" si="0">D59+D293</f>
        <v>0</v>
      </c>
      <c r="E14" s="144">
        <f t="shared" si="0"/>
        <v>0</v>
      </c>
      <c r="F14" s="144">
        <f t="shared" si="0"/>
        <v>0</v>
      </c>
      <c r="G14" s="144">
        <f t="shared" si="0"/>
        <v>0</v>
      </c>
      <c r="H14" s="144">
        <f t="shared" si="0"/>
        <v>0</v>
      </c>
      <c r="I14" s="144">
        <f t="shared" si="0"/>
        <v>0</v>
      </c>
      <c r="K14" s="478">
        <v>0</v>
      </c>
    </row>
    <row r="15" spans="1:39" hidden="1" outlineLevel="1" x14ac:dyDescent="0.2">
      <c r="C15" s="143" t="s">
        <v>1085</v>
      </c>
      <c r="D15" s="144">
        <f t="shared" ref="D15:I17" si="1">D60+D294</f>
        <v>0</v>
      </c>
      <c r="E15" s="144">
        <f t="shared" si="1"/>
        <v>0</v>
      </c>
      <c r="F15" s="144">
        <f t="shared" si="1"/>
        <v>0</v>
      </c>
      <c r="G15" s="144">
        <f t="shared" si="1"/>
        <v>0</v>
      </c>
      <c r="H15" s="144">
        <f t="shared" si="1"/>
        <v>0</v>
      </c>
      <c r="I15" s="144">
        <f t="shared" si="1"/>
        <v>0</v>
      </c>
      <c r="K15" s="478">
        <v>1</v>
      </c>
    </row>
    <row r="16" spans="1:39" hidden="1" outlineLevel="1" x14ac:dyDescent="0.2">
      <c r="C16" s="145" t="s">
        <v>1086</v>
      </c>
      <c r="D16" s="144">
        <f t="shared" si="1"/>
        <v>0</v>
      </c>
      <c r="E16" s="144">
        <f t="shared" si="1"/>
        <v>0</v>
      </c>
      <c r="F16" s="144">
        <f t="shared" si="1"/>
        <v>0</v>
      </c>
      <c r="G16" s="144">
        <f t="shared" si="1"/>
        <v>0</v>
      </c>
      <c r="H16" s="144">
        <f t="shared" si="1"/>
        <v>0</v>
      </c>
      <c r="I16" s="144">
        <f t="shared" si="1"/>
        <v>0</v>
      </c>
      <c r="K16" s="478">
        <v>2</v>
      </c>
    </row>
    <row r="17" spans="3:39" hidden="1" outlineLevel="1" x14ac:dyDescent="0.2">
      <c r="C17" s="145" t="s">
        <v>1087</v>
      </c>
      <c r="D17" s="144">
        <f t="shared" si="1"/>
        <v>0</v>
      </c>
      <c r="E17" s="144">
        <f t="shared" si="1"/>
        <v>0</v>
      </c>
      <c r="F17" s="144">
        <f t="shared" si="1"/>
        <v>0</v>
      </c>
      <c r="G17" s="144">
        <f t="shared" si="1"/>
        <v>0</v>
      </c>
      <c r="H17" s="144">
        <f t="shared" si="1"/>
        <v>0</v>
      </c>
      <c r="I17" s="144">
        <f t="shared" si="1"/>
        <v>0</v>
      </c>
      <c r="K17" s="478">
        <v>3</v>
      </c>
    </row>
    <row r="18" spans="3:39" hidden="1" outlineLevel="1" x14ac:dyDescent="0.2">
      <c r="C18" s="76" t="s">
        <v>130</v>
      </c>
      <c r="D18" s="146">
        <f t="shared" ref="D18:I18" si="2">SUM(D14:D17)</f>
        <v>0</v>
      </c>
      <c r="E18" s="146">
        <f t="shared" si="2"/>
        <v>0</v>
      </c>
      <c r="F18" s="146">
        <f t="shared" si="2"/>
        <v>0</v>
      </c>
      <c r="G18" s="146">
        <f t="shared" si="2"/>
        <v>0</v>
      </c>
      <c r="H18" s="146">
        <f t="shared" si="2"/>
        <v>0</v>
      </c>
      <c r="I18" s="146">
        <f t="shared" si="2"/>
        <v>0</v>
      </c>
    </row>
    <row r="19" spans="3:39" hidden="1" outlineLevel="1" x14ac:dyDescent="0.2"/>
    <row r="20" spans="3:39" hidden="1" outlineLevel="1" x14ac:dyDescent="0.2">
      <c r="C20" s="333" t="s">
        <v>120</v>
      </c>
      <c r="K20" s="477" t="s">
        <v>870</v>
      </c>
    </row>
    <row r="21" spans="3:39" hidden="1" outlineLevel="1" x14ac:dyDescent="0.2">
      <c r="C21" s="81" t="s">
        <v>1084</v>
      </c>
      <c r="D21" s="144">
        <f t="shared" ref="D21:I21" si="3">D66+D300</f>
        <v>0</v>
      </c>
      <c r="E21" s="144">
        <f t="shared" si="3"/>
        <v>0</v>
      </c>
      <c r="F21" s="144">
        <f t="shared" si="3"/>
        <v>0</v>
      </c>
      <c r="G21" s="144">
        <f t="shared" si="3"/>
        <v>0</v>
      </c>
      <c r="H21" s="144">
        <f t="shared" si="3"/>
        <v>0</v>
      </c>
      <c r="I21" s="144">
        <f t="shared" si="3"/>
        <v>0</v>
      </c>
      <c r="K21" s="479">
        <f>K14</f>
        <v>0</v>
      </c>
    </row>
    <row r="22" spans="3:39" hidden="1" outlineLevel="1" x14ac:dyDescent="0.2">
      <c r="C22" s="143" t="s">
        <v>1085</v>
      </c>
      <c r="D22" s="144">
        <f t="shared" ref="D22:I24" si="4">D67+D301</f>
        <v>0</v>
      </c>
      <c r="E22" s="144">
        <f t="shared" si="4"/>
        <v>0</v>
      </c>
      <c r="F22" s="144">
        <f t="shared" si="4"/>
        <v>0</v>
      </c>
      <c r="G22" s="144">
        <f t="shared" si="4"/>
        <v>0</v>
      </c>
      <c r="H22" s="144">
        <f t="shared" si="4"/>
        <v>0</v>
      </c>
      <c r="I22" s="144">
        <f t="shared" si="4"/>
        <v>0</v>
      </c>
      <c r="K22" s="479">
        <f>K15</f>
        <v>1</v>
      </c>
    </row>
    <row r="23" spans="3:39" hidden="1" outlineLevel="1" x14ac:dyDescent="0.2">
      <c r="C23" s="145" t="s">
        <v>1086</v>
      </c>
      <c r="D23" s="144">
        <f t="shared" si="4"/>
        <v>0</v>
      </c>
      <c r="E23" s="144">
        <f t="shared" si="4"/>
        <v>0</v>
      </c>
      <c r="F23" s="144">
        <f t="shared" si="4"/>
        <v>0</v>
      </c>
      <c r="G23" s="144">
        <f t="shared" si="4"/>
        <v>0</v>
      </c>
      <c r="H23" s="144">
        <f t="shared" si="4"/>
        <v>0</v>
      </c>
      <c r="I23" s="144">
        <f t="shared" si="4"/>
        <v>0</v>
      </c>
      <c r="K23" s="479">
        <f>K16</f>
        <v>2</v>
      </c>
    </row>
    <row r="24" spans="3:39" hidden="1" outlineLevel="1" x14ac:dyDescent="0.2">
      <c r="C24" s="145" t="s">
        <v>1087</v>
      </c>
      <c r="D24" s="144">
        <f t="shared" si="4"/>
        <v>0</v>
      </c>
      <c r="E24" s="144">
        <f t="shared" si="4"/>
        <v>0</v>
      </c>
      <c r="F24" s="144">
        <f t="shared" si="4"/>
        <v>0</v>
      </c>
      <c r="G24" s="144">
        <f t="shared" si="4"/>
        <v>0</v>
      </c>
      <c r="H24" s="144">
        <f t="shared" si="4"/>
        <v>0</v>
      </c>
      <c r="I24" s="144">
        <f t="shared" si="4"/>
        <v>0</v>
      </c>
      <c r="K24" s="479">
        <f>K17</f>
        <v>3</v>
      </c>
    </row>
    <row r="25" spans="3:39" hidden="1" outlineLevel="1" x14ac:dyDescent="0.2">
      <c r="C25" s="147" t="s">
        <v>131</v>
      </c>
      <c r="D25" s="146">
        <f t="shared" ref="D25:I25" si="5">SUM(D21:D24)</f>
        <v>0</v>
      </c>
      <c r="E25" s="146">
        <f t="shared" si="5"/>
        <v>0</v>
      </c>
      <c r="F25" s="146">
        <f t="shared" si="5"/>
        <v>0</v>
      </c>
      <c r="G25" s="146">
        <f t="shared" si="5"/>
        <v>0</v>
      </c>
      <c r="H25" s="146">
        <f t="shared" si="5"/>
        <v>0</v>
      </c>
      <c r="I25" s="146">
        <f t="shared" si="5"/>
        <v>0</v>
      </c>
    </row>
    <row r="26" spans="3:39" ht="12.75" hidden="1" customHeight="1" outlineLevel="1" x14ac:dyDescent="0.2"/>
    <row r="27" spans="3:39" hidden="1" outlineLevel="1" x14ac:dyDescent="0.2">
      <c r="C27" s="76" t="s">
        <v>239</v>
      </c>
      <c r="D27" s="146">
        <f t="shared" ref="D27:I27" si="6">D18+D25</f>
        <v>0</v>
      </c>
      <c r="E27" s="146">
        <f t="shared" si="6"/>
        <v>0</v>
      </c>
      <c r="F27" s="146">
        <f t="shared" si="6"/>
        <v>0</v>
      </c>
      <c r="G27" s="146">
        <f t="shared" si="6"/>
        <v>0</v>
      </c>
      <c r="H27" s="146">
        <f t="shared" si="6"/>
        <v>0</v>
      </c>
      <c r="I27" s="146">
        <f t="shared" si="6"/>
        <v>0</v>
      </c>
      <c r="M27" s="476"/>
    </row>
    <row r="28" spans="3:39" hidden="1" outlineLevel="1" x14ac:dyDescent="0.2"/>
    <row r="29" spans="3:39" ht="15.75" hidden="1" outlineLevel="1" x14ac:dyDescent="0.2">
      <c r="C29" s="111" t="s">
        <v>1112</v>
      </c>
      <c r="D29" s="113"/>
      <c r="E29" s="113"/>
      <c r="F29" s="113"/>
      <c r="G29" s="113"/>
      <c r="H29" s="113"/>
      <c r="I29" s="113"/>
      <c r="J29" s="113"/>
      <c r="K29" s="113"/>
      <c r="L29" s="113"/>
      <c r="M29" s="113"/>
      <c r="N29" s="113"/>
      <c r="O29" s="113"/>
      <c r="P29" s="113"/>
      <c r="Q29" s="113"/>
      <c r="R29" s="113"/>
      <c r="S29" s="113"/>
      <c r="T29" s="113"/>
      <c r="U29" s="113"/>
      <c r="V29" s="113"/>
      <c r="W29" s="113"/>
      <c r="X29" s="113"/>
      <c r="Y29" s="113"/>
      <c r="Z29" s="113"/>
      <c r="AA29" s="113"/>
      <c r="AB29" s="113"/>
      <c r="AC29" s="113"/>
      <c r="AD29" s="113"/>
      <c r="AE29" s="113"/>
      <c r="AF29" s="113"/>
      <c r="AG29" s="113"/>
      <c r="AH29" s="113"/>
      <c r="AI29" s="113"/>
      <c r="AJ29" s="113"/>
      <c r="AK29" s="113"/>
      <c r="AL29" s="113"/>
      <c r="AM29" s="113"/>
    </row>
    <row r="30" spans="3:39" hidden="1" outlineLevel="1" x14ac:dyDescent="0.2"/>
    <row r="31" spans="3:39" hidden="1" outlineLevel="1" x14ac:dyDescent="0.2">
      <c r="C31" t="s">
        <v>1113</v>
      </c>
    </row>
    <row r="32" spans="3:39" hidden="1" outlineLevel="1" x14ac:dyDescent="0.2"/>
    <row r="33" spans="3:13" hidden="1" outlineLevel="1" x14ac:dyDescent="0.2">
      <c r="C33" s="260" t="s">
        <v>121</v>
      </c>
      <c r="D33" s="74">
        <f>FirstYear</f>
        <v>2026</v>
      </c>
      <c r="E33" s="74">
        <f>D33+1</f>
        <v>2027</v>
      </c>
      <c r="F33" s="74">
        <f>E33+1</f>
        <v>2028</v>
      </c>
      <c r="G33" s="74">
        <f>F33+1</f>
        <v>2029</v>
      </c>
      <c r="H33" s="74">
        <f>G33+1</f>
        <v>2030</v>
      </c>
      <c r="I33" s="74">
        <f>H33+1</f>
        <v>2031</v>
      </c>
      <c r="K33" s="477" t="s">
        <v>870</v>
      </c>
      <c r="L33" s="121"/>
      <c r="M33" s="480"/>
    </row>
    <row r="34" spans="3:13" hidden="1" outlineLevel="1" x14ac:dyDescent="0.2">
      <c r="C34" s="143" t="s">
        <v>1085</v>
      </c>
      <c r="D34" s="144">
        <f t="shared" ref="D34:I34" si="7">D79+D313</f>
        <v>0</v>
      </c>
      <c r="E34" s="144">
        <f t="shared" si="7"/>
        <v>0</v>
      </c>
      <c r="F34" s="144">
        <f t="shared" si="7"/>
        <v>0</v>
      </c>
      <c r="G34" s="144">
        <f t="shared" si="7"/>
        <v>0</v>
      </c>
      <c r="H34" s="144">
        <f t="shared" si="7"/>
        <v>0</v>
      </c>
      <c r="I34" s="144">
        <f t="shared" si="7"/>
        <v>0</v>
      </c>
      <c r="K34" s="478">
        <v>1</v>
      </c>
      <c r="L34" s="121"/>
      <c r="M34" s="119"/>
    </row>
    <row r="35" spans="3:13" ht="12.75" hidden="1" customHeight="1" outlineLevel="1" x14ac:dyDescent="0.2">
      <c r="K35" s="121"/>
      <c r="L35" s="121"/>
    </row>
    <row r="36" spans="3:13" hidden="1" outlineLevel="1" x14ac:dyDescent="0.2">
      <c r="C36" s="81" t="s">
        <v>1086</v>
      </c>
      <c r="D36" s="144">
        <f t="shared" ref="D36:I37" si="8">D81+D315</f>
        <v>0</v>
      </c>
      <c r="E36" s="144">
        <f t="shared" si="8"/>
        <v>0</v>
      </c>
      <c r="F36" s="144">
        <f t="shared" si="8"/>
        <v>0</v>
      </c>
      <c r="G36" s="144">
        <f t="shared" si="8"/>
        <v>0</v>
      </c>
      <c r="H36" s="144">
        <f t="shared" si="8"/>
        <v>0</v>
      </c>
      <c r="I36" s="144">
        <f t="shared" si="8"/>
        <v>0</v>
      </c>
      <c r="K36" s="478">
        <v>2</v>
      </c>
      <c r="L36" s="121"/>
      <c r="M36" s="119"/>
    </row>
    <row r="37" spans="3:13" hidden="1" outlineLevel="1" x14ac:dyDescent="0.2">
      <c r="C37" s="145" t="s">
        <v>1087</v>
      </c>
      <c r="D37" s="144">
        <f t="shared" si="8"/>
        <v>0</v>
      </c>
      <c r="E37" s="144">
        <f t="shared" si="8"/>
        <v>0</v>
      </c>
      <c r="F37" s="144">
        <f t="shared" si="8"/>
        <v>0</v>
      </c>
      <c r="G37" s="144">
        <f t="shared" si="8"/>
        <v>0</v>
      </c>
      <c r="H37" s="144">
        <f t="shared" si="8"/>
        <v>0</v>
      </c>
      <c r="I37" s="144">
        <f t="shared" si="8"/>
        <v>0</v>
      </c>
      <c r="K37" s="478">
        <v>3</v>
      </c>
      <c r="L37" s="477" t="s">
        <v>460</v>
      </c>
      <c r="M37" s="119"/>
    </row>
    <row r="38" spans="3:13" hidden="1" outlineLevel="1" x14ac:dyDescent="0.2">
      <c r="C38" s="147" t="s">
        <v>121</v>
      </c>
      <c r="D38" s="146">
        <f t="shared" ref="D38:I38" si="9">SUM(D36:D37)</f>
        <v>0</v>
      </c>
      <c r="E38" s="146">
        <f t="shared" si="9"/>
        <v>0</v>
      </c>
      <c r="F38" s="146">
        <f t="shared" si="9"/>
        <v>0</v>
      </c>
      <c r="G38" s="146">
        <f t="shared" si="9"/>
        <v>0</v>
      </c>
      <c r="H38" s="146">
        <f t="shared" si="9"/>
        <v>0</v>
      </c>
      <c r="I38" s="146">
        <f t="shared" si="9"/>
        <v>0</v>
      </c>
      <c r="K38" s="121"/>
      <c r="L38" s="479">
        <f>SUM(D36:H37)</f>
        <v>0</v>
      </c>
    </row>
    <row r="39" spans="3:13" ht="12.75" hidden="1" customHeight="1" outlineLevel="1" x14ac:dyDescent="0.2">
      <c r="K39" s="121"/>
      <c r="L39" s="121"/>
    </row>
    <row r="40" spans="3:13" hidden="1" outlineLevel="1" x14ac:dyDescent="0.2">
      <c r="C40" s="81" t="s">
        <v>1088</v>
      </c>
      <c r="D40" s="144">
        <f t="shared" ref="D40:I41" si="10">D85+D319</f>
        <v>0</v>
      </c>
      <c r="E40" s="144">
        <f t="shared" si="10"/>
        <v>0</v>
      </c>
      <c r="F40" s="144">
        <f t="shared" si="10"/>
        <v>0</v>
      </c>
      <c r="G40" s="144">
        <f t="shared" si="10"/>
        <v>0</v>
      </c>
      <c r="H40" s="144">
        <f t="shared" si="10"/>
        <v>0</v>
      </c>
      <c r="I40" s="144">
        <f t="shared" si="10"/>
        <v>0</v>
      </c>
      <c r="K40" s="478">
        <v>2</v>
      </c>
      <c r="L40" s="121"/>
      <c r="M40" s="119"/>
    </row>
    <row r="41" spans="3:13" hidden="1" outlineLevel="1" x14ac:dyDescent="0.2">
      <c r="C41" s="81" t="s">
        <v>1089</v>
      </c>
      <c r="D41" s="144">
        <f t="shared" si="10"/>
        <v>0</v>
      </c>
      <c r="E41" s="144">
        <f t="shared" si="10"/>
        <v>0</v>
      </c>
      <c r="F41" s="144">
        <f t="shared" si="10"/>
        <v>0</v>
      </c>
      <c r="G41" s="144">
        <f t="shared" si="10"/>
        <v>0</v>
      </c>
      <c r="H41" s="144">
        <f t="shared" si="10"/>
        <v>0</v>
      </c>
      <c r="I41" s="144">
        <f t="shared" si="10"/>
        <v>0</v>
      </c>
      <c r="K41" s="478">
        <v>3</v>
      </c>
      <c r="L41" s="121"/>
      <c r="M41" s="476"/>
    </row>
    <row r="42" spans="3:13" hidden="1" outlineLevel="1" x14ac:dyDescent="0.2">
      <c r="K42" s="121"/>
      <c r="L42" s="121"/>
    </row>
    <row r="43" spans="3:13" hidden="1" outlineLevel="1" x14ac:dyDescent="0.2">
      <c r="C43" s="260" t="s">
        <v>122</v>
      </c>
      <c r="K43" s="477" t="s">
        <v>870</v>
      </c>
      <c r="L43" s="121"/>
    </row>
    <row r="44" spans="3:13" hidden="1" outlineLevel="1" x14ac:dyDescent="0.2">
      <c r="C44" s="143" t="s">
        <v>1085</v>
      </c>
      <c r="D44" s="144">
        <f t="shared" ref="D44:I44" si="11">D89+D323</f>
        <v>0</v>
      </c>
      <c r="E44" s="144">
        <f t="shared" si="11"/>
        <v>0</v>
      </c>
      <c r="F44" s="144">
        <f t="shared" si="11"/>
        <v>0</v>
      </c>
      <c r="G44" s="144">
        <f t="shared" si="11"/>
        <v>0</v>
      </c>
      <c r="H44" s="144">
        <f t="shared" si="11"/>
        <v>0</v>
      </c>
      <c r="I44" s="144">
        <f t="shared" si="11"/>
        <v>0</v>
      </c>
      <c r="K44" s="478">
        <v>1</v>
      </c>
      <c r="L44" s="121"/>
      <c r="M44" s="119"/>
    </row>
    <row r="45" spans="3:13" ht="12.75" hidden="1" customHeight="1" outlineLevel="1" x14ac:dyDescent="0.2">
      <c r="K45" s="121"/>
      <c r="L45" s="121"/>
    </row>
    <row r="46" spans="3:13" hidden="1" outlineLevel="1" x14ac:dyDescent="0.2">
      <c r="C46" s="81" t="s">
        <v>1086</v>
      </c>
      <c r="D46" s="144">
        <f t="shared" ref="D46:I47" si="12">D91+D325</f>
        <v>0</v>
      </c>
      <c r="E46" s="144">
        <f t="shared" si="12"/>
        <v>0</v>
      </c>
      <c r="F46" s="144">
        <f t="shared" si="12"/>
        <v>0</v>
      </c>
      <c r="G46" s="144">
        <f t="shared" si="12"/>
        <v>0</v>
      </c>
      <c r="H46" s="144">
        <f t="shared" si="12"/>
        <v>0</v>
      </c>
      <c r="I46" s="144">
        <f t="shared" si="12"/>
        <v>0</v>
      </c>
      <c r="K46" s="478">
        <v>2</v>
      </c>
      <c r="L46" s="121"/>
      <c r="M46" s="119"/>
    </row>
    <row r="47" spans="3:13" hidden="1" outlineLevel="1" x14ac:dyDescent="0.2">
      <c r="C47" s="145" t="s">
        <v>1087</v>
      </c>
      <c r="D47" s="144">
        <f t="shared" si="12"/>
        <v>0</v>
      </c>
      <c r="E47" s="144">
        <f t="shared" si="12"/>
        <v>0</v>
      </c>
      <c r="F47" s="144">
        <f t="shared" si="12"/>
        <v>0</v>
      </c>
      <c r="G47" s="144">
        <f t="shared" si="12"/>
        <v>0</v>
      </c>
      <c r="H47" s="144">
        <f t="shared" si="12"/>
        <v>0</v>
      </c>
      <c r="I47" s="144">
        <f t="shared" si="12"/>
        <v>0</v>
      </c>
      <c r="K47" s="478">
        <v>3</v>
      </c>
      <c r="L47" s="477" t="s">
        <v>460</v>
      </c>
      <c r="M47" s="119"/>
    </row>
    <row r="48" spans="3:13" hidden="1" outlineLevel="1" x14ac:dyDescent="0.2">
      <c r="C48" s="147" t="s">
        <v>122</v>
      </c>
      <c r="D48" s="146">
        <f t="shared" ref="D48:I48" si="13">SUM(D46:D47)</f>
        <v>0</v>
      </c>
      <c r="E48" s="146">
        <f t="shared" si="13"/>
        <v>0</v>
      </c>
      <c r="F48" s="146">
        <f t="shared" si="13"/>
        <v>0</v>
      </c>
      <c r="G48" s="146">
        <f t="shared" si="13"/>
        <v>0</v>
      </c>
      <c r="H48" s="146">
        <f t="shared" si="13"/>
        <v>0</v>
      </c>
      <c r="I48" s="146">
        <f t="shared" si="13"/>
        <v>0</v>
      </c>
      <c r="K48" s="121"/>
      <c r="L48" s="479">
        <f>SUM(D46:H47)</f>
        <v>0</v>
      </c>
    </row>
    <row r="49" spans="3:39" hidden="1" outlineLevel="1" x14ac:dyDescent="0.2">
      <c r="K49" s="121"/>
      <c r="L49" s="479">
        <f>L48+L38</f>
        <v>0</v>
      </c>
    </row>
    <row r="50" spans="3:39" hidden="1" outlineLevel="1" x14ac:dyDescent="0.2">
      <c r="C50" s="81" t="s">
        <v>1088</v>
      </c>
      <c r="D50" s="144">
        <f t="shared" ref="D50:I51" si="14">D95+D329</f>
        <v>0</v>
      </c>
      <c r="E50" s="144">
        <f t="shared" si="14"/>
        <v>0</v>
      </c>
      <c r="F50" s="144">
        <f t="shared" si="14"/>
        <v>0</v>
      </c>
      <c r="G50" s="144">
        <f t="shared" si="14"/>
        <v>0</v>
      </c>
      <c r="H50" s="144">
        <f t="shared" si="14"/>
        <v>0</v>
      </c>
      <c r="I50" s="144">
        <f t="shared" si="14"/>
        <v>0</v>
      </c>
      <c r="K50" s="478">
        <v>2</v>
      </c>
      <c r="L50" s="121"/>
      <c r="M50" s="119"/>
    </row>
    <row r="51" spans="3:39" hidden="1" outlineLevel="1" x14ac:dyDescent="0.2">
      <c r="C51" s="81" t="s">
        <v>1089</v>
      </c>
      <c r="D51" s="144">
        <f t="shared" si="14"/>
        <v>0</v>
      </c>
      <c r="E51" s="144">
        <f t="shared" si="14"/>
        <v>0</v>
      </c>
      <c r="F51" s="144">
        <f t="shared" si="14"/>
        <v>0</v>
      </c>
      <c r="G51" s="144">
        <f t="shared" si="14"/>
        <v>0</v>
      </c>
      <c r="H51" s="144">
        <f t="shared" si="14"/>
        <v>0</v>
      </c>
      <c r="I51" s="144">
        <f t="shared" si="14"/>
        <v>0</v>
      </c>
      <c r="K51" s="478">
        <v>3</v>
      </c>
      <c r="L51" s="121"/>
      <c r="M51" s="119"/>
    </row>
    <row r="52" spans="3:39" hidden="1" outlineLevel="1" x14ac:dyDescent="0.2">
      <c r="M52" s="476"/>
    </row>
    <row r="53" spans="3:39" collapsed="1" x14ac:dyDescent="0.2">
      <c r="C53" s="152"/>
      <c r="D53" s="148"/>
      <c r="E53" s="148"/>
      <c r="F53" s="148"/>
      <c r="G53" s="148"/>
      <c r="H53" s="148"/>
      <c r="I53" s="148"/>
      <c r="J53" s="148"/>
      <c r="M53" s="476"/>
    </row>
    <row r="54" spans="3:39" ht="15.75" x14ac:dyDescent="0.2">
      <c r="C54" s="111" t="s">
        <v>1114</v>
      </c>
      <c r="D54" s="113"/>
      <c r="E54" s="113"/>
      <c r="F54" s="113"/>
      <c r="G54" s="113"/>
      <c r="H54" s="113"/>
      <c r="I54" s="113"/>
      <c r="J54" s="113"/>
      <c r="K54" s="113"/>
      <c r="L54" s="113"/>
      <c r="M54" s="113"/>
      <c r="N54" s="113"/>
      <c r="O54" s="113"/>
      <c r="P54" s="113"/>
      <c r="Q54" s="113"/>
      <c r="R54" s="113"/>
      <c r="S54" s="113"/>
      <c r="T54" s="113"/>
      <c r="U54" s="113"/>
      <c r="V54" s="113"/>
      <c r="W54" s="113"/>
      <c r="X54" s="113"/>
      <c r="Y54" s="113"/>
      <c r="Z54" s="113"/>
      <c r="AA54" s="113"/>
      <c r="AB54" s="113"/>
      <c r="AC54" s="113"/>
      <c r="AD54" s="113"/>
      <c r="AE54" s="113"/>
      <c r="AF54" s="113"/>
      <c r="AG54" s="113"/>
      <c r="AH54" s="113"/>
      <c r="AI54" s="113"/>
      <c r="AJ54" s="113"/>
      <c r="AK54" s="113"/>
      <c r="AL54" s="113"/>
      <c r="AM54" s="113"/>
    </row>
    <row r="55" spans="3:39" hidden="1" outlineLevel="1" x14ac:dyDescent="0.2"/>
    <row r="56" spans="3:39" hidden="1" outlineLevel="1" x14ac:dyDescent="0.2">
      <c r="C56" t="s">
        <v>1106</v>
      </c>
    </row>
    <row r="57" spans="3:39" hidden="1" outlineLevel="1" x14ac:dyDescent="0.2"/>
    <row r="58" spans="3:39" hidden="1" outlineLevel="1" x14ac:dyDescent="0.2">
      <c r="C58" s="260" t="s">
        <v>119</v>
      </c>
      <c r="D58" s="74">
        <f>FirstYear</f>
        <v>2026</v>
      </c>
      <c r="E58" s="74">
        <f>D58+1</f>
        <v>2027</v>
      </c>
      <c r="F58" s="74">
        <f>E58+1</f>
        <v>2028</v>
      </c>
      <c r="G58" s="74">
        <f>F58+1</f>
        <v>2029</v>
      </c>
      <c r="H58" s="74">
        <f>G58+1</f>
        <v>2030</v>
      </c>
      <c r="I58" s="74">
        <f>H58+1</f>
        <v>2031</v>
      </c>
      <c r="K58" s="477" t="s">
        <v>870</v>
      </c>
    </row>
    <row r="59" spans="3:39" hidden="1" outlineLevel="1" x14ac:dyDescent="0.2">
      <c r="C59" s="81" t="s">
        <v>1084</v>
      </c>
      <c r="D59" s="144">
        <f>SUMIFS(AB$104:AB$123,$L$104:$L$123,$K59)</f>
        <v>0</v>
      </c>
      <c r="E59" s="144">
        <f t="shared" ref="E59:I62" si="15">SUMIFS(AC$104:AC$123,$L$104:$L$123,$K59)</f>
        <v>0</v>
      </c>
      <c r="F59" s="144">
        <f t="shared" si="15"/>
        <v>0</v>
      </c>
      <c r="G59" s="144">
        <f t="shared" si="15"/>
        <v>0</v>
      </c>
      <c r="H59" s="144">
        <f t="shared" si="15"/>
        <v>0</v>
      </c>
      <c r="I59" s="144">
        <f t="shared" si="15"/>
        <v>0</v>
      </c>
      <c r="K59" s="479">
        <f>K14</f>
        <v>0</v>
      </c>
    </row>
    <row r="60" spans="3:39" hidden="1" outlineLevel="1" x14ac:dyDescent="0.2">
      <c r="C60" s="143" t="s">
        <v>1085</v>
      </c>
      <c r="D60" s="144">
        <f>SUMIFS(AB$104:AB$123,$L$104:$L$123,$K60)</f>
        <v>0</v>
      </c>
      <c r="E60" s="144">
        <f t="shared" si="15"/>
        <v>0</v>
      </c>
      <c r="F60" s="144">
        <f t="shared" si="15"/>
        <v>0</v>
      </c>
      <c r="G60" s="144">
        <f t="shared" si="15"/>
        <v>0</v>
      </c>
      <c r="H60" s="144">
        <f t="shared" si="15"/>
        <v>0</v>
      </c>
      <c r="I60" s="144">
        <f t="shared" si="15"/>
        <v>0</v>
      </c>
      <c r="K60" s="479">
        <f>K15</f>
        <v>1</v>
      </c>
    </row>
    <row r="61" spans="3:39" hidden="1" outlineLevel="1" x14ac:dyDescent="0.2">
      <c r="C61" s="145" t="s">
        <v>1086</v>
      </c>
      <c r="D61" s="144">
        <f>SUMIFS(AB$104:AB$123,$L$104:$L$123,$K61)</f>
        <v>0</v>
      </c>
      <c r="E61" s="144">
        <f t="shared" si="15"/>
        <v>0</v>
      </c>
      <c r="F61" s="144">
        <f t="shared" si="15"/>
        <v>0</v>
      </c>
      <c r="G61" s="144">
        <f t="shared" si="15"/>
        <v>0</v>
      </c>
      <c r="H61" s="144">
        <f t="shared" si="15"/>
        <v>0</v>
      </c>
      <c r="I61" s="144">
        <f t="shared" si="15"/>
        <v>0</v>
      </c>
      <c r="K61" s="479">
        <f>K16</f>
        <v>2</v>
      </c>
    </row>
    <row r="62" spans="3:39" hidden="1" outlineLevel="1" x14ac:dyDescent="0.2">
      <c r="C62" s="145" t="s">
        <v>1087</v>
      </c>
      <c r="D62" s="144">
        <f>SUMIFS(AB$104:AB$123,$L$104:$L$123,$K62)</f>
        <v>0</v>
      </c>
      <c r="E62" s="144">
        <f t="shared" si="15"/>
        <v>0</v>
      </c>
      <c r="F62" s="144">
        <f t="shared" si="15"/>
        <v>0</v>
      </c>
      <c r="G62" s="144">
        <f t="shared" si="15"/>
        <v>0</v>
      </c>
      <c r="H62" s="144">
        <f t="shared" si="15"/>
        <v>0</v>
      </c>
      <c r="I62" s="144">
        <f t="shared" si="15"/>
        <v>0</v>
      </c>
      <c r="K62" s="479">
        <f>K17</f>
        <v>3</v>
      </c>
    </row>
    <row r="63" spans="3:39" hidden="1" outlineLevel="1" x14ac:dyDescent="0.2">
      <c r="C63" s="76" t="s">
        <v>130</v>
      </c>
      <c r="D63" s="146">
        <f t="shared" ref="D63:I63" si="16">SUM(D59:D62)</f>
        <v>0</v>
      </c>
      <c r="E63" s="146">
        <f t="shared" si="16"/>
        <v>0</v>
      </c>
      <c r="F63" s="146">
        <f t="shared" si="16"/>
        <v>0</v>
      </c>
      <c r="G63" s="146">
        <f t="shared" si="16"/>
        <v>0</v>
      </c>
      <c r="H63" s="146">
        <f t="shared" si="16"/>
        <v>0</v>
      </c>
      <c r="I63" s="146">
        <f t="shared" si="16"/>
        <v>0</v>
      </c>
      <c r="K63" s="121"/>
    </row>
    <row r="64" spans="3:39" hidden="1" outlineLevel="1" x14ac:dyDescent="0.2">
      <c r="K64" s="121"/>
    </row>
    <row r="65" spans="3:39" hidden="1" outlineLevel="1" x14ac:dyDescent="0.2">
      <c r="C65" s="333" t="s">
        <v>120</v>
      </c>
      <c r="K65" s="477" t="s">
        <v>870</v>
      </c>
    </row>
    <row r="66" spans="3:39" hidden="1" outlineLevel="1" x14ac:dyDescent="0.2">
      <c r="C66" s="81" t="s">
        <v>1084</v>
      </c>
      <c r="D66" s="144">
        <f>SUMIFS(AH$104:AH$123,$L$104:$L$123,$K66)</f>
        <v>0</v>
      </c>
      <c r="E66" s="144">
        <f t="shared" ref="E66:I69" si="17">SUMIFS(AI$104:AI$123,$L$104:$L$123,$K66)</f>
        <v>0</v>
      </c>
      <c r="F66" s="144">
        <f t="shared" si="17"/>
        <v>0</v>
      </c>
      <c r="G66" s="144">
        <f t="shared" si="17"/>
        <v>0</v>
      </c>
      <c r="H66" s="144">
        <f t="shared" si="17"/>
        <v>0</v>
      </c>
      <c r="I66" s="144">
        <f t="shared" si="17"/>
        <v>0</v>
      </c>
      <c r="K66" s="479">
        <f>K21</f>
        <v>0</v>
      </c>
    </row>
    <row r="67" spans="3:39" hidden="1" outlineLevel="1" x14ac:dyDescent="0.2">
      <c r="C67" s="143" t="s">
        <v>1085</v>
      </c>
      <c r="D67" s="144">
        <f>SUMIFS(AH$104:AH$123,$L$104:$L$123,$K67)</f>
        <v>0</v>
      </c>
      <c r="E67" s="144">
        <f t="shared" si="17"/>
        <v>0</v>
      </c>
      <c r="F67" s="144">
        <f t="shared" si="17"/>
        <v>0</v>
      </c>
      <c r="G67" s="144">
        <f t="shared" si="17"/>
        <v>0</v>
      </c>
      <c r="H67" s="144">
        <f t="shared" si="17"/>
        <v>0</v>
      </c>
      <c r="I67" s="144">
        <f t="shared" si="17"/>
        <v>0</v>
      </c>
      <c r="K67" s="479">
        <f>K22</f>
        <v>1</v>
      </c>
    </row>
    <row r="68" spans="3:39" hidden="1" outlineLevel="1" x14ac:dyDescent="0.2">
      <c r="C68" s="145" t="s">
        <v>1086</v>
      </c>
      <c r="D68" s="144">
        <f>SUMIFS(AH$104:AH$123,$L$104:$L$123,$K68)</f>
        <v>0</v>
      </c>
      <c r="E68" s="144">
        <f t="shared" si="17"/>
        <v>0</v>
      </c>
      <c r="F68" s="144">
        <f t="shared" si="17"/>
        <v>0</v>
      </c>
      <c r="G68" s="144">
        <f t="shared" si="17"/>
        <v>0</v>
      </c>
      <c r="H68" s="144">
        <f t="shared" si="17"/>
        <v>0</v>
      </c>
      <c r="I68" s="144">
        <f t="shared" si="17"/>
        <v>0</v>
      </c>
      <c r="K68" s="479">
        <f>K23</f>
        <v>2</v>
      </c>
    </row>
    <row r="69" spans="3:39" hidden="1" outlineLevel="1" x14ac:dyDescent="0.2">
      <c r="C69" s="145" t="s">
        <v>1087</v>
      </c>
      <c r="D69" s="144">
        <f>SUMIFS(AH$104:AH$123,$L$104:$L$123,$K69)</f>
        <v>0</v>
      </c>
      <c r="E69" s="144">
        <f t="shared" si="17"/>
        <v>0</v>
      </c>
      <c r="F69" s="144">
        <f t="shared" si="17"/>
        <v>0</v>
      </c>
      <c r="G69" s="144">
        <f t="shared" si="17"/>
        <v>0</v>
      </c>
      <c r="H69" s="144">
        <f t="shared" si="17"/>
        <v>0</v>
      </c>
      <c r="I69" s="144">
        <f t="shared" si="17"/>
        <v>0</v>
      </c>
      <c r="K69" s="479">
        <f>K24</f>
        <v>3</v>
      </c>
    </row>
    <row r="70" spans="3:39" hidden="1" outlineLevel="1" x14ac:dyDescent="0.2">
      <c r="C70" s="147" t="s">
        <v>131</v>
      </c>
      <c r="D70" s="146">
        <f t="shared" ref="D70:I70" si="18">SUM(D66:D69)</f>
        <v>0</v>
      </c>
      <c r="E70" s="146">
        <f t="shared" si="18"/>
        <v>0</v>
      </c>
      <c r="F70" s="146">
        <f t="shared" si="18"/>
        <v>0</v>
      </c>
      <c r="G70" s="146">
        <f t="shared" si="18"/>
        <v>0</v>
      </c>
      <c r="H70" s="146">
        <f t="shared" si="18"/>
        <v>0</v>
      </c>
      <c r="I70" s="146">
        <f t="shared" si="18"/>
        <v>0</v>
      </c>
    </row>
    <row r="71" spans="3:39" ht="12.75" hidden="1" customHeight="1" outlineLevel="1" x14ac:dyDescent="0.2"/>
    <row r="72" spans="3:39" hidden="1" outlineLevel="1" x14ac:dyDescent="0.2">
      <c r="C72" s="76" t="s">
        <v>239</v>
      </c>
      <c r="D72" s="146">
        <f t="shared" ref="D72:I72" si="19">D63+D70</f>
        <v>0</v>
      </c>
      <c r="E72" s="146">
        <f t="shared" si="19"/>
        <v>0</v>
      </c>
      <c r="F72" s="146">
        <f t="shared" si="19"/>
        <v>0</v>
      </c>
      <c r="G72" s="146">
        <f t="shared" si="19"/>
        <v>0</v>
      </c>
      <c r="H72" s="146">
        <f t="shared" si="19"/>
        <v>0</v>
      </c>
      <c r="I72" s="146">
        <f t="shared" si="19"/>
        <v>0</v>
      </c>
      <c r="M72" s="476"/>
    </row>
    <row r="73" spans="3:39" hidden="1" outlineLevel="1" x14ac:dyDescent="0.2"/>
    <row r="74" spans="3:39" ht="15.75" hidden="1" outlineLevel="1" x14ac:dyDescent="0.2">
      <c r="C74" s="111" t="s">
        <v>1115</v>
      </c>
      <c r="D74" s="113"/>
      <c r="E74" s="113"/>
      <c r="F74" s="113"/>
      <c r="G74" s="113"/>
      <c r="H74" s="113"/>
      <c r="I74" s="113"/>
      <c r="J74" s="113"/>
      <c r="K74" s="113"/>
      <c r="L74" s="113"/>
      <c r="M74" s="113"/>
      <c r="N74" s="113"/>
      <c r="O74" s="113"/>
      <c r="P74" s="113"/>
      <c r="Q74" s="113"/>
      <c r="R74" s="113"/>
      <c r="S74" s="113"/>
      <c r="T74" s="113"/>
      <c r="U74" s="113"/>
      <c r="V74" s="113"/>
      <c r="W74" s="113"/>
      <c r="X74" s="113"/>
      <c r="Y74" s="113"/>
      <c r="Z74" s="113"/>
      <c r="AA74" s="113"/>
      <c r="AB74" s="113"/>
      <c r="AC74" s="113"/>
      <c r="AD74" s="113"/>
      <c r="AE74" s="113"/>
      <c r="AF74" s="113"/>
      <c r="AG74" s="113"/>
      <c r="AH74" s="113"/>
      <c r="AI74" s="113"/>
      <c r="AJ74" s="113"/>
      <c r="AK74" s="113"/>
      <c r="AL74" s="113"/>
      <c r="AM74" s="113"/>
    </row>
    <row r="75" spans="3:39" hidden="1" outlineLevel="1" x14ac:dyDescent="0.2"/>
    <row r="76" spans="3:39" hidden="1" outlineLevel="1" x14ac:dyDescent="0.2">
      <c r="C76" t="s">
        <v>1107</v>
      </c>
    </row>
    <row r="77" spans="3:39" hidden="1" outlineLevel="1" x14ac:dyDescent="0.2"/>
    <row r="78" spans="3:39" hidden="1" outlineLevel="1" x14ac:dyDescent="0.2">
      <c r="C78" s="333" t="s">
        <v>121</v>
      </c>
      <c r="D78" s="74">
        <f>FirstYear</f>
        <v>2026</v>
      </c>
      <c r="E78" s="74">
        <f>D78+1</f>
        <v>2027</v>
      </c>
      <c r="F78" s="74">
        <f>E78+1</f>
        <v>2028</v>
      </c>
      <c r="G78" s="74">
        <f>F78+1</f>
        <v>2029</v>
      </c>
      <c r="H78" s="74">
        <f>G78+1</f>
        <v>2030</v>
      </c>
      <c r="I78" s="74">
        <f>H78+1</f>
        <v>2031</v>
      </c>
      <c r="K78" s="5" t="s">
        <v>870</v>
      </c>
      <c r="M78" s="480"/>
    </row>
    <row r="79" spans="3:39" hidden="1" outlineLevel="1" x14ac:dyDescent="0.2">
      <c r="C79" s="143" t="s">
        <v>1085</v>
      </c>
      <c r="D79" s="144">
        <f>SUMIFS(N$104:N$123,$L$104:$L$123,$K79)</f>
        <v>0</v>
      </c>
      <c r="E79" s="144">
        <f t="shared" ref="E79:I79" si="20">SUMIFS(O$104:O$123,$L$104:$L$123,$K79)</f>
        <v>0</v>
      </c>
      <c r="F79" s="144">
        <f t="shared" si="20"/>
        <v>0</v>
      </c>
      <c r="G79" s="144">
        <f t="shared" si="20"/>
        <v>0</v>
      </c>
      <c r="H79" s="144">
        <f t="shared" si="20"/>
        <v>0</v>
      </c>
      <c r="I79" s="144">
        <f t="shared" si="20"/>
        <v>0</v>
      </c>
      <c r="K79" s="214">
        <f>K34</f>
        <v>1</v>
      </c>
      <c r="M79" s="119"/>
    </row>
    <row r="80" spans="3:39" ht="12.75" hidden="1" customHeight="1" outlineLevel="1" x14ac:dyDescent="0.2">
      <c r="K80" s="103"/>
    </row>
    <row r="81" spans="3:13" hidden="1" outlineLevel="1" x14ac:dyDescent="0.2">
      <c r="C81" s="81" t="s">
        <v>1086</v>
      </c>
      <c r="D81" s="144">
        <f>SUMIFS(N$104:N$123,$L$104:$L$123,$K81)</f>
        <v>0</v>
      </c>
      <c r="E81" s="144">
        <f t="shared" ref="E81:I82" si="21">SUMIFS(O$104:O$123,$L$104:$L$123,$K81)</f>
        <v>0</v>
      </c>
      <c r="F81" s="144">
        <f t="shared" si="21"/>
        <v>0</v>
      </c>
      <c r="G81" s="144">
        <f t="shared" si="21"/>
        <v>0</v>
      </c>
      <c r="H81" s="144">
        <f t="shared" si="21"/>
        <v>0</v>
      </c>
      <c r="I81" s="144">
        <f t="shared" si="21"/>
        <v>0</v>
      </c>
      <c r="K81" s="214">
        <f>K36</f>
        <v>2</v>
      </c>
      <c r="M81" s="119"/>
    </row>
    <row r="82" spans="3:13" hidden="1" outlineLevel="1" x14ac:dyDescent="0.2">
      <c r="C82" s="145" t="s">
        <v>1087</v>
      </c>
      <c r="D82" s="144">
        <f>SUMIFS(N$104:N$123,$L$104:$L$123,$K82)</f>
        <v>0</v>
      </c>
      <c r="E82" s="144">
        <f t="shared" si="21"/>
        <v>0</v>
      </c>
      <c r="F82" s="144">
        <f t="shared" si="21"/>
        <v>0</v>
      </c>
      <c r="G82" s="144">
        <f t="shared" si="21"/>
        <v>0</v>
      </c>
      <c r="H82" s="144">
        <f t="shared" si="21"/>
        <v>0</v>
      </c>
      <c r="I82" s="144">
        <f t="shared" si="21"/>
        <v>0</v>
      </c>
      <c r="K82" s="214">
        <f>K37</f>
        <v>3</v>
      </c>
      <c r="M82" s="119"/>
    </row>
    <row r="83" spans="3:13" hidden="1" outlineLevel="1" x14ac:dyDescent="0.2">
      <c r="C83" s="147" t="s">
        <v>121</v>
      </c>
      <c r="D83" s="146">
        <f t="shared" ref="D83:I83" si="22">SUM(D81:D82)</f>
        <v>0</v>
      </c>
      <c r="E83" s="146">
        <f t="shared" si="22"/>
        <v>0</v>
      </c>
      <c r="F83" s="146">
        <f t="shared" si="22"/>
        <v>0</v>
      </c>
      <c r="G83" s="146">
        <f t="shared" si="22"/>
        <v>0</v>
      </c>
      <c r="H83" s="146">
        <f t="shared" si="22"/>
        <v>0</v>
      </c>
      <c r="I83" s="146">
        <f t="shared" si="22"/>
        <v>0</v>
      </c>
      <c r="K83" s="103"/>
    </row>
    <row r="84" spans="3:13" ht="12.75" hidden="1" customHeight="1" outlineLevel="1" x14ac:dyDescent="0.2">
      <c r="K84" s="103"/>
    </row>
    <row r="85" spans="3:13" hidden="1" outlineLevel="1" x14ac:dyDescent="0.2">
      <c r="C85" s="81" t="s">
        <v>1088</v>
      </c>
      <c r="D85" s="144">
        <f>SUMIFS(N$104:N$123,$M$104:$M$123,$K85)</f>
        <v>0</v>
      </c>
      <c r="E85" s="144">
        <f t="shared" ref="E85:I86" si="23">SUMIFS(O$104:O$123,$M$104:$M$123,$K85)</f>
        <v>0</v>
      </c>
      <c r="F85" s="144">
        <f t="shared" si="23"/>
        <v>0</v>
      </c>
      <c r="G85" s="144">
        <f t="shared" si="23"/>
        <v>0</v>
      </c>
      <c r="H85" s="144">
        <f t="shared" si="23"/>
        <v>0</v>
      </c>
      <c r="I85" s="144">
        <f t="shared" si="23"/>
        <v>0</v>
      </c>
      <c r="K85" s="214">
        <f>K40</f>
        <v>2</v>
      </c>
      <c r="M85" s="119"/>
    </row>
    <row r="86" spans="3:13" hidden="1" outlineLevel="1" x14ac:dyDescent="0.2">
      <c r="C86" s="81" t="s">
        <v>1089</v>
      </c>
      <c r="D86" s="144">
        <f>SUMIFS(N$104:N$123,$M$104:$M$123,$K86)</f>
        <v>0</v>
      </c>
      <c r="E86" s="144">
        <f t="shared" si="23"/>
        <v>0</v>
      </c>
      <c r="F86" s="144">
        <f t="shared" si="23"/>
        <v>0</v>
      </c>
      <c r="G86" s="144">
        <f t="shared" si="23"/>
        <v>0</v>
      </c>
      <c r="H86" s="144">
        <f t="shared" si="23"/>
        <v>0</v>
      </c>
      <c r="I86" s="144">
        <f t="shared" si="23"/>
        <v>0</v>
      </c>
      <c r="K86" s="214">
        <f>K41</f>
        <v>3</v>
      </c>
      <c r="M86" s="476"/>
    </row>
    <row r="87" spans="3:13" hidden="1" outlineLevel="1" x14ac:dyDescent="0.2"/>
    <row r="88" spans="3:13" hidden="1" outlineLevel="1" x14ac:dyDescent="0.2">
      <c r="C88" s="260" t="s">
        <v>122</v>
      </c>
      <c r="K88" s="5" t="s">
        <v>870</v>
      </c>
    </row>
    <row r="89" spans="3:13" hidden="1" outlineLevel="1" x14ac:dyDescent="0.2">
      <c r="C89" s="143" t="s">
        <v>1085</v>
      </c>
      <c r="D89" s="144">
        <f>SUMIFS(T$104:T$123,$L$104:$L$123,$K89)</f>
        <v>0</v>
      </c>
      <c r="E89" s="144">
        <f t="shared" ref="E89:I89" si="24">SUMIFS(U$104:U$123,$L$104:$L$123,$K89)</f>
        <v>0</v>
      </c>
      <c r="F89" s="144">
        <f t="shared" si="24"/>
        <v>0</v>
      </c>
      <c r="G89" s="144">
        <f t="shared" si="24"/>
        <v>0</v>
      </c>
      <c r="H89" s="144">
        <f t="shared" si="24"/>
        <v>0</v>
      </c>
      <c r="I89" s="144">
        <f t="shared" si="24"/>
        <v>0</v>
      </c>
      <c r="K89" s="214">
        <f>K44</f>
        <v>1</v>
      </c>
      <c r="M89" s="119"/>
    </row>
    <row r="90" spans="3:13" ht="12.75" hidden="1" customHeight="1" outlineLevel="1" x14ac:dyDescent="0.2">
      <c r="K90" s="103"/>
    </row>
    <row r="91" spans="3:13" hidden="1" outlineLevel="1" x14ac:dyDescent="0.2">
      <c r="C91" s="81" t="s">
        <v>1086</v>
      </c>
      <c r="D91" s="144">
        <f>SUMIFS(T$104:T$123,$L$104:$L$123,$K91)</f>
        <v>0</v>
      </c>
      <c r="E91" s="144">
        <f t="shared" ref="E91:I92" si="25">SUMIFS(U$104:U$123,$L$104:$L$123,$K91)</f>
        <v>0</v>
      </c>
      <c r="F91" s="144">
        <f t="shared" si="25"/>
        <v>0</v>
      </c>
      <c r="G91" s="144">
        <f t="shared" si="25"/>
        <v>0</v>
      </c>
      <c r="H91" s="144">
        <f t="shared" si="25"/>
        <v>0</v>
      </c>
      <c r="I91" s="144">
        <f t="shared" si="25"/>
        <v>0</v>
      </c>
      <c r="K91" s="214">
        <f>K46</f>
        <v>2</v>
      </c>
      <c r="M91" s="119"/>
    </row>
    <row r="92" spans="3:13" hidden="1" outlineLevel="1" x14ac:dyDescent="0.2">
      <c r="C92" s="145" t="s">
        <v>1087</v>
      </c>
      <c r="D92" s="144">
        <f>SUMIFS(T$104:T$123,$L$104:$L$123,$K92)</f>
        <v>0</v>
      </c>
      <c r="E92" s="144">
        <f t="shared" si="25"/>
        <v>0</v>
      </c>
      <c r="F92" s="144">
        <f t="shared" si="25"/>
        <v>0</v>
      </c>
      <c r="G92" s="144">
        <f t="shared" si="25"/>
        <v>0</v>
      </c>
      <c r="H92" s="144">
        <f t="shared" si="25"/>
        <v>0</v>
      </c>
      <c r="I92" s="144">
        <f t="shared" si="25"/>
        <v>0</v>
      </c>
      <c r="K92" s="214">
        <f>K47</f>
        <v>3</v>
      </c>
      <c r="M92" s="119"/>
    </row>
    <row r="93" spans="3:13" hidden="1" outlineLevel="1" x14ac:dyDescent="0.2">
      <c r="C93" s="147" t="s">
        <v>122</v>
      </c>
      <c r="D93" s="146">
        <f t="shared" ref="D93:I93" si="26">SUM(D91:D92)</f>
        <v>0</v>
      </c>
      <c r="E93" s="146">
        <f t="shared" si="26"/>
        <v>0</v>
      </c>
      <c r="F93" s="146">
        <f t="shared" si="26"/>
        <v>0</v>
      </c>
      <c r="G93" s="146">
        <f t="shared" si="26"/>
        <v>0</v>
      </c>
      <c r="H93" s="146">
        <f t="shared" si="26"/>
        <v>0</v>
      </c>
      <c r="I93" s="146">
        <f t="shared" si="26"/>
        <v>0</v>
      </c>
      <c r="K93" s="103"/>
    </row>
    <row r="94" spans="3:13" hidden="1" outlineLevel="1" x14ac:dyDescent="0.2">
      <c r="K94" s="103"/>
    </row>
    <row r="95" spans="3:13" hidden="1" outlineLevel="1" x14ac:dyDescent="0.2">
      <c r="C95" s="81" t="s">
        <v>1088</v>
      </c>
      <c r="D95" s="144">
        <f>SUMIFS(T$104:T$123,$M$104:$M$123,$K95)</f>
        <v>0</v>
      </c>
      <c r="E95" s="144">
        <f t="shared" ref="E95:I96" si="27">SUMIFS(U$104:U$123,$M$104:$M$123,$K95)+SUMIFS(U$338:U$357,$M$338:$M$357,$K95)</f>
        <v>0</v>
      </c>
      <c r="F95" s="144">
        <f t="shared" si="27"/>
        <v>0</v>
      </c>
      <c r="G95" s="144">
        <f t="shared" si="27"/>
        <v>0</v>
      </c>
      <c r="H95" s="144">
        <f t="shared" si="27"/>
        <v>0</v>
      </c>
      <c r="I95" s="144">
        <f t="shared" si="27"/>
        <v>0</v>
      </c>
      <c r="K95" s="214">
        <f>K50</f>
        <v>2</v>
      </c>
      <c r="M95" s="119"/>
    </row>
    <row r="96" spans="3:13" hidden="1" outlineLevel="1" x14ac:dyDescent="0.2">
      <c r="C96" s="81" t="s">
        <v>1089</v>
      </c>
      <c r="D96" s="144">
        <f>SUMIFS(T$104:T$123,$M$104:$M$123,$K96)</f>
        <v>0</v>
      </c>
      <c r="E96" s="144">
        <f t="shared" si="27"/>
        <v>0</v>
      </c>
      <c r="F96" s="144">
        <f t="shared" si="27"/>
        <v>0</v>
      </c>
      <c r="G96" s="144">
        <f t="shared" si="27"/>
        <v>0</v>
      </c>
      <c r="H96" s="144">
        <f t="shared" si="27"/>
        <v>0</v>
      </c>
      <c r="I96" s="144">
        <f t="shared" si="27"/>
        <v>0</v>
      </c>
      <c r="K96" s="214">
        <f>K51</f>
        <v>3</v>
      </c>
      <c r="M96" s="119"/>
    </row>
    <row r="97" spans="2:39" hidden="1" outlineLevel="1" x14ac:dyDescent="0.2">
      <c r="M97" s="476"/>
    </row>
    <row r="98" spans="2:39" collapsed="1" x14ac:dyDescent="0.2">
      <c r="C98" s="450"/>
      <c r="D98" s="481"/>
      <c r="E98" s="481"/>
      <c r="F98" s="481"/>
      <c r="G98" s="481"/>
      <c r="H98" s="481"/>
      <c r="I98" s="481"/>
      <c r="J98" s="481"/>
      <c r="K98" s="481"/>
      <c r="L98" s="481"/>
      <c r="M98" s="481"/>
      <c r="N98" s="481"/>
      <c r="O98" s="481"/>
      <c r="P98" s="481"/>
      <c r="Q98" s="481"/>
      <c r="R98" s="481"/>
      <c r="S98" s="481"/>
      <c r="T98" s="481"/>
      <c r="U98" s="481"/>
      <c r="V98" s="481"/>
      <c r="W98" s="481"/>
      <c r="X98" s="481"/>
      <c r="Y98" s="481"/>
      <c r="Z98" s="481"/>
      <c r="AA98" s="481"/>
      <c r="AB98" s="481"/>
      <c r="AC98" s="481"/>
      <c r="AD98" s="481"/>
      <c r="AE98" s="481"/>
      <c r="AF98" s="481"/>
      <c r="AG98" s="481"/>
      <c r="AH98" s="481"/>
      <c r="AI98" s="481"/>
      <c r="AJ98" s="481"/>
      <c r="AK98" s="481"/>
      <c r="AL98" s="481"/>
      <c r="AM98" s="481"/>
    </row>
    <row r="99" spans="2:39" ht="15.75" x14ac:dyDescent="0.2">
      <c r="C99" s="111" t="s">
        <v>871</v>
      </c>
      <c r="D99" s="113"/>
      <c r="E99" s="113"/>
      <c r="F99" s="113"/>
      <c r="G99" s="113"/>
      <c r="H99" s="113"/>
      <c r="I99" s="113"/>
      <c r="J99" s="113"/>
      <c r="K99" s="113"/>
      <c r="L99" s="113"/>
      <c r="M99" s="113"/>
      <c r="N99" s="113"/>
      <c r="O99" s="113"/>
      <c r="P99" s="113"/>
      <c r="Q99" s="113"/>
      <c r="R99" s="113"/>
      <c r="S99" s="113"/>
      <c r="T99" s="113"/>
      <c r="U99" s="113"/>
      <c r="V99" s="113"/>
      <c r="W99" s="113"/>
      <c r="X99" s="113"/>
      <c r="Y99" s="113"/>
      <c r="Z99" s="113"/>
      <c r="AA99" s="113"/>
      <c r="AB99" s="113"/>
      <c r="AC99" s="113"/>
      <c r="AD99" s="113"/>
      <c r="AE99" s="113"/>
      <c r="AF99" s="113"/>
      <c r="AG99" s="113"/>
      <c r="AH99" s="113"/>
      <c r="AI99" s="113"/>
      <c r="AJ99" s="113"/>
      <c r="AK99" s="113"/>
      <c r="AL99" s="113"/>
      <c r="AM99" s="113"/>
    </row>
    <row r="100" spans="2:39" outlineLevel="2" x14ac:dyDescent="0.2"/>
    <row r="101" spans="2:39" outlineLevel="2" x14ac:dyDescent="0.2">
      <c r="C101" t="s">
        <v>837</v>
      </c>
      <c r="N101" s="602" t="s">
        <v>132</v>
      </c>
      <c r="O101" s="602"/>
      <c r="P101" s="602"/>
      <c r="Q101" s="602"/>
      <c r="R101" s="602"/>
      <c r="S101" s="602"/>
      <c r="T101" s="602"/>
      <c r="U101" s="602"/>
      <c r="V101" s="602"/>
      <c r="W101" s="602"/>
      <c r="X101" s="602"/>
      <c r="Y101" s="602"/>
      <c r="AB101" s="639" t="s">
        <v>238</v>
      </c>
      <c r="AC101" s="639"/>
      <c r="AD101" s="639"/>
      <c r="AE101" s="639"/>
      <c r="AF101" s="639"/>
      <c r="AG101" s="639"/>
      <c r="AH101" s="639"/>
      <c r="AI101" s="639"/>
      <c r="AJ101" s="639"/>
      <c r="AK101" s="639"/>
      <c r="AL101" s="639"/>
      <c r="AM101" s="639"/>
    </row>
    <row r="102" spans="2:39" outlineLevel="2" x14ac:dyDescent="0.2">
      <c r="C102" s="260"/>
      <c r="N102" s="602" t="s">
        <v>0</v>
      </c>
      <c r="O102" s="602"/>
      <c r="P102" s="602"/>
      <c r="Q102" s="602"/>
      <c r="R102" s="602"/>
      <c r="S102" s="602"/>
      <c r="T102" s="639" t="s">
        <v>1</v>
      </c>
      <c r="U102" s="639"/>
      <c r="V102" s="639"/>
      <c r="W102" s="639"/>
      <c r="X102" s="639"/>
      <c r="Y102" s="639"/>
      <c r="AB102" s="602" t="s">
        <v>0</v>
      </c>
      <c r="AC102" s="602"/>
      <c r="AD102" s="602"/>
      <c r="AE102" s="602"/>
      <c r="AF102" s="602"/>
      <c r="AG102" s="602"/>
      <c r="AH102" s="639" t="s">
        <v>1</v>
      </c>
      <c r="AI102" s="639"/>
      <c r="AJ102" s="639"/>
      <c r="AK102" s="639"/>
      <c r="AL102" s="639"/>
      <c r="AM102" s="639"/>
    </row>
    <row r="103" spans="2:39" ht="25.5" outlineLevel="2" x14ac:dyDescent="0.2">
      <c r="C103" s="641" t="s">
        <v>799</v>
      </c>
      <c r="D103" s="642"/>
      <c r="E103" s="643"/>
      <c r="F103" s="5" t="s">
        <v>420</v>
      </c>
      <c r="G103" s="5" t="s">
        <v>123</v>
      </c>
      <c r="H103" s="5" t="s">
        <v>118</v>
      </c>
      <c r="I103" s="5" t="s">
        <v>687</v>
      </c>
      <c r="J103" s="5" t="s">
        <v>241</v>
      </c>
      <c r="K103" s="5" t="s">
        <v>269</v>
      </c>
      <c r="L103" s="5" t="s">
        <v>268</v>
      </c>
      <c r="M103" s="5" t="s">
        <v>687</v>
      </c>
      <c r="N103" s="74">
        <f>FirstYear</f>
        <v>2026</v>
      </c>
      <c r="O103" s="74">
        <f>N103+1</f>
        <v>2027</v>
      </c>
      <c r="P103" s="74">
        <f>O103+1</f>
        <v>2028</v>
      </c>
      <c r="Q103" s="74">
        <f>P103+1</f>
        <v>2029</v>
      </c>
      <c r="R103" s="74">
        <f>Q103+1</f>
        <v>2030</v>
      </c>
      <c r="S103" s="74">
        <f>R103+1</f>
        <v>2031</v>
      </c>
      <c r="T103" s="74">
        <f>FirstYear</f>
        <v>2026</v>
      </c>
      <c r="U103" s="74">
        <f>T103+1</f>
        <v>2027</v>
      </c>
      <c r="V103" s="74">
        <f>U103+1</f>
        <v>2028</v>
      </c>
      <c r="W103" s="74">
        <f>V103+1</f>
        <v>2029</v>
      </c>
      <c r="X103" s="74">
        <f>W103+1</f>
        <v>2030</v>
      </c>
      <c r="Y103" s="74">
        <f>X103+1</f>
        <v>2031</v>
      </c>
      <c r="AB103" s="74">
        <f>FirstYear</f>
        <v>2026</v>
      </c>
      <c r="AC103" s="74">
        <f>AB103+1</f>
        <v>2027</v>
      </c>
      <c r="AD103" s="74">
        <f>AC103+1</f>
        <v>2028</v>
      </c>
      <c r="AE103" s="74">
        <f>AD103+1</f>
        <v>2029</v>
      </c>
      <c r="AF103" s="74">
        <f>AE103+1</f>
        <v>2030</v>
      </c>
      <c r="AG103" s="74">
        <f>AF103+1</f>
        <v>2031</v>
      </c>
      <c r="AH103" s="74">
        <f>FirstYear</f>
        <v>2026</v>
      </c>
      <c r="AI103" s="74">
        <f>AH103+1</f>
        <v>2027</v>
      </c>
      <c r="AJ103" s="74">
        <f>AI103+1</f>
        <v>2028</v>
      </c>
      <c r="AK103" s="74">
        <f>AJ103+1</f>
        <v>2029</v>
      </c>
      <c r="AL103" s="74">
        <f>AK103+1</f>
        <v>2030</v>
      </c>
      <c r="AM103" s="74">
        <f>AL103+1</f>
        <v>2031</v>
      </c>
    </row>
    <row r="104" spans="2:39" outlineLevel="2" x14ac:dyDescent="0.2">
      <c r="B104" s="249">
        <v>1</v>
      </c>
      <c r="C104" s="640" t="str">
        <f t="shared" ref="C104:C123" si="28">INDEX(PBSScriptsNew,B104,1)</f>
        <v>** NOT USED **</v>
      </c>
      <c r="D104" s="552"/>
      <c r="E104" s="552"/>
      <c r="F104" s="42"/>
      <c r="G104" s="57" t="str">
        <f t="shared" ref="G104:G113" si="29">IF(F104&lt;&gt;"",F104+1,"")</f>
        <v/>
      </c>
      <c r="H104" s="138"/>
      <c r="I104" s="138"/>
      <c r="J104" s="138"/>
      <c r="K104" s="207">
        <f t="shared" ref="K104:K123" si="30">IF(J104="Yes",G104,1)</f>
        <v>1</v>
      </c>
      <c r="L104" s="207">
        <f t="shared" ref="L104:L123" si="31">IF(AND(G104&lt;&gt;"",H104&lt;&gt;""),VLOOKUP(H104,AuthorityCode,2,FALSE),0)</f>
        <v>0</v>
      </c>
      <c r="M104" s="207">
        <f>IF(I104="Yes",L104,0)</f>
        <v>0</v>
      </c>
      <c r="N104" s="214">
        <f t="shared" ref="N104:S104" si="32">D131</f>
        <v>0</v>
      </c>
      <c r="O104" s="214">
        <f t="shared" si="32"/>
        <v>0</v>
      </c>
      <c r="P104" s="214">
        <f t="shared" si="32"/>
        <v>0</v>
      </c>
      <c r="Q104" s="214">
        <f t="shared" si="32"/>
        <v>0</v>
      </c>
      <c r="R104" s="214">
        <f t="shared" si="32"/>
        <v>0</v>
      </c>
      <c r="S104" s="214">
        <f t="shared" si="32"/>
        <v>0</v>
      </c>
      <c r="T104" s="259">
        <f t="shared" ref="T104:Y104" si="33">D132</f>
        <v>0</v>
      </c>
      <c r="U104" s="259">
        <f t="shared" si="33"/>
        <v>0</v>
      </c>
      <c r="V104" s="259">
        <f t="shared" si="33"/>
        <v>0</v>
      </c>
      <c r="W104" s="259">
        <f t="shared" si="33"/>
        <v>0</v>
      </c>
      <c r="X104" s="259">
        <f t="shared" si="33"/>
        <v>0</v>
      </c>
      <c r="Y104" s="259">
        <f t="shared" si="33"/>
        <v>0</v>
      </c>
      <c r="AB104" s="214">
        <f t="shared" ref="AB104:AG104" si="34">D129</f>
        <v>0</v>
      </c>
      <c r="AC104" s="214">
        <f t="shared" si="34"/>
        <v>0</v>
      </c>
      <c r="AD104" s="214">
        <f t="shared" si="34"/>
        <v>0</v>
      </c>
      <c r="AE104" s="214">
        <f t="shared" si="34"/>
        <v>0</v>
      </c>
      <c r="AF104" s="214">
        <f t="shared" si="34"/>
        <v>0</v>
      </c>
      <c r="AG104" s="214">
        <f t="shared" si="34"/>
        <v>0</v>
      </c>
      <c r="AH104" s="259">
        <f t="shared" ref="AH104:AM104" si="35">D130</f>
        <v>0</v>
      </c>
      <c r="AI104" s="259">
        <f t="shared" si="35"/>
        <v>0</v>
      </c>
      <c r="AJ104" s="259">
        <f t="shared" si="35"/>
        <v>0</v>
      </c>
      <c r="AK104" s="259">
        <f t="shared" si="35"/>
        <v>0</v>
      </c>
      <c r="AL104" s="259">
        <f t="shared" si="35"/>
        <v>0</v>
      </c>
      <c r="AM104" s="259">
        <f t="shared" si="35"/>
        <v>0</v>
      </c>
    </row>
    <row r="105" spans="2:39" outlineLevel="2" x14ac:dyDescent="0.2">
      <c r="B105" s="249">
        <v>2</v>
      </c>
      <c r="C105" s="640" t="str">
        <f t="shared" si="28"/>
        <v>** NOT USED **</v>
      </c>
      <c r="D105" s="552"/>
      <c r="E105" s="552"/>
      <c r="F105" s="42"/>
      <c r="G105" s="57" t="str">
        <f t="shared" si="29"/>
        <v/>
      </c>
      <c r="H105" s="138"/>
      <c r="I105" s="138"/>
      <c r="J105" s="138"/>
      <c r="K105" s="207">
        <f t="shared" si="30"/>
        <v>1</v>
      </c>
      <c r="L105" s="207">
        <f t="shared" si="31"/>
        <v>0</v>
      </c>
      <c r="M105" s="207">
        <f t="shared" ref="M105:M123" si="36">IF(I105="Yes",L105,0)</f>
        <v>0</v>
      </c>
      <c r="N105" s="214">
        <f t="shared" ref="N105:S105" si="37">D139</f>
        <v>0</v>
      </c>
      <c r="O105" s="214">
        <f t="shared" si="37"/>
        <v>0</v>
      </c>
      <c r="P105" s="214">
        <f t="shared" si="37"/>
        <v>0</v>
      </c>
      <c r="Q105" s="214">
        <f t="shared" si="37"/>
        <v>0</v>
      </c>
      <c r="R105" s="214">
        <f t="shared" si="37"/>
        <v>0</v>
      </c>
      <c r="S105" s="214">
        <f t="shared" si="37"/>
        <v>0</v>
      </c>
      <c r="T105" s="259">
        <f t="shared" ref="T105:Y105" si="38">D140</f>
        <v>0</v>
      </c>
      <c r="U105" s="259">
        <f t="shared" si="38"/>
        <v>0</v>
      </c>
      <c r="V105" s="259">
        <f t="shared" si="38"/>
        <v>0</v>
      </c>
      <c r="W105" s="259">
        <f t="shared" si="38"/>
        <v>0</v>
      </c>
      <c r="X105" s="259">
        <f t="shared" si="38"/>
        <v>0</v>
      </c>
      <c r="Y105" s="259">
        <f t="shared" si="38"/>
        <v>0</v>
      </c>
      <c r="AB105" s="214">
        <f t="shared" ref="AB105:AG105" si="39">D137</f>
        <v>0</v>
      </c>
      <c r="AC105" s="214">
        <f t="shared" si="39"/>
        <v>0</v>
      </c>
      <c r="AD105" s="214">
        <f t="shared" si="39"/>
        <v>0</v>
      </c>
      <c r="AE105" s="214">
        <f t="shared" si="39"/>
        <v>0</v>
      </c>
      <c r="AF105" s="214">
        <f t="shared" si="39"/>
        <v>0</v>
      </c>
      <c r="AG105" s="214">
        <f t="shared" si="39"/>
        <v>0</v>
      </c>
      <c r="AH105" s="259">
        <f t="shared" ref="AH105:AM105" si="40">D138</f>
        <v>0</v>
      </c>
      <c r="AI105" s="259">
        <f t="shared" si="40"/>
        <v>0</v>
      </c>
      <c r="AJ105" s="259">
        <f t="shared" si="40"/>
        <v>0</v>
      </c>
      <c r="AK105" s="259">
        <f t="shared" si="40"/>
        <v>0</v>
      </c>
      <c r="AL105" s="259">
        <f t="shared" si="40"/>
        <v>0</v>
      </c>
      <c r="AM105" s="259">
        <f t="shared" si="40"/>
        <v>0</v>
      </c>
    </row>
    <row r="106" spans="2:39" outlineLevel="2" x14ac:dyDescent="0.2">
      <c r="B106" s="249">
        <v>3</v>
      </c>
      <c r="C106" s="640" t="str">
        <f t="shared" si="28"/>
        <v>** NOT USED **</v>
      </c>
      <c r="D106" s="552"/>
      <c r="E106" s="552"/>
      <c r="F106" s="42"/>
      <c r="G106" s="57" t="str">
        <f t="shared" si="29"/>
        <v/>
      </c>
      <c r="H106" s="138"/>
      <c r="I106" s="138"/>
      <c r="J106" s="138"/>
      <c r="K106" s="207">
        <f t="shared" si="30"/>
        <v>1</v>
      </c>
      <c r="L106" s="207">
        <f t="shared" si="31"/>
        <v>0</v>
      </c>
      <c r="M106" s="207">
        <f t="shared" si="36"/>
        <v>0</v>
      </c>
      <c r="N106" s="214">
        <f t="shared" ref="N106:S106" si="41">D147</f>
        <v>0</v>
      </c>
      <c r="O106" s="214">
        <f t="shared" si="41"/>
        <v>0</v>
      </c>
      <c r="P106" s="214">
        <f t="shared" si="41"/>
        <v>0</v>
      </c>
      <c r="Q106" s="214">
        <f t="shared" si="41"/>
        <v>0</v>
      </c>
      <c r="R106" s="214">
        <f t="shared" si="41"/>
        <v>0</v>
      </c>
      <c r="S106" s="214">
        <f t="shared" si="41"/>
        <v>0</v>
      </c>
      <c r="T106" s="259">
        <f t="shared" ref="T106:Y106" si="42">D148</f>
        <v>0</v>
      </c>
      <c r="U106" s="259">
        <f t="shared" si="42"/>
        <v>0</v>
      </c>
      <c r="V106" s="259">
        <f t="shared" si="42"/>
        <v>0</v>
      </c>
      <c r="W106" s="259">
        <f t="shared" si="42"/>
        <v>0</v>
      </c>
      <c r="X106" s="259">
        <f t="shared" si="42"/>
        <v>0</v>
      </c>
      <c r="Y106" s="259">
        <f t="shared" si="42"/>
        <v>0</v>
      </c>
      <c r="AB106" s="214">
        <f t="shared" ref="AB106:AG106" si="43">D145</f>
        <v>0</v>
      </c>
      <c r="AC106" s="214">
        <f t="shared" si="43"/>
        <v>0</v>
      </c>
      <c r="AD106" s="214">
        <f t="shared" si="43"/>
        <v>0</v>
      </c>
      <c r="AE106" s="214">
        <f t="shared" si="43"/>
        <v>0</v>
      </c>
      <c r="AF106" s="214">
        <f t="shared" si="43"/>
        <v>0</v>
      </c>
      <c r="AG106" s="214">
        <f t="shared" si="43"/>
        <v>0</v>
      </c>
      <c r="AH106" s="259">
        <f t="shared" ref="AH106:AM106" si="44">D146</f>
        <v>0</v>
      </c>
      <c r="AI106" s="259">
        <f t="shared" si="44"/>
        <v>0</v>
      </c>
      <c r="AJ106" s="259">
        <f t="shared" si="44"/>
        <v>0</v>
      </c>
      <c r="AK106" s="259">
        <f t="shared" si="44"/>
        <v>0</v>
      </c>
      <c r="AL106" s="259">
        <f t="shared" si="44"/>
        <v>0</v>
      </c>
      <c r="AM106" s="259">
        <f t="shared" si="44"/>
        <v>0</v>
      </c>
    </row>
    <row r="107" spans="2:39" outlineLevel="2" x14ac:dyDescent="0.2">
      <c r="B107" s="249">
        <v>4</v>
      </c>
      <c r="C107" s="640" t="str">
        <f t="shared" si="28"/>
        <v>** NOT USED **</v>
      </c>
      <c r="D107" s="552"/>
      <c r="E107" s="552"/>
      <c r="F107" s="42"/>
      <c r="G107" s="57" t="str">
        <f t="shared" si="29"/>
        <v/>
      </c>
      <c r="H107" s="138"/>
      <c r="I107" s="138"/>
      <c r="J107" s="138"/>
      <c r="K107" s="207">
        <f t="shared" si="30"/>
        <v>1</v>
      </c>
      <c r="L107" s="207">
        <f t="shared" si="31"/>
        <v>0</v>
      </c>
      <c r="M107" s="207">
        <f t="shared" si="36"/>
        <v>0</v>
      </c>
      <c r="N107" s="214">
        <f t="shared" ref="N107:S107" si="45">D155</f>
        <v>0</v>
      </c>
      <c r="O107" s="214">
        <f t="shared" si="45"/>
        <v>0</v>
      </c>
      <c r="P107" s="214">
        <f t="shared" si="45"/>
        <v>0</v>
      </c>
      <c r="Q107" s="214">
        <f t="shared" si="45"/>
        <v>0</v>
      </c>
      <c r="R107" s="214">
        <f t="shared" si="45"/>
        <v>0</v>
      </c>
      <c r="S107" s="214">
        <f t="shared" si="45"/>
        <v>0</v>
      </c>
      <c r="T107" s="259">
        <f t="shared" ref="T107:Y107" si="46">D156</f>
        <v>0</v>
      </c>
      <c r="U107" s="259">
        <f t="shared" si="46"/>
        <v>0</v>
      </c>
      <c r="V107" s="259">
        <f t="shared" si="46"/>
        <v>0</v>
      </c>
      <c r="W107" s="259">
        <f t="shared" si="46"/>
        <v>0</v>
      </c>
      <c r="X107" s="259">
        <f t="shared" si="46"/>
        <v>0</v>
      </c>
      <c r="Y107" s="259">
        <f t="shared" si="46"/>
        <v>0</v>
      </c>
      <c r="AB107" s="214">
        <f t="shared" ref="AB107:AG107" si="47">D153</f>
        <v>0</v>
      </c>
      <c r="AC107" s="214">
        <f t="shared" si="47"/>
        <v>0</v>
      </c>
      <c r="AD107" s="214">
        <f t="shared" si="47"/>
        <v>0</v>
      </c>
      <c r="AE107" s="214">
        <f t="shared" si="47"/>
        <v>0</v>
      </c>
      <c r="AF107" s="214">
        <f t="shared" si="47"/>
        <v>0</v>
      </c>
      <c r="AG107" s="214">
        <f t="shared" si="47"/>
        <v>0</v>
      </c>
      <c r="AH107" s="259">
        <f t="shared" ref="AH107:AM107" si="48">D154</f>
        <v>0</v>
      </c>
      <c r="AI107" s="259">
        <f t="shared" si="48"/>
        <v>0</v>
      </c>
      <c r="AJ107" s="259">
        <f t="shared" si="48"/>
        <v>0</v>
      </c>
      <c r="AK107" s="259">
        <f t="shared" si="48"/>
        <v>0</v>
      </c>
      <c r="AL107" s="259">
        <f t="shared" si="48"/>
        <v>0</v>
      </c>
      <c r="AM107" s="259">
        <f t="shared" si="48"/>
        <v>0</v>
      </c>
    </row>
    <row r="108" spans="2:39" outlineLevel="2" x14ac:dyDescent="0.2">
      <c r="B108" s="249">
        <v>5</v>
      </c>
      <c r="C108" s="640" t="str">
        <f t="shared" si="28"/>
        <v>** NOT USED **</v>
      </c>
      <c r="D108" s="552"/>
      <c r="E108" s="552"/>
      <c r="F108" s="42"/>
      <c r="G108" s="57" t="str">
        <f t="shared" si="29"/>
        <v/>
      </c>
      <c r="H108" s="138"/>
      <c r="I108" s="138"/>
      <c r="J108" s="138"/>
      <c r="K108" s="207">
        <f t="shared" si="30"/>
        <v>1</v>
      </c>
      <c r="L108" s="207">
        <f t="shared" si="31"/>
        <v>0</v>
      </c>
      <c r="M108" s="207">
        <f t="shared" si="36"/>
        <v>0</v>
      </c>
      <c r="N108" s="214">
        <f t="shared" ref="N108:S108" si="49">D163</f>
        <v>0</v>
      </c>
      <c r="O108" s="214">
        <f t="shared" si="49"/>
        <v>0</v>
      </c>
      <c r="P108" s="214">
        <f t="shared" si="49"/>
        <v>0</v>
      </c>
      <c r="Q108" s="214">
        <f t="shared" si="49"/>
        <v>0</v>
      </c>
      <c r="R108" s="214">
        <f t="shared" si="49"/>
        <v>0</v>
      </c>
      <c r="S108" s="214">
        <f t="shared" si="49"/>
        <v>0</v>
      </c>
      <c r="T108" s="259">
        <f t="shared" ref="T108:Y108" si="50">D164</f>
        <v>0</v>
      </c>
      <c r="U108" s="259">
        <f t="shared" si="50"/>
        <v>0</v>
      </c>
      <c r="V108" s="259">
        <f t="shared" si="50"/>
        <v>0</v>
      </c>
      <c r="W108" s="259">
        <f t="shared" si="50"/>
        <v>0</v>
      </c>
      <c r="X108" s="259">
        <f t="shared" si="50"/>
        <v>0</v>
      </c>
      <c r="Y108" s="259">
        <f t="shared" si="50"/>
        <v>0</v>
      </c>
      <c r="AB108" s="214">
        <f t="shared" ref="AB108:AG108" si="51">D161</f>
        <v>0</v>
      </c>
      <c r="AC108" s="214">
        <f t="shared" si="51"/>
        <v>0</v>
      </c>
      <c r="AD108" s="214">
        <f t="shared" si="51"/>
        <v>0</v>
      </c>
      <c r="AE108" s="214">
        <f t="shared" si="51"/>
        <v>0</v>
      </c>
      <c r="AF108" s="214">
        <f t="shared" si="51"/>
        <v>0</v>
      </c>
      <c r="AG108" s="214">
        <f t="shared" si="51"/>
        <v>0</v>
      </c>
      <c r="AH108" s="259">
        <f t="shared" ref="AH108:AM108" si="52">D162</f>
        <v>0</v>
      </c>
      <c r="AI108" s="259">
        <f t="shared" si="52"/>
        <v>0</v>
      </c>
      <c r="AJ108" s="259">
        <f t="shared" si="52"/>
        <v>0</v>
      </c>
      <c r="AK108" s="259">
        <f t="shared" si="52"/>
        <v>0</v>
      </c>
      <c r="AL108" s="259">
        <f t="shared" si="52"/>
        <v>0</v>
      </c>
      <c r="AM108" s="259">
        <f t="shared" si="52"/>
        <v>0</v>
      </c>
    </row>
    <row r="109" spans="2:39" outlineLevel="2" x14ac:dyDescent="0.2">
      <c r="B109" s="249">
        <v>6</v>
      </c>
      <c r="C109" s="640" t="str">
        <f t="shared" si="28"/>
        <v>** NOT USED **</v>
      </c>
      <c r="D109" s="552"/>
      <c r="E109" s="552"/>
      <c r="F109" s="42"/>
      <c r="G109" s="57" t="str">
        <f t="shared" si="29"/>
        <v/>
      </c>
      <c r="H109" s="138"/>
      <c r="I109" s="138"/>
      <c r="J109" s="138"/>
      <c r="K109" s="207">
        <f t="shared" si="30"/>
        <v>1</v>
      </c>
      <c r="L109" s="207">
        <f t="shared" si="31"/>
        <v>0</v>
      </c>
      <c r="M109" s="207">
        <f t="shared" si="36"/>
        <v>0</v>
      </c>
      <c r="N109" s="214">
        <f t="shared" ref="N109:S109" si="53">D171</f>
        <v>0</v>
      </c>
      <c r="O109" s="214">
        <f t="shared" si="53"/>
        <v>0</v>
      </c>
      <c r="P109" s="214">
        <f t="shared" si="53"/>
        <v>0</v>
      </c>
      <c r="Q109" s="214">
        <f t="shared" si="53"/>
        <v>0</v>
      </c>
      <c r="R109" s="214">
        <f t="shared" si="53"/>
        <v>0</v>
      </c>
      <c r="S109" s="214">
        <f t="shared" si="53"/>
        <v>0</v>
      </c>
      <c r="T109" s="259">
        <f t="shared" ref="T109:Y109" si="54">D172</f>
        <v>0</v>
      </c>
      <c r="U109" s="259">
        <f t="shared" si="54"/>
        <v>0</v>
      </c>
      <c r="V109" s="259">
        <f t="shared" si="54"/>
        <v>0</v>
      </c>
      <c r="W109" s="259">
        <f t="shared" si="54"/>
        <v>0</v>
      </c>
      <c r="X109" s="259">
        <f t="shared" si="54"/>
        <v>0</v>
      </c>
      <c r="Y109" s="259">
        <f t="shared" si="54"/>
        <v>0</v>
      </c>
      <c r="AB109" s="214">
        <f t="shared" ref="AB109:AG109" si="55">D169</f>
        <v>0</v>
      </c>
      <c r="AC109" s="214">
        <f t="shared" si="55"/>
        <v>0</v>
      </c>
      <c r="AD109" s="214">
        <f t="shared" si="55"/>
        <v>0</v>
      </c>
      <c r="AE109" s="214">
        <f t="shared" si="55"/>
        <v>0</v>
      </c>
      <c r="AF109" s="214">
        <f t="shared" si="55"/>
        <v>0</v>
      </c>
      <c r="AG109" s="214">
        <f t="shared" si="55"/>
        <v>0</v>
      </c>
      <c r="AH109" s="259">
        <f t="shared" ref="AH109:AM109" si="56">D170</f>
        <v>0</v>
      </c>
      <c r="AI109" s="259">
        <f t="shared" si="56"/>
        <v>0</v>
      </c>
      <c r="AJ109" s="259">
        <f t="shared" si="56"/>
        <v>0</v>
      </c>
      <c r="AK109" s="259">
        <f t="shared" si="56"/>
        <v>0</v>
      </c>
      <c r="AL109" s="259">
        <f t="shared" si="56"/>
        <v>0</v>
      </c>
      <c r="AM109" s="259">
        <f t="shared" si="56"/>
        <v>0</v>
      </c>
    </row>
    <row r="110" spans="2:39" outlineLevel="2" x14ac:dyDescent="0.2">
      <c r="B110" s="249">
        <v>7</v>
      </c>
      <c r="C110" s="640" t="str">
        <f t="shared" si="28"/>
        <v>** NOT USED **</v>
      </c>
      <c r="D110" s="552"/>
      <c r="E110" s="552"/>
      <c r="F110" s="42"/>
      <c r="G110" s="57" t="str">
        <f t="shared" si="29"/>
        <v/>
      </c>
      <c r="H110" s="138"/>
      <c r="I110" s="138"/>
      <c r="J110" s="138"/>
      <c r="K110" s="207">
        <f t="shared" si="30"/>
        <v>1</v>
      </c>
      <c r="L110" s="207">
        <f t="shared" si="31"/>
        <v>0</v>
      </c>
      <c r="M110" s="207">
        <f t="shared" si="36"/>
        <v>0</v>
      </c>
      <c r="N110" s="214">
        <f t="shared" ref="N110:S110" si="57">D179</f>
        <v>0</v>
      </c>
      <c r="O110" s="214">
        <f t="shared" si="57"/>
        <v>0</v>
      </c>
      <c r="P110" s="214">
        <f t="shared" si="57"/>
        <v>0</v>
      </c>
      <c r="Q110" s="214">
        <f t="shared" si="57"/>
        <v>0</v>
      </c>
      <c r="R110" s="214">
        <f t="shared" si="57"/>
        <v>0</v>
      </c>
      <c r="S110" s="214">
        <f t="shared" si="57"/>
        <v>0</v>
      </c>
      <c r="T110" s="259">
        <f t="shared" ref="T110:Y110" si="58">D180</f>
        <v>0</v>
      </c>
      <c r="U110" s="259">
        <f t="shared" si="58"/>
        <v>0</v>
      </c>
      <c r="V110" s="259">
        <f t="shared" si="58"/>
        <v>0</v>
      </c>
      <c r="W110" s="259">
        <f t="shared" si="58"/>
        <v>0</v>
      </c>
      <c r="X110" s="259">
        <f t="shared" si="58"/>
        <v>0</v>
      </c>
      <c r="Y110" s="259">
        <f t="shared" si="58"/>
        <v>0</v>
      </c>
      <c r="AB110" s="214">
        <f t="shared" ref="AB110:AG110" si="59">D177</f>
        <v>0</v>
      </c>
      <c r="AC110" s="214">
        <f t="shared" si="59"/>
        <v>0</v>
      </c>
      <c r="AD110" s="214">
        <f t="shared" si="59"/>
        <v>0</v>
      </c>
      <c r="AE110" s="214">
        <f t="shared" si="59"/>
        <v>0</v>
      </c>
      <c r="AF110" s="214">
        <f t="shared" si="59"/>
        <v>0</v>
      </c>
      <c r="AG110" s="214">
        <f t="shared" si="59"/>
        <v>0</v>
      </c>
      <c r="AH110" s="259">
        <f t="shared" ref="AH110:AM110" si="60">D178</f>
        <v>0</v>
      </c>
      <c r="AI110" s="259">
        <f t="shared" si="60"/>
        <v>0</v>
      </c>
      <c r="AJ110" s="259">
        <f t="shared" si="60"/>
        <v>0</v>
      </c>
      <c r="AK110" s="259">
        <f t="shared" si="60"/>
        <v>0</v>
      </c>
      <c r="AL110" s="259">
        <f t="shared" si="60"/>
        <v>0</v>
      </c>
      <c r="AM110" s="259">
        <f t="shared" si="60"/>
        <v>0</v>
      </c>
    </row>
    <row r="111" spans="2:39" outlineLevel="2" x14ac:dyDescent="0.2">
      <c r="B111" s="249">
        <v>8</v>
      </c>
      <c r="C111" s="640" t="str">
        <f t="shared" si="28"/>
        <v>** NOT USED **</v>
      </c>
      <c r="D111" s="552"/>
      <c r="E111" s="552"/>
      <c r="F111" s="42"/>
      <c r="G111" s="57" t="str">
        <f t="shared" si="29"/>
        <v/>
      </c>
      <c r="H111" s="138"/>
      <c r="I111" s="138"/>
      <c r="J111" s="138"/>
      <c r="K111" s="207">
        <f t="shared" si="30"/>
        <v>1</v>
      </c>
      <c r="L111" s="207">
        <f t="shared" si="31"/>
        <v>0</v>
      </c>
      <c r="M111" s="207">
        <f t="shared" si="36"/>
        <v>0</v>
      </c>
      <c r="N111" s="214">
        <f t="shared" ref="N111:S111" si="61">D187</f>
        <v>0</v>
      </c>
      <c r="O111" s="214">
        <f t="shared" si="61"/>
        <v>0</v>
      </c>
      <c r="P111" s="214">
        <f t="shared" si="61"/>
        <v>0</v>
      </c>
      <c r="Q111" s="214">
        <f t="shared" si="61"/>
        <v>0</v>
      </c>
      <c r="R111" s="214">
        <f t="shared" si="61"/>
        <v>0</v>
      </c>
      <c r="S111" s="214">
        <f t="shared" si="61"/>
        <v>0</v>
      </c>
      <c r="T111" s="259">
        <f t="shared" ref="T111:Y111" si="62">D188</f>
        <v>0</v>
      </c>
      <c r="U111" s="259">
        <f t="shared" si="62"/>
        <v>0</v>
      </c>
      <c r="V111" s="259">
        <f t="shared" si="62"/>
        <v>0</v>
      </c>
      <c r="W111" s="259">
        <f t="shared" si="62"/>
        <v>0</v>
      </c>
      <c r="X111" s="259">
        <f t="shared" si="62"/>
        <v>0</v>
      </c>
      <c r="Y111" s="259">
        <f t="shared" si="62"/>
        <v>0</v>
      </c>
      <c r="AB111" s="214">
        <f t="shared" ref="AB111:AG111" si="63">D185</f>
        <v>0</v>
      </c>
      <c r="AC111" s="214">
        <f t="shared" si="63"/>
        <v>0</v>
      </c>
      <c r="AD111" s="214">
        <f t="shared" si="63"/>
        <v>0</v>
      </c>
      <c r="AE111" s="214">
        <f t="shared" si="63"/>
        <v>0</v>
      </c>
      <c r="AF111" s="214">
        <f t="shared" si="63"/>
        <v>0</v>
      </c>
      <c r="AG111" s="214">
        <f t="shared" si="63"/>
        <v>0</v>
      </c>
      <c r="AH111" s="259">
        <f t="shared" ref="AH111:AM111" si="64">D186</f>
        <v>0</v>
      </c>
      <c r="AI111" s="259">
        <f t="shared" si="64"/>
        <v>0</v>
      </c>
      <c r="AJ111" s="259">
        <f t="shared" si="64"/>
        <v>0</v>
      </c>
      <c r="AK111" s="259">
        <f t="shared" si="64"/>
        <v>0</v>
      </c>
      <c r="AL111" s="259">
        <f t="shared" si="64"/>
        <v>0</v>
      </c>
      <c r="AM111" s="259">
        <f t="shared" si="64"/>
        <v>0</v>
      </c>
    </row>
    <row r="112" spans="2:39" outlineLevel="2" x14ac:dyDescent="0.2">
      <c r="B112" s="249">
        <v>9</v>
      </c>
      <c r="C112" s="640" t="str">
        <f t="shared" si="28"/>
        <v>** NOT USED **</v>
      </c>
      <c r="D112" s="552"/>
      <c r="E112" s="552"/>
      <c r="F112" s="42"/>
      <c r="G112" s="57" t="str">
        <f t="shared" si="29"/>
        <v/>
      </c>
      <c r="H112" s="138"/>
      <c r="I112" s="138"/>
      <c r="J112" s="138"/>
      <c r="K112" s="207">
        <f t="shared" si="30"/>
        <v>1</v>
      </c>
      <c r="L112" s="207">
        <f t="shared" si="31"/>
        <v>0</v>
      </c>
      <c r="M112" s="207">
        <f t="shared" si="36"/>
        <v>0</v>
      </c>
      <c r="N112" s="214">
        <f t="shared" ref="N112:S112" si="65">D195</f>
        <v>0</v>
      </c>
      <c r="O112" s="214">
        <f t="shared" si="65"/>
        <v>0</v>
      </c>
      <c r="P112" s="214">
        <f t="shared" si="65"/>
        <v>0</v>
      </c>
      <c r="Q112" s="214">
        <f t="shared" si="65"/>
        <v>0</v>
      </c>
      <c r="R112" s="214">
        <f t="shared" si="65"/>
        <v>0</v>
      </c>
      <c r="S112" s="214">
        <f t="shared" si="65"/>
        <v>0</v>
      </c>
      <c r="T112" s="259">
        <f t="shared" ref="T112:Y112" si="66">D196</f>
        <v>0</v>
      </c>
      <c r="U112" s="259">
        <f t="shared" si="66"/>
        <v>0</v>
      </c>
      <c r="V112" s="259">
        <f t="shared" si="66"/>
        <v>0</v>
      </c>
      <c r="W112" s="259">
        <f t="shared" si="66"/>
        <v>0</v>
      </c>
      <c r="X112" s="259">
        <f t="shared" si="66"/>
        <v>0</v>
      </c>
      <c r="Y112" s="259">
        <f t="shared" si="66"/>
        <v>0</v>
      </c>
      <c r="AB112" s="214">
        <f t="shared" ref="AB112:AG112" si="67">D193</f>
        <v>0</v>
      </c>
      <c r="AC112" s="214">
        <f t="shared" si="67"/>
        <v>0</v>
      </c>
      <c r="AD112" s="214">
        <f t="shared" si="67"/>
        <v>0</v>
      </c>
      <c r="AE112" s="214">
        <f t="shared" si="67"/>
        <v>0</v>
      </c>
      <c r="AF112" s="214">
        <f t="shared" si="67"/>
        <v>0</v>
      </c>
      <c r="AG112" s="214">
        <f t="shared" si="67"/>
        <v>0</v>
      </c>
      <c r="AH112" s="259">
        <f t="shared" ref="AH112:AM112" si="68">D194</f>
        <v>0</v>
      </c>
      <c r="AI112" s="259">
        <f t="shared" si="68"/>
        <v>0</v>
      </c>
      <c r="AJ112" s="259">
        <f t="shared" si="68"/>
        <v>0</v>
      </c>
      <c r="AK112" s="259">
        <f t="shared" si="68"/>
        <v>0</v>
      </c>
      <c r="AL112" s="259">
        <f t="shared" si="68"/>
        <v>0</v>
      </c>
      <c r="AM112" s="259">
        <f t="shared" si="68"/>
        <v>0</v>
      </c>
    </row>
    <row r="113" spans="2:39" outlineLevel="2" x14ac:dyDescent="0.2">
      <c r="B113" s="249">
        <v>10</v>
      </c>
      <c r="C113" s="640" t="str">
        <f t="shared" si="28"/>
        <v>** NOT USED **</v>
      </c>
      <c r="D113" s="552"/>
      <c r="E113" s="552"/>
      <c r="F113" s="42"/>
      <c r="G113" s="57" t="str">
        <f t="shared" si="29"/>
        <v/>
      </c>
      <c r="H113" s="138"/>
      <c r="I113" s="138"/>
      <c r="J113" s="138"/>
      <c r="K113" s="207">
        <f t="shared" si="30"/>
        <v>1</v>
      </c>
      <c r="L113" s="207">
        <f t="shared" si="31"/>
        <v>0</v>
      </c>
      <c r="M113" s="207">
        <f t="shared" si="36"/>
        <v>0</v>
      </c>
      <c r="N113" s="214">
        <f t="shared" ref="N113:S113" si="69">D203</f>
        <v>0</v>
      </c>
      <c r="O113" s="214">
        <f t="shared" si="69"/>
        <v>0</v>
      </c>
      <c r="P113" s="214">
        <f t="shared" si="69"/>
        <v>0</v>
      </c>
      <c r="Q113" s="214">
        <f t="shared" si="69"/>
        <v>0</v>
      </c>
      <c r="R113" s="214">
        <f t="shared" si="69"/>
        <v>0</v>
      </c>
      <c r="S113" s="214">
        <f t="shared" si="69"/>
        <v>0</v>
      </c>
      <c r="T113" s="259">
        <f t="shared" ref="T113:Y113" si="70">D204</f>
        <v>0</v>
      </c>
      <c r="U113" s="259">
        <f t="shared" si="70"/>
        <v>0</v>
      </c>
      <c r="V113" s="259">
        <f t="shared" si="70"/>
        <v>0</v>
      </c>
      <c r="W113" s="259">
        <f t="shared" si="70"/>
        <v>0</v>
      </c>
      <c r="X113" s="259">
        <f t="shared" si="70"/>
        <v>0</v>
      </c>
      <c r="Y113" s="259">
        <f t="shared" si="70"/>
        <v>0</v>
      </c>
      <c r="AB113" s="214">
        <f t="shared" ref="AB113:AG113" si="71">D201</f>
        <v>0</v>
      </c>
      <c r="AC113" s="214">
        <f t="shared" si="71"/>
        <v>0</v>
      </c>
      <c r="AD113" s="214">
        <f t="shared" si="71"/>
        <v>0</v>
      </c>
      <c r="AE113" s="214">
        <f t="shared" si="71"/>
        <v>0</v>
      </c>
      <c r="AF113" s="214">
        <f t="shared" si="71"/>
        <v>0</v>
      </c>
      <c r="AG113" s="214">
        <f t="shared" si="71"/>
        <v>0</v>
      </c>
      <c r="AH113" s="259">
        <f t="shared" ref="AH113:AM113" si="72">D202</f>
        <v>0</v>
      </c>
      <c r="AI113" s="259">
        <f t="shared" si="72"/>
        <v>0</v>
      </c>
      <c r="AJ113" s="259">
        <f t="shared" si="72"/>
        <v>0</v>
      </c>
      <c r="AK113" s="259">
        <f t="shared" si="72"/>
        <v>0</v>
      </c>
      <c r="AL113" s="259">
        <f t="shared" si="72"/>
        <v>0</v>
      </c>
      <c r="AM113" s="259">
        <f t="shared" si="72"/>
        <v>0</v>
      </c>
    </row>
    <row r="114" spans="2:39" outlineLevel="2" x14ac:dyDescent="0.2">
      <c r="B114" s="249">
        <v>11</v>
      </c>
      <c r="C114" s="640" t="str">
        <f t="shared" si="28"/>
        <v>** NOT USED **</v>
      </c>
      <c r="D114" s="552"/>
      <c r="E114" s="552"/>
      <c r="F114" s="42"/>
      <c r="G114" s="57" t="str">
        <f t="shared" ref="G114:G123" si="73">IF(F114&lt;&gt;"",F114+1,"")</f>
        <v/>
      </c>
      <c r="H114" s="138"/>
      <c r="I114" s="138"/>
      <c r="J114" s="138"/>
      <c r="K114" s="207">
        <f t="shared" si="30"/>
        <v>1</v>
      </c>
      <c r="L114" s="207">
        <f t="shared" si="31"/>
        <v>0</v>
      </c>
      <c r="M114" s="207">
        <f t="shared" si="36"/>
        <v>0</v>
      </c>
      <c r="N114" s="214">
        <f t="shared" ref="N114:S114" si="74">D211</f>
        <v>0</v>
      </c>
      <c r="O114" s="214">
        <f t="shared" si="74"/>
        <v>0</v>
      </c>
      <c r="P114" s="214">
        <f t="shared" si="74"/>
        <v>0</v>
      </c>
      <c r="Q114" s="214">
        <f t="shared" si="74"/>
        <v>0</v>
      </c>
      <c r="R114" s="214">
        <f t="shared" si="74"/>
        <v>0</v>
      </c>
      <c r="S114" s="214">
        <f t="shared" si="74"/>
        <v>0</v>
      </c>
      <c r="T114" s="259">
        <f t="shared" ref="T114:Y114" si="75">D212</f>
        <v>0</v>
      </c>
      <c r="U114" s="259">
        <f t="shared" si="75"/>
        <v>0</v>
      </c>
      <c r="V114" s="259">
        <f t="shared" si="75"/>
        <v>0</v>
      </c>
      <c r="W114" s="259">
        <f t="shared" si="75"/>
        <v>0</v>
      </c>
      <c r="X114" s="259">
        <f t="shared" si="75"/>
        <v>0</v>
      </c>
      <c r="Y114" s="259">
        <f t="shared" si="75"/>
        <v>0</v>
      </c>
      <c r="AB114" s="214">
        <f t="shared" ref="AB114:AG114" si="76">D209</f>
        <v>0</v>
      </c>
      <c r="AC114" s="214">
        <f t="shared" si="76"/>
        <v>0</v>
      </c>
      <c r="AD114" s="214">
        <f t="shared" si="76"/>
        <v>0</v>
      </c>
      <c r="AE114" s="214">
        <f t="shared" si="76"/>
        <v>0</v>
      </c>
      <c r="AF114" s="214">
        <f t="shared" si="76"/>
        <v>0</v>
      </c>
      <c r="AG114" s="214">
        <f t="shared" si="76"/>
        <v>0</v>
      </c>
      <c r="AH114" s="259">
        <f t="shared" ref="AH114:AM114" si="77">D210</f>
        <v>0</v>
      </c>
      <c r="AI114" s="259">
        <f t="shared" si="77"/>
        <v>0</v>
      </c>
      <c r="AJ114" s="259">
        <f t="shared" si="77"/>
        <v>0</v>
      </c>
      <c r="AK114" s="259">
        <f t="shared" si="77"/>
        <v>0</v>
      </c>
      <c r="AL114" s="259">
        <f t="shared" si="77"/>
        <v>0</v>
      </c>
      <c r="AM114" s="259">
        <f t="shared" si="77"/>
        <v>0</v>
      </c>
    </row>
    <row r="115" spans="2:39" outlineLevel="2" x14ac:dyDescent="0.2">
      <c r="B115" s="249">
        <v>12</v>
      </c>
      <c r="C115" s="640" t="str">
        <f t="shared" si="28"/>
        <v>** NOT USED **</v>
      </c>
      <c r="D115" s="552"/>
      <c r="E115" s="552"/>
      <c r="F115" s="42"/>
      <c r="G115" s="57" t="str">
        <f t="shared" si="73"/>
        <v/>
      </c>
      <c r="H115" s="138"/>
      <c r="I115" s="138"/>
      <c r="J115" s="138"/>
      <c r="K115" s="207">
        <f t="shared" si="30"/>
        <v>1</v>
      </c>
      <c r="L115" s="207">
        <f t="shared" si="31"/>
        <v>0</v>
      </c>
      <c r="M115" s="207">
        <f t="shared" si="36"/>
        <v>0</v>
      </c>
      <c r="N115" s="214">
        <f t="shared" ref="N115:S115" si="78">D219</f>
        <v>0</v>
      </c>
      <c r="O115" s="214">
        <f t="shared" si="78"/>
        <v>0</v>
      </c>
      <c r="P115" s="214">
        <f t="shared" si="78"/>
        <v>0</v>
      </c>
      <c r="Q115" s="214">
        <f t="shared" si="78"/>
        <v>0</v>
      </c>
      <c r="R115" s="214">
        <f t="shared" si="78"/>
        <v>0</v>
      </c>
      <c r="S115" s="214">
        <f t="shared" si="78"/>
        <v>0</v>
      </c>
      <c r="T115" s="259">
        <f t="shared" ref="T115:Y115" si="79">D220</f>
        <v>0</v>
      </c>
      <c r="U115" s="259">
        <f t="shared" si="79"/>
        <v>0</v>
      </c>
      <c r="V115" s="259">
        <f t="shared" si="79"/>
        <v>0</v>
      </c>
      <c r="W115" s="259">
        <f t="shared" si="79"/>
        <v>0</v>
      </c>
      <c r="X115" s="259">
        <f t="shared" si="79"/>
        <v>0</v>
      </c>
      <c r="Y115" s="259">
        <f t="shared" si="79"/>
        <v>0</v>
      </c>
      <c r="AB115" s="214">
        <f t="shared" ref="AB115:AG115" si="80">D217</f>
        <v>0</v>
      </c>
      <c r="AC115" s="214">
        <f t="shared" si="80"/>
        <v>0</v>
      </c>
      <c r="AD115" s="214">
        <f t="shared" si="80"/>
        <v>0</v>
      </c>
      <c r="AE115" s="214">
        <f t="shared" si="80"/>
        <v>0</v>
      </c>
      <c r="AF115" s="214">
        <f t="shared" si="80"/>
        <v>0</v>
      </c>
      <c r="AG115" s="214">
        <f t="shared" si="80"/>
        <v>0</v>
      </c>
      <c r="AH115" s="259">
        <f t="shared" ref="AH115:AM115" si="81">D218</f>
        <v>0</v>
      </c>
      <c r="AI115" s="259">
        <f t="shared" si="81"/>
        <v>0</v>
      </c>
      <c r="AJ115" s="259">
        <f t="shared" si="81"/>
        <v>0</v>
      </c>
      <c r="AK115" s="259">
        <f t="shared" si="81"/>
        <v>0</v>
      </c>
      <c r="AL115" s="259">
        <f t="shared" si="81"/>
        <v>0</v>
      </c>
      <c r="AM115" s="259">
        <f t="shared" si="81"/>
        <v>0</v>
      </c>
    </row>
    <row r="116" spans="2:39" outlineLevel="2" x14ac:dyDescent="0.2">
      <c r="B116" s="249">
        <v>13</v>
      </c>
      <c r="C116" s="640" t="str">
        <f t="shared" si="28"/>
        <v>** NOT USED **</v>
      </c>
      <c r="D116" s="552"/>
      <c r="E116" s="552"/>
      <c r="F116" s="42"/>
      <c r="G116" s="57" t="str">
        <f t="shared" si="73"/>
        <v/>
      </c>
      <c r="H116" s="138"/>
      <c r="I116" s="138"/>
      <c r="J116" s="138"/>
      <c r="K116" s="207">
        <f t="shared" si="30"/>
        <v>1</v>
      </c>
      <c r="L116" s="207">
        <f t="shared" si="31"/>
        <v>0</v>
      </c>
      <c r="M116" s="207">
        <f t="shared" si="36"/>
        <v>0</v>
      </c>
      <c r="N116" s="214">
        <f t="shared" ref="N116:S116" si="82">D227</f>
        <v>0</v>
      </c>
      <c r="O116" s="214">
        <f t="shared" si="82"/>
        <v>0</v>
      </c>
      <c r="P116" s="214">
        <f t="shared" si="82"/>
        <v>0</v>
      </c>
      <c r="Q116" s="214">
        <f t="shared" si="82"/>
        <v>0</v>
      </c>
      <c r="R116" s="214">
        <f t="shared" si="82"/>
        <v>0</v>
      </c>
      <c r="S116" s="214">
        <f t="shared" si="82"/>
        <v>0</v>
      </c>
      <c r="T116" s="259">
        <f t="shared" ref="T116:Y116" si="83">D228</f>
        <v>0</v>
      </c>
      <c r="U116" s="259">
        <f t="shared" si="83"/>
        <v>0</v>
      </c>
      <c r="V116" s="259">
        <f t="shared" si="83"/>
        <v>0</v>
      </c>
      <c r="W116" s="259">
        <f t="shared" si="83"/>
        <v>0</v>
      </c>
      <c r="X116" s="259">
        <f t="shared" si="83"/>
        <v>0</v>
      </c>
      <c r="Y116" s="259">
        <f t="shared" si="83"/>
        <v>0</v>
      </c>
      <c r="AB116" s="214">
        <f t="shared" ref="AB116:AG116" si="84">D225</f>
        <v>0</v>
      </c>
      <c r="AC116" s="214">
        <f t="shared" si="84"/>
        <v>0</v>
      </c>
      <c r="AD116" s="214">
        <f t="shared" si="84"/>
        <v>0</v>
      </c>
      <c r="AE116" s="214">
        <f t="shared" si="84"/>
        <v>0</v>
      </c>
      <c r="AF116" s="214">
        <f t="shared" si="84"/>
        <v>0</v>
      </c>
      <c r="AG116" s="214">
        <f t="shared" si="84"/>
        <v>0</v>
      </c>
      <c r="AH116" s="259">
        <f t="shared" ref="AH116:AM116" si="85">D226</f>
        <v>0</v>
      </c>
      <c r="AI116" s="259">
        <f t="shared" si="85"/>
        <v>0</v>
      </c>
      <c r="AJ116" s="259">
        <f t="shared" si="85"/>
        <v>0</v>
      </c>
      <c r="AK116" s="259">
        <f t="shared" si="85"/>
        <v>0</v>
      </c>
      <c r="AL116" s="259">
        <f t="shared" si="85"/>
        <v>0</v>
      </c>
      <c r="AM116" s="259">
        <f t="shared" si="85"/>
        <v>0</v>
      </c>
    </row>
    <row r="117" spans="2:39" outlineLevel="2" x14ac:dyDescent="0.2">
      <c r="B117" s="249">
        <v>14</v>
      </c>
      <c r="C117" s="640" t="str">
        <f t="shared" si="28"/>
        <v>** NOT USED **</v>
      </c>
      <c r="D117" s="552"/>
      <c r="E117" s="552"/>
      <c r="F117" s="42"/>
      <c r="G117" s="57" t="str">
        <f t="shared" si="73"/>
        <v/>
      </c>
      <c r="H117" s="138"/>
      <c r="I117" s="138"/>
      <c r="J117" s="138"/>
      <c r="K117" s="207">
        <f t="shared" si="30"/>
        <v>1</v>
      </c>
      <c r="L117" s="207">
        <f t="shared" si="31"/>
        <v>0</v>
      </c>
      <c r="M117" s="207">
        <f t="shared" si="36"/>
        <v>0</v>
      </c>
      <c r="N117" s="214">
        <f t="shared" ref="N117:S117" si="86">D235</f>
        <v>0</v>
      </c>
      <c r="O117" s="214">
        <f t="shared" si="86"/>
        <v>0</v>
      </c>
      <c r="P117" s="214">
        <f t="shared" si="86"/>
        <v>0</v>
      </c>
      <c r="Q117" s="214">
        <f t="shared" si="86"/>
        <v>0</v>
      </c>
      <c r="R117" s="214">
        <f t="shared" si="86"/>
        <v>0</v>
      </c>
      <c r="S117" s="214">
        <f t="shared" si="86"/>
        <v>0</v>
      </c>
      <c r="T117" s="259">
        <f t="shared" ref="T117:Y117" si="87">D236</f>
        <v>0</v>
      </c>
      <c r="U117" s="259">
        <f t="shared" si="87"/>
        <v>0</v>
      </c>
      <c r="V117" s="259">
        <f t="shared" si="87"/>
        <v>0</v>
      </c>
      <c r="W117" s="259">
        <f t="shared" si="87"/>
        <v>0</v>
      </c>
      <c r="X117" s="259">
        <f t="shared" si="87"/>
        <v>0</v>
      </c>
      <c r="Y117" s="259">
        <f t="shared" si="87"/>
        <v>0</v>
      </c>
      <c r="AB117" s="214">
        <f t="shared" ref="AB117:AG117" si="88">D233</f>
        <v>0</v>
      </c>
      <c r="AC117" s="214">
        <f t="shared" si="88"/>
        <v>0</v>
      </c>
      <c r="AD117" s="214">
        <f t="shared" si="88"/>
        <v>0</v>
      </c>
      <c r="AE117" s="214">
        <f t="shared" si="88"/>
        <v>0</v>
      </c>
      <c r="AF117" s="214">
        <f t="shared" si="88"/>
        <v>0</v>
      </c>
      <c r="AG117" s="214">
        <f t="shared" si="88"/>
        <v>0</v>
      </c>
      <c r="AH117" s="259">
        <f t="shared" ref="AH117:AM117" si="89">D234</f>
        <v>0</v>
      </c>
      <c r="AI117" s="259">
        <f t="shared" si="89"/>
        <v>0</v>
      </c>
      <c r="AJ117" s="259">
        <f t="shared" si="89"/>
        <v>0</v>
      </c>
      <c r="AK117" s="259">
        <f t="shared" si="89"/>
        <v>0</v>
      </c>
      <c r="AL117" s="259">
        <f t="shared" si="89"/>
        <v>0</v>
      </c>
      <c r="AM117" s="259">
        <f t="shared" si="89"/>
        <v>0</v>
      </c>
    </row>
    <row r="118" spans="2:39" outlineLevel="2" x14ac:dyDescent="0.2">
      <c r="B118" s="249">
        <v>15</v>
      </c>
      <c r="C118" s="640" t="str">
        <f t="shared" si="28"/>
        <v>** NOT USED **</v>
      </c>
      <c r="D118" s="552"/>
      <c r="E118" s="552"/>
      <c r="F118" s="42"/>
      <c r="G118" s="57" t="str">
        <f t="shared" si="73"/>
        <v/>
      </c>
      <c r="H118" s="138"/>
      <c r="I118" s="138"/>
      <c r="J118" s="138"/>
      <c r="K118" s="207">
        <f t="shared" si="30"/>
        <v>1</v>
      </c>
      <c r="L118" s="207">
        <f t="shared" si="31"/>
        <v>0</v>
      </c>
      <c r="M118" s="207">
        <f t="shared" si="36"/>
        <v>0</v>
      </c>
      <c r="N118" s="214">
        <f t="shared" ref="N118:S118" si="90">D243</f>
        <v>0</v>
      </c>
      <c r="O118" s="214">
        <f t="shared" si="90"/>
        <v>0</v>
      </c>
      <c r="P118" s="214">
        <f t="shared" si="90"/>
        <v>0</v>
      </c>
      <c r="Q118" s="214">
        <f t="shared" si="90"/>
        <v>0</v>
      </c>
      <c r="R118" s="214">
        <f t="shared" si="90"/>
        <v>0</v>
      </c>
      <c r="S118" s="214">
        <f t="shared" si="90"/>
        <v>0</v>
      </c>
      <c r="T118" s="259">
        <f t="shared" ref="T118:Y118" si="91">D244</f>
        <v>0</v>
      </c>
      <c r="U118" s="259">
        <f t="shared" si="91"/>
        <v>0</v>
      </c>
      <c r="V118" s="259">
        <f t="shared" si="91"/>
        <v>0</v>
      </c>
      <c r="W118" s="259">
        <f t="shared" si="91"/>
        <v>0</v>
      </c>
      <c r="X118" s="259">
        <f t="shared" si="91"/>
        <v>0</v>
      </c>
      <c r="Y118" s="259">
        <f t="shared" si="91"/>
        <v>0</v>
      </c>
      <c r="AB118" s="214">
        <f t="shared" ref="AB118:AG118" si="92">D241</f>
        <v>0</v>
      </c>
      <c r="AC118" s="214">
        <f t="shared" si="92"/>
        <v>0</v>
      </c>
      <c r="AD118" s="214">
        <f t="shared" si="92"/>
        <v>0</v>
      </c>
      <c r="AE118" s="214">
        <f t="shared" si="92"/>
        <v>0</v>
      </c>
      <c r="AF118" s="214">
        <f t="shared" si="92"/>
        <v>0</v>
      </c>
      <c r="AG118" s="214">
        <f t="shared" si="92"/>
        <v>0</v>
      </c>
      <c r="AH118" s="259">
        <f t="shared" ref="AH118:AM118" si="93">D242</f>
        <v>0</v>
      </c>
      <c r="AI118" s="259">
        <f t="shared" si="93"/>
        <v>0</v>
      </c>
      <c r="AJ118" s="259">
        <f t="shared" si="93"/>
        <v>0</v>
      </c>
      <c r="AK118" s="259">
        <f t="shared" si="93"/>
        <v>0</v>
      </c>
      <c r="AL118" s="259">
        <f t="shared" si="93"/>
        <v>0</v>
      </c>
      <c r="AM118" s="259">
        <f t="shared" si="93"/>
        <v>0</v>
      </c>
    </row>
    <row r="119" spans="2:39" outlineLevel="2" x14ac:dyDescent="0.2">
      <c r="B119" s="249">
        <v>16</v>
      </c>
      <c r="C119" s="640" t="str">
        <f t="shared" si="28"/>
        <v>** NOT USED **</v>
      </c>
      <c r="D119" s="552"/>
      <c r="E119" s="552"/>
      <c r="F119" s="42"/>
      <c r="G119" s="57" t="str">
        <f t="shared" si="73"/>
        <v/>
      </c>
      <c r="H119" s="138"/>
      <c r="I119" s="138"/>
      <c r="J119" s="138"/>
      <c r="K119" s="207">
        <f t="shared" si="30"/>
        <v>1</v>
      </c>
      <c r="L119" s="207">
        <f t="shared" si="31"/>
        <v>0</v>
      </c>
      <c r="M119" s="207">
        <f t="shared" si="36"/>
        <v>0</v>
      </c>
      <c r="N119" s="214">
        <f t="shared" ref="N119:S119" si="94">D251</f>
        <v>0</v>
      </c>
      <c r="O119" s="214">
        <f t="shared" si="94"/>
        <v>0</v>
      </c>
      <c r="P119" s="214">
        <f t="shared" si="94"/>
        <v>0</v>
      </c>
      <c r="Q119" s="214">
        <f t="shared" si="94"/>
        <v>0</v>
      </c>
      <c r="R119" s="214">
        <f t="shared" si="94"/>
        <v>0</v>
      </c>
      <c r="S119" s="214">
        <f t="shared" si="94"/>
        <v>0</v>
      </c>
      <c r="T119" s="259">
        <f t="shared" ref="T119:Y119" si="95">D252</f>
        <v>0</v>
      </c>
      <c r="U119" s="259">
        <f t="shared" si="95"/>
        <v>0</v>
      </c>
      <c r="V119" s="259">
        <f t="shared" si="95"/>
        <v>0</v>
      </c>
      <c r="W119" s="259">
        <f t="shared" si="95"/>
        <v>0</v>
      </c>
      <c r="X119" s="259">
        <f t="shared" si="95"/>
        <v>0</v>
      </c>
      <c r="Y119" s="259">
        <f t="shared" si="95"/>
        <v>0</v>
      </c>
      <c r="AB119" s="214">
        <f t="shared" ref="AB119:AG119" si="96">D249</f>
        <v>0</v>
      </c>
      <c r="AC119" s="214">
        <f t="shared" si="96"/>
        <v>0</v>
      </c>
      <c r="AD119" s="214">
        <f t="shared" si="96"/>
        <v>0</v>
      </c>
      <c r="AE119" s="214">
        <f t="shared" si="96"/>
        <v>0</v>
      </c>
      <c r="AF119" s="214">
        <f t="shared" si="96"/>
        <v>0</v>
      </c>
      <c r="AG119" s="214">
        <f t="shared" si="96"/>
        <v>0</v>
      </c>
      <c r="AH119" s="259">
        <f t="shared" ref="AH119:AM119" si="97">D250</f>
        <v>0</v>
      </c>
      <c r="AI119" s="259">
        <f t="shared" si="97"/>
        <v>0</v>
      </c>
      <c r="AJ119" s="259">
        <f t="shared" si="97"/>
        <v>0</v>
      </c>
      <c r="AK119" s="259">
        <f t="shared" si="97"/>
        <v>0</v>
      </c>
      <c r="AL119" s="259">
        <f t="shared" si="97"/>
        <v>0</v>
      </c>
      <c r="AM119" s="259">
        <f t="shared" si="97"/>
        <v>0</v>
      </c>
    </row>
    <row r="120" spans="2:39" outlineLevel="2" x14ac:dyDescent="0.2">
      <c r="B120" s="249">
        <v>17</v>
      </c>
      <c r="C120" s="640" t="str">
        <f t="shared" si="28"/>
        <v>** NOT USED **</v>
      </c>
      <c r="D120" s="552"/>
      <c r="E120" s="552"/>
      <c r="F120" s="42"/>
      <c r="G120" s="57" t="str">
        <f t="shared" si="73"/>
        <v/>
      </c>
      <c r="H120" s="138"/>
      <c r="I120" s="138"/>
      <c r="J120" s="138"/>
      <c r="K120" s="207">
        <f t="shared" si="30"/>
        <v>1</v>
      </c>
      <c r="L120" s="207">
        <f t="shared" si="31"/>
        <v>0</v>
      </c>
      <c r="M120" s="207">
        <f t="shared" si="36"/>
        <v>0</v>
      </c>
      <c r="N120" s="214">
        <f t="shared" ref="N120:S120" si="98">D259</f>
        <v>0</v>
      </c>
      <c r="O120" s="214">
        <f t="shared" si="98"/>
        <v>0</v>
      </c>
      <c r="P120" s="214">
        <f t="shared" si="98"/>
        <v>0</v>
      </c>
      <c r="Q120" s="214">
        <f t="shared" si="98"/>
        <v>0</v>
      </c>
      <c r="R120" s="214">
        <f t="shared" si="98"/>
        <v>0</v>
      </c>
      <c r="S120" s="214">
        <f t="shared" si="98"/>
        <v>0</v>
      </c>
      <c r="T120" s="259">
        <f t="shared" ref="T120:Y120" si="99">D260</f>
        <v>0</v>
      </c>
      <c r="U120" s="259">
        <f t="shared" si="99"/>
        <v>0</v>
      </c>
      <c r="V120" s="259">
        <f t="shared" si="99"/>
        <v>0</v>
      </c>
      <c r="W120" s="259">
        <f t="shared" si="99"/>
        <v>0</v>
      </c>
      <c r="X120" s="259">
        <f t="shared" si="99"/>
        <v>0</v>
      </c>
      <c r="Y120" s="259">
        <f t="shared" si="99"/>
        <v>0</v>
      </c>
      <c r="AB120" s="214">
        <f t="shared" ref="AB120:AG120" si="100">D257</f>
        <v>0</v>
      </c>
      <c r="AC120" s="214">
        <f t="shared" si="100"/>
        <v>0</v>
      </c>
      <c r="AD120" s="214">
        <f t="shared" si="100"/>
        <v>0</v>
      </c>
      <c r="AE120" s="214">
        <f t="shared" si="100"/>
        <v>0</v>
      </c>
      <c r="AF120" s="214">
        <f t="shared" si="100"/>
        <v>0</v>
      </c>
      <c r="AG120" s="214">
        <f t="shared" si="100"/>
        <v>0</v>
      </c>
      <c r="AH120" s="259">
        <f t="shared" ref="AH120:AM120" si="101">D258</f>
        <v>0</v>
      </c>
      <c r="AI120" s="259">
        <f t="shared" si="101"/>
        <v>0</v>
      </c>
      <c r="AJ120" s="259">
        <f t="shared" si="101"/>
        <v>0</v>
      </c>
      <c r="AK120" s="259">
        <f t="shared" si="101"/>
        <v>0</v>
      </c>
      <c r="AL120" s="259">
        <f t="shared" si="101"/>
        <v>0</v>
      </c>
      <c r="AM120" s="259">
        <f t="shared" si="101"/>
        <v>0</v>
      </c>
    </row>
    <row r="121" spans="2:39" outlineLevel="2" x14ac:dyDescent="0.2">
      <c r="B121" s="249">
        <v>18</v>
      </c>
      <c r="C121" s="640" t="str">
        <f t="shared" si="28"/>
        <v>** NOT USED **</v>
      </c>
      <c r="D121" s="552"/>
      <c r="E121" s="552"/>
      <c r="F121" s="42"/>
      <c r="G121" s="57" t="str">
        <f t="shared" si="73"/>
        <v/>
      </c>
      <c r="H121" s="138"/>
      <c r="I121" s="138"/>
      <c r="J121" s="138"/>
      <c r="K121" s="207">
        <f t="shared" si="30"/>
        <v>1</v>
      </c>
      <c r="L121" s="207">
        <f t="shared" si="31"/>
        <v>0</v>
      </c>
      <c r="M121" s="207">
        <f t="shared" si="36"/>
        <v>0</v>
      </c>
      <c r="N121" s="214">
        <f t="shared" ref="N121:S121" si="102">D267</f>
        <v>0</v>
      </c>
      <c r="O121" s="214">
        <f t="shared" si="102"/>
        <v>0</v>
      </c>
      <c r="P121" s="214">
        <f t="shared" si="102"/>
        <v>0</v>
      </c>
      <c r="Q121" s="214">
        <f t="shared" si="102"/>
        <v>0</v>
      </c>
      <c r="R121" s="214">
        <f t="shared" si="102"/>
        <v>0</v>
      </c>
      <c r="S121" s="214">
        <f t="shared" si="102"/>
        <v>0</v>
      </c>
      <c r="T121" s="259">
        <f t="shared" ref="T121:Y121" si="103">D268</f>
        <v>0</v>
      </c>
      <c r="U121" s="259">
        <f t="shared" si="103"/>
        <v>0</v>
      </c>
      <c r="V121" s="259">
        <f t="shared" si="103"/>
        <v>0</v>
      </c>
      <c r="W121" s="259">
        <f t="shared" si="103"/>
        <v>0</v>
      </c>
      <c r="X121" s="259">
        <f t="shared" si="103"/>
        <v>0</v>
      </c>
      <c r="Y121" s="259">
        <f t="shared" si="103"/>
        <v>0</v>
      </c>
      <c r="AB121" s="214">
        <f t="shared" ref="AB121:AG121" si="104">D265</f>
        <v>0</v>
      </c>
      <c r="AC121" s="214">
        <f t="shared" si="104"/>
        <v>0</v>
      </c>
      <c r="AD121" s="214">
        <f t="shared" si="104"/>
        <v>0</v>
      </c>
      <c r="AE121" s="214">
        <f t="shared" si="104"/>
        <v>0</v>
      </c>
      <c r="AF121" s="214">
        <f t="shared" si="104"/>
        <v>0</v>
      </c>
      <c r="AG121" s="214">
        <f t="shared" si="104"/>
        <v>0</v>
      </c>
      <c r="AH121" s="259">
        <f t="shared" ref="AH121:AM121" si="105">D266</f>
        <v>0</v>
      </c>
      <c r="AI121" s="259">
        <f t="shared" si="105"/>
        <v>0</v>
      </c>
      <c r="AJ121" s="259">
        <f t="shared" si="105"/>
        <v>0</v>
      </c>
      <c r="AK121" s="259">
        <f t="shared" si="105"/>
        <v>0</v>
      </c>
      <c r="AL121" s="259">
        <f t="shared" si="105"/>
        <v>0</v>
      </c>
      <c r="AM121" s="259">
        <f t="shared" si="105"/>
        <v>0</v>
      </c>
    </row>
    <row r="122" spans="2:39" outlineLevel="2" x14ac:dyDescent="0.2">
      <c r="B122" s="249">
        <v>19</v>
      </c>
      <c r="C122" s="640" t="str">
        <f t="shared" si="28"/>
        <v>** NOT USED **</v>
      </c>
      <c r="D122" s="552"/>
      <c r="E122" s="552"/>
      <c r="F122" s="42"/>
      <c r="G122" s="57" t="str">
        <f t="shared" si="73"/>
        <v/>
      </c>
      <c r="H122" s="138"/>
      <c r="I122" s="138"/>
      <c r="J122" s="138"/>
      <c r="K122" s="207">
        <f t="shared" si="30"/>
        <v>1</v>
      </c>
      <c r="L122" s="207">
        <f t="shared" si="31"/>
        <v>0</v>
      </c>
      <c r="M122" s="207">
        <f t="shared" si="36"/>
        <v>0</v>
      </c>
      <c r="N122" s="214">
        <f t="shared" ref="N122:S122" si="106">D275</f>
        <v>0</v>
      </c>
      <c r="O122" s="214">
        <f t="shared" si="106"/>
        <v>0</v>
      </c>
      <c r="P122" s="214">
        <f t="shared" si="106"/>
        <v>0</v>
      </c>
      <c r="Q122" s="214">
        <f t="shared" si="106"/>
        <v>0</v>
      </c>
      <c r="R122" s="214">
        <f t="shared" si="106"/>
        <v>0</v>
      </c>
      <c r="S122" s="214">
        <f t="shared" si="106"/>
        <v>0</v>
      </c>
      <c r="T122" s="259">
        <f t="shared" ref="T122:Y122" si="107">D276</f>
        <v>0</v>
      </c>
      <c r="U122" s="259">
        <f t="shared" si="107"/>
        <v>0</v>
      </c>
      <c r="V122" s="259">
        <f t="shared" si="107"/>
        <v>0</v>
      </c>
      <c r="W122" s="259">
        <f t="shared" si="107"/>
        <v>0</v>
      </c>
      <c r="X122" s="259">
        <f t="shared" si="107"/>
        <v>0</v>
      </c>
      <c r="Y122" s="259">
        <f t="shared" si="107"/>
        <v>0</v>
      </c>
      <c r="AB122" s="214">
        <f t="shared" ref="AB122:AG122" si="108">D273</f>
        <v>0</v>
      </c>
      <c r="AC122" s="214">
        <f t="shared" si="108"/>
        <v>0</v>
      </c>
      <c r="AD122" s="214">
        <f t="shared" si="108"/>
        <v>0</v>
      </c>
      <c r="AE122" s="214">
        <f t="shared" si="108"/>
        <v>0</v>
      </c>
      <c r="AF122" s="214">
        <f t="shared" si="108"/>
        <v>0</v>
      </c>
      <c r="AG122" s="214">
        <f t="shared" si="108"/>
        <v>0</v>
      </c>
      <c r="AH122" s="259">
        <f t="shared" ref="AH122:AM122" si="109">D274</f>
        <v>0</v>
      </c>
      <c r="AI122" s="259">
        <f t="shared" si="109"/>
        <v>0</v>
      </c>
      <c r="AJ122" s="259">
        <f t="shared" si="109"/>
        <v>0</v>
      </c>
      <c r="AK122" s="259">
        <f t="shared" si="109"/>
        <v>0</v>
      </c>
      <c r="AL122" s="259">
        <f t="shared" si="109"/>
        <v>0</v>
      </c>
      <c r="AM122" s="259">
        <f t="shared" si="109"/>
        <v>0</v>
      </c>
    </row>
    <row r="123" spans="2:39" outlineLevel="2" x14ac:dyDescent="0.2">
      <c r="B123" s="249">
        <v>20</v>
      </c>
      <c r="C123" s="640" t="str">
        <f t="shared" si="28"/>
        <v>** NOT USED **</v>
      </c>
      <c r="D123" s="552"/>
      <c r="E123" s="552"/>
      <c r="F123" s="42"/>
      <c r="G123" s="57" t="str">
        <f t="shared" si="73"/>
        <v/>
      </c>
      <c r="H123" s="138"/>
      <c r="I123" s="138"/>
      <c r="J123" s="138"/>
      <c r="K123" s="207">
        <f t="shared" si="30"/>
        <v>1</v>
      </c>
      <c r="L123" s="207">
        <f t="shared" si="31"/>
        <v>0</v>
      </c>
      <c r="M123" s="207">
        <f t="shared" si="36"/>
        <v>0</v>
      </c>
      <c r="N123" s="214">
        <f t="shared" ref="N123:S123" si="110">D283</f>
        <v>0</v>
      </c>
      <c r="O123" s="214">
        <f t="shared" si="110"/>
        <v>0</v>
      </c>
      <c r="P123" s="214">
        <f t="shared" si="110"/>
        <v>0</v>
      </c>
      <c r="Q123" s="214">
        <f t="shared" si="110"/>
        <v>0</v>
      </c>
      <c r="R123" s="214">
        <f t="shared" si="110"/>
        <v>0</v>
      </c>
      <c r="S123" s="214">
        <f t="shared" si="110"/>
        <v>0</v>
      </c>
      <c r="T123" s="259">
        <f t="shared" ref="T123:Y123" si="111">D284</f>
        <v>0</v>
      </c>
      <c r="U123" s="259">
        <f t="shared" si="111"/>
        <v>0</v>
      </c>
      <c r="V123" s="259">
        <f t="shared" si="111"/>
        <v>0</v>
      </c>
      <c r="W123" s="259">
        <f t="shared" si="111"/>
        <v>0</v>
      </c>
      <c r="X123" s="259">
        <f t="shared" si="111"/>
        <v>0</v>
      </c>
      <c r="Y123" s="259">
        <f t="shared" si="111"/>
        <v>0</v>
      </c>
      <c r="AB123" s="214">
        <f t="shared" ref="AB123:AG123" si="112">D281</f>
        <v>0</v>
      </c>
      <c r="AC123" s="214">
        <f t="shared" si="112"/>
        <v>0</v>
      </c>
      <c r="AD123" s="214">
        <f t="shared" si="112"/>
        <v>0</v>
      </c>
      <c r="AE123" s="214">
        <f t="shared" si="112"/>
        <v>0</v>
      </c>
      <c r="AF123" s="214">
        <f t="shared" si="112"/>
        <v>0</v>
      </c>
      <c r="AG123" s="214">
        <f t="shared" si="112"/>
        <v>0</v>
      </c>
      <c r="AH123" s="259">
        <f t="shared" ref="AH123:AM123" si="113">D282</f>
        <v>0</v>
      </c>
      <c r="AI123" s="259">
        <f t="shared" si="113"/>
        <v>0</v>
      </c>
      <c r="AJ123" s="259">
        <f t="shared" si="113"/>
        <v>0</v>
      </c>
      <c r="AK123" s="259">
        <f t="shared" si="113"/>
        <v>0</v>
      </c>
      <c r="AL123" s="259">
        <f t="shared" si="113"/>
        <v>0</v>
      </c>
      <c r="AM123" s="259">
        <f t="shared" si="113"/>
        <v>0</v>
      </c>
    </row>
    <row r="124" spans="2:39" outlineLevel="2" x14ac:dyDescent="0.2">
      <c r="L124" s="207">
        <f>COUNTIF(L104:L123,3)+COUNTIF(L338:L357,3)</f>
        <v>0</v>
      </c>
      <c r="R124" s="127"/>
    </row>
    <row r="125" spans="2:39" outlineLevel="1" x14ac:dyDescent="0.2"/>
    <row r="126" spans="2:39" ht="15" outlineLevel="1" x14ac:dyDescent="0.2">
      <c r="B126" s="249">
        <v>1</v>
      </c>
      <c r="C126" s="129" t="str">
        <f>INDEX(PBSScriptsNew,B126,1)</f>
        <v>** NOT USED **</v>
      </c>
      <c r="D126" s="123"/>
      <c r="E126" s="123"/>
      <c r="F126" s="123"/>
      <c r="G126" s="123"/>
      <c r="H126" s="123"/>
      <c r="I126" s="123"/>
      <c r="J126" s="123"/>
      <c r="K126" s="123"/>
      <c r="L126" s="117"/>
      <c r="M126" s="117"/>
      <c r="N126" s="117"/>
      <c r="O126" s="113"/>
      <c r="P126" s="113"/>
      <c r="Q126" s="113"/>
      <c r="R126" s="113"/>
      <c r="S126" s="113"/>
      <c r="T126" s="113"/>
      <c r="U126" s="113"/>
      <c r="V126" s="113"/>
      <c r="W126" s="113"/>
      <c r="X126" s="113"/>
      <c r="Y126" s="113"/>
      <c r="Z126" s="113"/>
      <c r="AA126" s="113"/>
      <c r="AB126" s="113"/>
      <c r="AC126" s="113"/>
      <c r="AD126" s="113"/>
      <c r="AE126" s="113"/>
      <c r="AF126" s="113"/>
      <c r="AG126" s="113"/>
      <c r="AH126" s="113"/>
      <c r="AI126" s="113"/>
      <c r="AJ126" s="113"/>
      <c r="AK126" s="113"/>
      <c r="AL126" s="113"/>
      <c r="AM126" s="113"/>
    </row>
    <row r="127" spans="2:39" hidden="1" outlineLevel="2" x14ac:dyDescent="0.2">
      <c r="D127" s="319">
        <v>2</v>
      </c>
      <c r="E127" s="319">
        <v>3</v>
      </c>
      <c r="F127" s="319">
        <v>4</v>
      </c>
      <c r="G127" s="319">
        <v>5</v>
      </c>
      <c r="H127" s="319">
        <v>6</v>
      </c>
      <c r="I127" s="319">
        <v>7</v>
      </c>
      <c r="J127" s="319"/>
    </row>
    <row r="128" spans="2:39" hidden="1" outlineLevel="2" x14ac:dyDescent="0.2">
      <c r="D128" s="74">
        <f>FirstYear</f>
        <v>2026</v>
      </c>
      <c r="E128" s="74">
        <f>D128+1</f>
        <v>2027</v>
      </c>
      <c r="F128" s="74">
        <f>E128+1</f>
        <v>2028</v>
      </c>
      <c r="G128" s="74">
        <f>F128+1</f>
        <v>2029</v>
      </c>
      <c r="H128" s="74">
        <f>G128+1</f>
        <v>2030</v>
      </c>
      <c r="I128" s="74">
        <f>H128+1</f>
        <v>2031</v>
      </c>
    </row>
    <row r="129" spans="2:39" hidden="1" outlineLevel="2" x14ac:dyDescent="0.2">
      <c r="C129" s="150" t="s">
        <v>119</v>
      </c>
      <c r="D129" s="151">
        <f t="shared" ref="D129:I129" si="114">INDEX(PBSScriptsNew,$B126,D127)</f>
        <v>0</v>
      </c>
      <c r="E129" s="151">
        <f t="shared" si="114"/>
        <v>0</v>
      </c>
      <c r="F129" s="151">
        <f t="shared" si="114"/>
        <v>0</v>
      </c>
      <c r="G129" s="151">
        <f t="shared" si="114"/>
        <v>0</v>
      </c>
      <c r="H129" s="151">
        <f t="shared" si="114"/>
        <v>0</v>
      </c>
      <c r="I129" s="151">
        <f t="shared" si="114"/>
        <v>0</v>
      </c>
      <c r="N129" s="482"/>
    </row>
    <row r="130" spans="2:39" hidden="1" outlineLevel="2" x14ac:dyDescent="0.2">
      <c r="C130" s="150" t="s">
        <v>120</v>
      </c>
      <c r="D130" s="151">
        <f t="shared" ref="D130:I130" si="115">INDEX(RPBSScriptsNew,$B126,D127)</f>
        <v>0</v>
      </c>
      <c r="E130" s="151">
        <f t="shared" si="115"/>
        <v>0</v>
      </c>
      <c r="F130" s="151">
        <f t="shared" si="115"/>
        <v>0</v>
      </c>
      <c r="G130" s="151">
        <f t="shared" si="115"/>
        <v>0</v>
      </c>
      <c r="H130" s="151">
        <f t="shared" si="115"/>
        <v>0</v>
      </c>
      <c r="I130" s="151">
        <f t="shared" si="115"/>
        <v>0</v>
      </c>
    </row>
    <row r="131" spans="2:39" hidden="1" outlineLevel="2" x14ac:dyDescent="0.2">
      <c r="C131" s="139" t="s">
        <v>121</v>
      </c>
      <c r="D131" s="151">
        <f t="shared" ref="D131:I131" si="116">IF(INDEX(SANew,$B126,7)&gt;0,ROUND(D129/INDEX(SANew,$B126,2),0),0)</f>
        <v>0</v>
      </c>
      <c r="E131" s="151">
        <f t="shared" si="116"/>
        <v>0</v>
      </c>
      <c r="F131" s="151">
        <f t="shared" si="116"/>
        <v>0</v>
      </c>
      <c r="G131" s="151">
        <f t="shared" si="116"/>
        <v>0</v>
      </c>
      <c r="H131" s="151">
        <f t="shared" si="116"/>
        <v>0</v>
      </c>
      <c r="I131" s="151">
        <f t="shared" si="116"/>
        <v>0</v>
      </c>
      <c r="L131" s="119"/>
    </row>
    <row r="132" spans="2:39" hidden="1" outlineLevel="2" x14ac:dyDescent="0.2">
      <c r="C132" s="139" t="s">
        <v>122</v>
      </c>
      <c r="D132" s="151">
        <f t="shared" ref="D132:I132" si="117">IF(INDEX(SANew,$B126,7)&gt;0,ROUND(D130/INDEX(SANew,$B126,2),0),0)</f>
        <v>0</v>
      </c>
      <c r="E132" s="151">
        <f t="shared" si="117"/>
        <v>0</v>
      </c>
      <c r="F132" s="151">
        <f t="shared" si="117"/>
        <v>0</v>
      </c>
      <c r="G132" s="151">
        <f t="shared" si="117"/>
        <v>0</v>
      </c>
      <c r="H132" s="151">
        <f t="shared" si="117"/>
        <v>0</v>
      </c>
      <c r="I132" s="151">
        <f t="shared" si="117"/>
        <v>0</v>
      </c>
      <c r="L132" s="119"/>
    </row>
    <row r="133" spans="2:39" outlineLevel="1" collapsed="1" x14ac:dyDescent="0.2">
      <c r="C133" s="455"/>
      <c r="D133" s="480"/>
      <c r="E133" s="348"/>
      <c r="F133" s="348"/>
      <c r="G133" s="348"/>
      <c r="H133" s="348"/>
      <c r="I133" s="348"/>
      <c r="J133" s="348"/>
      <c r="K133" s="348"/>
    </row>
    <row r="134" spans="2:39" ht="15" outlineLevel="1" x14ac:dyDescent="0.2">
      <c r="B134" s="249">
        <v>2</v>
      </c>
      <c r="C134" s="129" t="str">
        <f>INDEX(PBSScriptsNew,B134,1)</f>
        <v>** NOT USED **</v>
      </c>
      <c r="D134" s="123"/>
      <c r="E134" s="123"/>
      <c r="F134" s="123"/>
      <c r="G134" s="123"/>
      <c r="H134" s="123"/>
      <c r="I134" s="123"/>
      <c r="J134" s="123"/>
      <c r="K134" s="123"/>
      <c r="L134" s="117"/>
      <c r="M134" s="117"/>
      <c r="N134" s="117"/>
      <c r="O134" s="113"/>
      <c r="P134" s="113"/>
      <c r="Q134" s="113"/>
      <c r="R134" s="113"/>
      <c r="S134" s="113"/>
      <c r="T134" s="113"/>
      <c r="U134" s="113"/>
      <c r="V134" s="113"/>
      <c r="W134" s="113"/>
      <c r="X134" s="113"/>
      <c r="Y134" s="113"/>
      <c r="Z134" s="113"/>
      <c r="AA134" s="113"/>
      <c r="AB134" s="113"/>
      <c r="AC134" s="113"/>
      <c r="AD134" s="113"/>
      <c r="AE134" s="113"/>
      <c r="AF134" s="113"/>
      <c r="AG134" s="113"/>
      <c r="AH134" s="113"/>
      <c r="AI134" s="113"/>
      <c r="AJ134" s="113"/>
      <c r="AK134" s="113"/>
      <c r="AL134" s="113"/>
      <c r="AM134" s="113"/>
    </row>
    <row r="135" spans="2:39" hidden="1" outlineLevel="2" x14ac:dyDescent="0.2">
      <c r="D135" s="319">
        <v>2</v>
      </c>
      <c r="E135" s="319">
        <v>3</v>
      </c>
      <c r="F135" s="319">
        <v>4</v>
      </c>
      <c r="G135" s="319">
        <v>5</v>
      </c>
      <c r="H135" s="319">
        <v>6</v>
      </c>
      <c r="I135" s="319">
        <v>7</v>
      </c>
      <c r="J135" s="319"/>
    </row>
    <row r="136" spans="2:39" hidden="1" outlineLevel="2" x14ac:dyDescent="0.2">
      <c r="D136" s="74">
        <f>FirstYear</f>
        <v>2026</v>
      </c>
      <c r="E136" s="74">
        <f>D136+1</f>
        <v>2027</v>
      </c>
      <c r="F136" s="74">
        <f>E136+1</f>
        <v>2028</v>
      </c>
      <c r="G136" s="74">
        <f>F136+1</f>
        <v>2029</v>
      </c>
      <c r="H136" s="74">
        <f>G136+1</f>
        <v>2030</v>
      </c>
      <c r="I136" s="74">
        <f>H136+1</f>
        <v>2031</v>
      </c>
    </row>
    <row r="137" spans="2:39" hidden="1" outlineLevel="2" x14ac:dyDescent="0.2">
      <c r="C137" s="150" t="s">
        <v>119</v>
      </c>
      <c r="D137" s="151">
        <f t="shared" ref="D137:I137" si="118">INDEX(PBSScriptsNew,$B134,D135)</f>
        <v>0</v>
      </c>
      <c r="E137" s="151">
        <f t="shared" si="118"/>
        <v>0</v>
      </c>
      <c r="F137" s="151">
        <f t="shared" si="118"/>
        <v>0</v>
      </c>
      <c r="G137" s="151">
        <f t="shared" si="118"/>
        <v>0</v>
      </c>
      <c r="H137" s="151">
        <f t="shared" si="118"/>
        <v>0</v>
      </c>
      <c r="I137" s="151">
        <f t="shared" si="118"/>
        <v>0</v>
      </c>
      <c r="N137" s="482"/>
    </row>
    <row r="138" spans="2:39" hidden="1" outlineLevel="2" x14ac:dyDescent="0.2">
      <c r="C138" s="150" t="s">
        <v>120</v>
      </c>
      <c r="D138" s="151">
        <f t="shared" ref="D138:I138" si="119">INDEX(RPBSScriptsNew,$B134,D135)</f>
        <v>0</v>
      </c>
      <c r="E138" s="151">
        <f t="shared" si="119"/>
        <v>0</v>
      </c>
      <c r="F138" s="151">
        <f t="shared" si="119"/>
        <v>0</v>
      </c>
      <c r="G138" s="151">
        <f t="shared" si="119"/>
        <v>0</v>
      </c>
      <c r="H138" s="151">
        <f t="shared" si="119"/>
        <v>0</v>
      </c>
      <c r="I138" s="151">
        <f t="shared" si="119"/>
        <v>0</v>
      </c>
    </row>
    <row r="139" spans="2:39" hidden="1" outlineLevel="2" x14ac:dyDescent="0.2">
      <c r="C139" s="139" t="s">
        <v>121</v>
      </c>
      <c r="D139" s="151">
        <f t="shared" ref="D139:I139" si="120">IF(INDEX(SANew,$B134,7)&gt;0,ROUND(D137/INDEX(SANew,$B134,2),0),0)</f>
        <v>0</v>
      </c>
      <c r="E139" s="151">
        <f t="shared" si="120"/>
        <v>0</v>
      </c>
      <c r="F139" s="151">
        <f t="shared" si="120"/>
        <v>0</v>
      </c>
      <c r="G139" s="151">
        <f t="shared" si="120"/>
        <v>0</v>
      </c>
      <c r="H139" s="151">
        <f t="shared" si="120"/>
        <v>0</v>
      </c>
      <c r="I139" s="151">
        <f t="shared" si="120"/>
        <v>0</v>
      </c>
      <c r="L139" s="119"/>
    </row>
    <row r="140" spans="2:39" hidden="1" outlineLevel="2" x14ac:dyDescent="0.2">
      <c r="C140" s="139" t="s">
        <v>122</v>
      </c>
      <c r="D140" s="151">
        <f t="shared" ref="D140:I140" si="121">IF(INDEX(SANew,$B134,7)&gt;0,ROUND(D138/INDEX(SANew,$B134,2),0),0)</f>
        <v>0</v>
      </c>
      <c r="E140" s="151">
        <f t="shared" si="121"/>
        <v>0</v>
      </c>
      <c r="F140" s="151">
        <f t="shared" si="121"/>
        <v>0</v>
      </c>
      <c r="G140" s="151">
        <f t="shared" si="121"/>
        <v>0</v>
      </c>
      <c r="H140" s="151">
        <f t="shared" si="121"/>
        <v>0</v>
      </c>
      <c r="I140" s="151">
        <f t="shared" si="121"/>
        <v>0</v>
      </c>
      <c r="L140" s="119"/>
    </row>
    <row r="141" spans="2:39" outlineLevel="1" collapsed="1" x14ac:dyDescent="0.2">
      <c r="C141" s="455"/>
      <c r="D141" s="480"/>
      <c r="E141" s="348"/>
      <c r="F141" s="348"/>
      <c r="G141" s="348"/>
      <c r="H141" s="348"/>
      <c r="I141" s="348"/>
      <c r="J141" s="348"/>
      <c r="K141" s="348"/>
    </row>
    <row r="142" spans="2:39" ht="15" outlineLevel="1" x14ac:dyDescent="0.2">
      <c r="B142" s="249">
        <v>3</v>
      </c>
      <c r="C142" s="129" t="str">
        <f>INDEX(PBSScriptsNew,B142,1)</f>
        <v>** NOT USED **</v>
      </c>
      <c r="D142" s="123"/>
      <c r="E142" s="123"/>
      <c r="F142" s="123"/>
      <c r="G142" s="123"/>
      <c r="H142" s="123"/>
      <c r="I142" s="123"/>
      <c r="J142" s="123"/>
      <c r="K142" s="123"/>
      <c r="L142" s="117"/>
      <c r="M142" s="117"/>
      <c r="N142" s="117"/>
      <c r="O142" s="113"/>
      <c r="P142" s="113"/>
      <c r="Q142" s="113"/>
      <c r="R142" s="113"/>
      <c r="S142" s="113"/>
      <c r="T142" s="113"/>
      <c r="U142" s="113"/>
      <c r="V142" s="113"/>
      <c r="W142" s="113"/>
      <c r="X142" s="113"/>
      <c r="Y142" s="113"/>
      <c r="Z142" s="113"/>
      <c r="AA142" s="113"/>
      <c r="AB142" s="113"/>
      <c r="AC142" s="113"/>
      <c r="AD142" s="113"/>
      <c r="AE142" s="113"/>
      <c r="AF142" s="113"/>
      <c r="AG142" s="113"/>
      <c r="AH142" s="113"/>
      <c r="AI142" s="113"/>
      <c r="AJ142" s="113"/>
      <c r="AK142" s="113"/>
      <c r="AL142" s="113"/>
      <c r="AM142" s="113"/>
    </row>
    <row r="143" spans="2:39" hidden="1" outlineLevel="2" x14ac:dyDescent="0.2">
      <c r="D143" s="319">
        <v>2</v>
      </c>
      <c r="E143" s="319">
        <v>3</v>
      </c>
      <c r="F143" s="319">
        <v>4</v>
      </c>
      <c r="G143" s="319">
        <v>5</v>
      </c>
      <c r="H143" s="319">
        <v>6</v>
      </c>
      <c r="I143" s="319">
        <v>7</v>
      </c>
      <c r="J143" s="319"/>
    </row>
    <row r="144" spans="2:39" hidden="1" outlineLevel="2" x14ac:dyDescent="0.2">
      <c r="D144" s="74">
        <f>FirstYear</f>
        <v>2026</v>
      </c>
      <c r="E144" s="74">
        <f>D144+1</f>
        <v>2027</v>
      </c>
      <c r="F144" s="74">
        <f>E144+1</f>
        <v>2028</v>
      </c>
      <c r="G144" s="74">
        <f>F144+1</f>
        <v>2029</v>
      </c>
      <c r="H144" s="74">
        <f>G144+1</f>
        <v>2030</v>
      </c>
      <c r="I144" s="74">
        <f>H144+1</f>
        <v>2031</v>
      </c>
    </row>
    <row r="145" spans="2:39" hidden="1" outlineLevel="2" x14ac:dyDescent="0.2">
      <c r="C145" s="150" t="s">
        <v>119</v>
      </c>
      <c r="D145" s="151">
        <f t="shared" ref="D145:I145" si="122">INDEX(PBSScriptsNew,$B142,D143)</f>
        <v>0</v>
      </c>
      <c r="E145" s="151">
        <f t="shared" si="122"/>
        <v>0</v>
      </c>
      <c r="F145" s="151">
        <f t="shared" si="122"/>
        <v>0</v>
      </c>
      <c r="G145" s="151">
        <f t="shared" si="122"/>
        <v>0</v>
      </c>
      <c r="H145" s="151">
        <f t="shared" si="122"/>
        <v>0</v>
      </c>
      <c r="I145" s="151">
        <f t="shared" si="122"/>
        <v>0</v>
      </c>
      <c r="N145" s="482"/>
    </row>
    <row r="146" spans="2:39" hidden="1" outlineLevel="2" x14ac:dyDescent="0.2">
      <c r="C146" s="150" t="s">
        <v>120</v>
      </c>
      <c r="D146" s="151">
        <f t="shared" ref="D146:I146" si="123">INDEX(RPBSScriptsNew,$B142,D143)</f>
        <v>0</v>
      </c>
      <c r="E146" s="151">
        <f t="shared" si="123"/>
        <v>0</v>
      </c>
      <c r="F146" s="151">
        <f t="shared" si="123"/>
        <v>0</v>
      </c>
      <c r="G146" s="151">
        <f t="shared" si="123"/>
        <v>0</v>
      </c>
      <c r="H146" s="151">
        <f t="shared" si="123"/>
        <v>0</v>
      </c>
      <c r="I146" s="151">
        <f t="shared" si="123"/>
        <v>0</v>
      </c>
    </row>
    <row r="147" spans="2:39" hidden="1" outlineLevel="2" x14ac:dyDescent="0.2">
      <c r="C147" s="139" t="s">
        <v>121</v>
      </c>
      <c r="D147" s="151">
        <f t="shared" ref="D147:I147" si="124">IF(INDEX(SANew,$B142,7)&gt;0,ROUND(D145/INDEX(SANew,$B142,2),0),0)</f>
        <v>0</v>
      </c>
      <c r="E147" s="151">
        <f t="shared" si="124"/>
        <v>0</v>
      </c>
      <c r="F147" s="151">
        <f t="shared" si="124"/>
        <v>0</v>
      </c>
      <c r="G147" s="151">
        <f t="shared" si="124"/>
        <v>0</v>
      </c>
      <c r="H147" s="151">
        <f t="shared" si="124"/>
        <v>0</v>
      </c>
      <c r="I147" s="151">
        <f t="shared" si="124"/>
        <v>0</v>
      </c>
      <c r="L147" s="119"/>
    </row>
    <row r="148" spans="2:39" hidden="1" outlineLevel="2" x14ac:dyDescent="0.2">
      <c r="C148" s="139" t="s">
        <v>122</v>
      </c>
      <c r="D148" s="151">
        <f t="shared" ref="D148:I148" si="125">IF(INDEX(SANew,$B142,7)&gt;0,ROUND(D146/INDEX(SANew,$B142,2),0),0)</f>
        <v>0</v>
      </c>
      <c r="E148" s="151">
        <f t="shared" si="125"/>
        <v>0</v>
      </c>
      <c r="F148" s="151">
        <f t="shared" si="125"/>
        <v>0</v>
      </c>
      <c r="G148" s="151">
        <f t="shared" si="125"/>
        <v>0</v>
      </c>
      <c r="H148" s="151">
        <f t="shared" si="125"/>
        <v>0</v>
      </c>
      <c r="I148" s="151">
        <f t="shared" si="125"/>
        <v>0</v>
      </c>
      <c r="L148" s="119"/>
    </row>
    <row r="149" spans="2:39" outlineLevel="1" collapsed="1" x14ac:dyDescent="0.2">
      <c r="C149" s="455"/>
      <c r="D149" s="480"/>
      <c r="E149" s="348"/>
      <c r="F149" s="348"/>
      <c r="G149" s="348"/>
      <c r="H149" s="348"/>
      <c r="I149" s="348"/>
      <c r="J149" s="348"/>
      <c r="K149" s="348"/>
    </row>
    <row r="150" spans="2:39" ht="15" outlineLevel="1" x14ac:dyDescent="0.2">
      <c r="B150" s="249">
        <v>4</v>
      </c>
      <c r="C150" s="129" t="str">
        <f>INDEX(PBSScriptsNew,B150,1)</f>
        <v>** NOT USED **</v>
      </c>
      <c r="D150" s="123"/>
      <c r="E150" s="123"/>
      <c r="F150" s="123"/>
      <c r="G150" s="123"/>
      <c r="H150" s="123"/>
      <c r="I150" s="123"/>
      <c r="J150" s="123"/>
      <c r="K150" s="123"/>
      <c r="L150" s="117"/>
      <c r="M150" s="117"/>
      <c r="N150" s="117"/>
      <c r="O150" s="113"/>
      <c r="P150" s="113"/>
      <c r="Q150" s="113"/>
      <c r="R150" s="113"/>
      <c r="S150" s="113"/>
      <c r="T150" s="113"/>
      <c r="U150" s="113"/>
      <c r="V150" s="113"/>
      <c r="W150" s="113"/>
      <c r="X150" s="113"/>
      <c r="Y150" s="113"/>
      <c r="Z150" s="113"/>
      <c r="AA150" s="113"/>
      <c r="AB150" s="113"/>
      <c r="AC150" s="113"/>
      <c r="AD150" s="113"/>
      <c r="AE150" s="113"/>
      <c r="AF150" s="113"/>
      <c r="AG150" s="113"/>
      <c r="AH150" s="113"/>
      <c r="AI150" s="113"/>
      <c r="AJ150" s="113"/>
      <c r="AK150" s="113"/>
      <c r="AL150" s="113"/>
      <c r="AM150" s="113"/>
    </row>
    <row r="151" spans="2:39" hidden="1" outlineLevel="2" x14ac:dyDescent="0.2">
      <c r="D151" s="319">
        <v>2</v>
      </c>
      <c r="E151" s="319">
        <v>3</v>
      </c>
      <c r="F151" s="319">
        <v>4</v>
      </c>
      <c r="G151" s="319">
        <v>5</v>
      </c>
      <c r="H151" s="319">
        <v>6</v>
      </c>
      <c r="I151" s="319">
        <v>7</v>
      </c>
      <c r="J151" s="319"/>
    </row>
    <row r="152" spans="2:39" hidden="1" outlineLevel="2" x14ac:dyDescent="0.2">
      <c r="D152" s="74">
        <f>FirstYear</f>
        <v>2026</v>
      </c>
      <c r="E152" s="74">
        <f>D152+1</f>
        <v>2027</v>
      </c>
      <c r="F152" s="74">
        <f>E152+1</f>
        <v>2028</v>
      </c>
      <c r="G152" s="74">
        <f>F152+1</f>
        <v>2029</v>
      </c>
      <c r="H152" s="74">
        <f>G152+1</f>
        <v>2030</v>
      </c>
      <c r="I152" s="74">
        <f>H152+1</f>
        <v>2031</v>
      </c>
    </row>
    <row r="153" spans="2:39" hidden="1" outlineLevel="2" x14ac:dyDescent="0.2">
      <c r="C153" s="150" t="s">
        <v>119</v>
      </c>
      <c r="D153" s="151">
        <f t="shared" ref="D153:I153" si="126">INDEX(PBSScriptsNew,$B150,D151)</f>
        <v>0</v>
      </c>
      <c r="E153" s="151">
        <f t="shared" si="126"/>
        <v>0</v>
      </c>
      <c r="F153" s="151">
        <f t="shared" si="126"/>
        <v>0</v>
      </c>
      <c r="G153" s="151">
        <f t="shared" si="126"/>
        <v>0</v>
      </c>
      <c r="H153" s="151">
        <f t="shared" si="126"/>
        <v>0</v>
      </c>
      <c r="I153" s="151">
        <f t="shared" si="126"/>
        <v>0</v>
      </c>
      <c r="N153" s="482"/>
    </row>
    <row r="154" spans="2:39" hidden="1" outlineLevel="2" x14ac:dyDescent="0.2">
      <c r="C154" s="150" t="s">
        <v>120</v>
      </c>
      <c r="D154" s="151">
        <f t="shared" ref="D154:I154" si="127">INDEX(RPBSScriptsNew,$B150,D151)</f>
        <v>0</v>
      </c>
      <c r="E154" s="151">
        <f t="shared" si="127"/>
        <v>0</v>
      </c>
      <c r="F154" s="151">
        <f t="shared" si="127"/>
        <v>0</v>
      </c>
      <c r="G154" s="151">
        <f t="shared" si="127"/>
        <v>0</v>
      </c>
      <c r="H154" s="151">
        <f t="shared" si="127"/>
        <v>0</v>
      </c>
      <c r="I154" s="151">
        <f t="shared" si="127"/>
        <v>0</v>
      </c>
    </row>
    <row r="155" spans="2:39" hidden="1" outlineLevel="2" x14ac:dyDescent="0.2">
      <c r="C155" s="139" t="s">
        <v>121</v>
      </c>
      <c r="D155" s="151">
        <f t="shared" ref="D155:I155" si="128">IF(INDEX(SANew,$B150,7)&gt;0,ROUND(D153/INDEX(SANew,$B150,2),0),0)</f>
        <v>0</v>
      </c>
      <c r="E155" s="151">
        <f t="shared" si="128"/>
        <v>0</v>
      </c>
      <c r="F155" s="151">
        <f t="shared" si="128"/>
        <v>0</v>
      </c>
      <c r="G155" s="151">
        <f t="shared" si="128"/>
        <v>0</v>
      </c>
      <c r="H155" s="151">
        <f t="shared" si="128"/>
        <v>0</v>
      </c>
      <c r="I155" s="151">
        <f t="shared" si="128"/>
        <v>0</v>
      </c>
      <c r="L155" s="119"/>
    </row>
    <row r="156" spans="2:39" hidden="1" outlineLevel="2" x14ac:dyDescent="0.2">
      <c r="C156" s="139" t="s">
        <v>122</v>
      </c>
      <c r="D156" s="151">
        <f t="shared" ref="D156:I156" si="129">IF(INDEX(SANew,$B150,7)&gt;0,ROUND(D154/INDEX(SANew,$B150,2),0),0)</f>
        <v>0</v>
      </c>
      <c r="E156" s="151">
        <f t="shared" si="129"/>
        <v>0</v>
      </c>
      <c r="F156" s="151">
        <f t="shared" si="129"/>
        <v>0</v>
      </c>
      <c r="G156" s="151">
        <f t="shared" si="129"/>
        <v>0</v>
      </c>
      <c r="H156" s="151">
        <f t="shared" si="129"/>
        <v>0</v>
      </c>
      <c r="I156" s="151">
        <f t="shared" si="129"/>
        <v>0</v>
      </c>
      <c r="L156" s="119"/>
    </row>
    <row r="157" spans="2:39" outlineLevel="1" collapsed="1" x14ac:dyDescent="0.2">
      <c r="C157" s="455"/>
      <c r="D157" s="480"/>
      <c r="E157" s="348"/>
      <c r="F157" s="348"/>
      <c r="G157" s="348"/>
      <c r="H157" s="348"/>
      <c r="I157" s="348"/>
      <c r="J157" s="348"/>
      <c r="K157" s="348"/>
    </row>
    <row r="158" spans="2:39" ht="15" outlineLevel="1" x14ac:dyDescent="0.2">
      <c r="B158" s="249">
        <v>5</v>
      </c>
      <c r="C158" s="129" t="str">
        <f>INDEX(PBSScriptsNew,B158,1)</f>
        <v>** NOT USED **</v>
      </c>
      <c r="D158" s="123"/>
      <c r="E158" s="123"/>
      <c r="F158" s="123"/>
      <c r="G158" s="123"/>
      <c r="H158" s="123"/>
      <c r="I158" s="123"/>
      <c r="J158" s="123"/>
      <c r="K158" s="123"/>
      <c r="L158" s="117"/>
      <c r="M158" s="117"/>
      <c r="N158" s="117"/>
      <c r="O158" s="113"/>
      <c r="P158" s="113"/>
      <c r="Q158" s="113"/>
      <c r="R158" s="113"/>
      <c r="S158" s="113"/>
      <c r="T158" s="113"/>
      <c r="U158" s="113"/>
      <c r="V158" s="113"/>
      <c r="W158" s="113"/>
      <c r="X158" s="113"/>
      <c r="Y158" s="113"/>
      <c r="Z158" s="113"/>
      <c r="AA158" s="113"/>
      <c r="AB158" s="113"/>
      <c r="AC158" s="113"/>
      <c r="AD158" s="113"/>
      <c r="AE158" s="113"/>
      <c r="AF158" s="113"/>
      <c r="AG158" s="113"/>
      <c r="AH158" s="113"/>
      <c r="AI158" s="113"/>
      <c r="AJ158" s="113"/>
      <c r="AK158" s="113"/>
      <c r="AL158" s="113"/>
      <c r="AM158" s="113"/>
    </row>
    <row r="159" spans="2:39" hidden="1" outlineLevel="2" x14ac:dyDescent="0.2">
      <c r="D159" s="319">
        <v>2</v>
      </c>
      <c r="E159" s="319">
        <v>3</v>
      </c>
      <c r="F159" s="319">
        <v>4</v>
      </c>
      <c r="G159" s="319">
        <v>5</v>
      </c>
      <c r="H159" s="319">
        <v>6</v>
      </c>
      <c r="I159" s="319">
        <v>7</v>
      </c>
      <c r="J159" s="319"/>
    </row>
    <row r="160" spans="2:39" hidden="1" outlineLevel="2" x14ac:dyDescent="0.2">
      <c r="D160" s="74">
        <f>FirstYear</f>
        <v>2026</v>
      </c>
      <c r="E160" s="74">
        <f>D160+1</f>
        <v>2027</v>
      </c>
      <c r="F160" s="74">
        <f>E160+1</f>
        <v>2028</v>
      </c>
      <c r="G160" s="74">
        <f>F160+1</f>
        <v>2029</v>
      </c>
      <c r="H160" s="74">
        <f>G160+1</f>
        <v>2030</v>
      </c>
      <c r="I160" s="74">
        <f>H160+1</f>
        <v>2031</v>
      </c>
    </row>
    <row r="161" spans="2:39" hidden="1" outlineLevel="2" x14ac:dyDescent="0.2">
      <c r="C161" s="150" t="s">
        <v>119</v>
      </c>
      <c r="D161" s="151">
        <f t="shared" ref="D161:I161" si="130">INDEX(PBSScriptsNew,$B158,D159)</f>
        <v>0</v>
      </c>
      <c r="E161" s="151">
        <f t="shared" si="130"/>
        <v>0</v>
      </c>
      <c r="F161" s="151">
        <f t="shared" si="130"/>
        <v>0</v>
      </c>
      <c r="G161" s="151">
        <f t="shared" si="130"/>
        <v>0</v>
      </c>
      <c r="H161" s="151">
        <f t="shared" si="130"/>
        <v>0</v>
      </c>
      <c r="I161" s="151">
        <f t="shared" si="130"/>
        <v>0</v>
      </c>
      <c r="N161" s="482"/>
    </row>
    <row r="162" spans="2:39" hidden="1" outlineLevel="2" x14ac:dyDescent="0.2">
      <c r="C162" s="150" t="s">
        <v>120</v>
      </c>
      <c r="D162" s="151">
        <f t="shared" ref="D162:I162" si="131">INDEX(RPBSScriptsNew,$B158,D159)</f>
        <v>0</v>
      </c>
      <c r="E162" s="151">
        <f t="shared" si="131"/>
        <v>0</v>
      </c>
      <c r="F162" s="151">
        <f t="shared" si="131"/>
        <v>0</v>
      </c>
      <c r="G162" s="151">
        <f t="shared" si="131"/>
        <v>0</v>
      </c>
      <c r="H162" s="151">
        <f t="shared" si="131"/>
        <v>0</v>
      </c>
      <c r="I162" s="151">
        <f t="shared" si="131"/>
        <v>0</v>
      </c>
    </row>
    <row r="163" spans="2:39" hidden="1" outlineLevel="2" x14ac:dyDescent="0.2">
      <c r="C163" s="139" t="s">
        <v>121</v>
      </c>
      <c r="D163" s="151">
        <f t="shared" ref="D163:I163" si="132">IF(INDEX(SANew,$B158,7)&gt;0,ROUND(D161/INDEX(SANew,$B158,2),0),0)</f>
        <v>0</v>
      </c>
      <c r="E163" s="151">
        <f t="shared" si="132"/>
        <v>0</v>
      </c>
      <c r="F163" s="151">
        <f t="shared" si="132"/>
        <v>0</v>
      </c>
      <c r="G163" s="151">
        <f t="shared" si="132"/>
        <v>0</v>
      </c>
      <c r="H163" s="151">
        <f t="shared" si="132"/>
        <v>0</v>
      </c>
      <c r="I163" s="151">
        <f t="shared" si="132"/>
        <v>0</v>
      </c>
      <c r="L163" s="119"/>
    </row>
    <row r="164" spans="2:39" hidden="1" outlineLevel="2" x14ac:dyDescent="0.2">
      <c r="C164" s="139" t="s">
        <v>122</v>
      </c>
      <c r="D164" s="151">
        <f t="shared" ref="D164:I164" si="133">IF(INDEX(SANew,$B158,7)&gt;0,ROUND(D162/INDEX(SANew,$B158,2),0),0)</f>
        <v>0</v>
      </c>
      <c r="E164" s="151">
        <f t="shared" si="133"/>
        <v>0</v>
      </c>
      <c r="F164" s="151">
        <f t="shared" si="133"/>
        <v>0</v>
      </c>
      <c r="G164" s="151">
        <f t="shared" si="133"/>
        <v>0</v>
      </c>
      <c r="H164" s="151">
        <f t="shared" si="133"/>
        <v>0</v>
      </c>
      <c r="I164" s="151">
        <f t="shared" si="133"/>
        <v>0</v>
      </c>
      <c r="L164" s="119"/>
    </row>
    <row r="165" spans="2:39" outlineLevel="1" collapsed="1" x14ac:dyDescent="0.2">
      <c r="C165" s="455"/>
      <c r="D165" s="480"/>
      <c r="E165" s="348"/>
      <c r="F165" s="348"/>
      <c r="G165" s="348"/>
      <c r="H165" s="348"/>
      <c r="I165" s="348"/>
      <c r="J165" s="348"/>
      <c r="K165" s="348"/>
    </row>
    <row r="166" spans="2:39" ht="15" outlineLevel="1" x14ac:dyDescent="0.2">
      <c r="B166" s="249">
        <v>6</v>
      </c>
      <c r="C166" s="129" t="str">
        <f>INDEX(PBSScriptsNew,B166,1)</f>
        <v>** NOT USED **</v>
      </c>
      <c r="D166" s="123"/>
      <c r="E166" s="123"/>
      <c r="F166" s="123"/>
      <c r="G166" s="123"/>
      <c r="H166" s="123"/>
      <c r="I166" s="123"/>
      <c r="J166" s="123"/>
      <c r="K166" s="123"/>
      <c r="L166" s="117"/>
      <c r="M166" s="117"/>
      <c r="N166" s="117"/>
      <c r="O166" s="113"/>
      <c r="P166" s="113"/>
      <c r="Q166" s="113"/>
      <c r="R166" s="113"/>
      <c r="S166" s="113"/>
      <c r="T166" s="113"/>
      <c r="U166" s="113"/>
      <c r="V166" s="113"/>
      <c r="W166" s="113"/>
      <c r="X166" s="113"/>
      <c r="Y166" s="113"/>
      <c r="Z166" s="113"/>
      <c r="AA166" s="113"/>
      <c r="AB166" s="113"/>
      <c r="AC166" s="113"/>
      <c r="AD166" s="113"/>
      <c r="AE166" s="113"/>
      <c r="AF166" s="113"/>
      <c r="AG166" s="113"/>
      <c r="AH166" s="113"/>
      <c r="AI166" s="113"/>
      <c r="AJ166" s="113"/>
      <c r="AK166" s="113"/>
      <c r="AL166" s="113"/>
      <c r="AM166" s="113"/>
    </row>
    <row r="167" spans="2:39" hidden="1" outlineLevel="2" x14ac:dyDescent="0.2">
      <c r="D167" s="319">
        <v>2</v>
      </c>
      <c r="E167" s="319">
        <v>3</v>
      </c>
      <c r="F167" s="319">
        <v>4</v>
      </c>
      <c r="G167" s="319">
        <v>5</v>
      </c>
      <c r="H167" s="319">
        <v>6</v>
      </c>
      <c r="I167" s="319">
        <v>7</v>
      </c>
      <c r="J167" s="319"/>
    </row>
    <row r="168" spans="2:39" hidden="1" outlineLevel="2" x14ac:dyDescent="0.2">
      <c r="D168" s="74">
        <f>FirstYear</f>
        <v>2026</v>
      </c>
      <c r="E168" s="74">
        <f>D168+1</f>
        <v>2027</v>
      </c>
      <c r="F168" s="74">
        <f>E168+1</f>
        <v>2028</v>
      </c>
      <c r="G168" s="74">
        <f>F168+1</f>
        <v>2029</v>
      </c>
      <c r="H168" s="74">
        <f>G168+1</f>
        <v>2030</v>
      </c>
      <c r="I168" s="74">
        <f>H168+1</f>
        <v>2031</v>
      </c>
    </row>
    <row r="169" spans="2:39" hidden="1" outlineLevel="2" x14ac:dyDescent="0.2">
      <c r="C169" s="150" t="s">
        <v>119</v>
      </c>
      <c r="D169" s="151">
        <f t="shared" ref="D169:I169" si="134">INDEX(PBSScriptsNew,$B166,D167)</f>
        <v>0</v>
      </c>
      <c r="E169" s="151">
        <f t="shared" si="134"/>
        <v>0</v>
      </c>
      <c r="F169" s="151">
        <f t="shared" si="134"/>
        <v>0</v>
      </c>
      <c r="G169" s="151">
        <f t="shared" si="134"/>
        <v>0</v>
      </c>
      <c r="H169" s="151">
        <f t="shared" si="134"/>
        <v>0</v>
      </c>
      <c r="I169" s="151">
        <f t="shared" si="134"/>
        <v>0</v>
      </c>
      <c r="N169" s="482"/>
    </row>
    <row r="170" spans="2:39" hidden="1" outlineLevel="2" x14ac:dyDescent="0.2">
      <c r="C170" s="150" t="s">
        <v>120</v>
      </c>
      <c r="D170" s="151">
        <f t="shared" ref="D170:I170" si="135">INDEX(RPBSScriptsNew,$B166,D167)</f>
        <v>0</v>
      </c>
      <c r="E170" s="151">
        <f t="shared" si="135"/>
        <v>0</v>
      </c>
      <c r="F170" s="151">
        <f t="shared" si="135"/>
        <v>0</v>
      </c>
      <c r="G170" s="151">
        <f t="shared" si="135"/>
        <v>0</v>
      </c>
      <c r="H170" s="151">
        <f t="shared" si="135"/>
        <v>0</v>
      </c>
      <c r="I170" s="151">
        <f t="shared" si="135"/>
        <v>0</v>
      </c>
    </row>
    <row r="171" spans="2:39" hidden="1" outlineLevel="2" x14ac:dyDescent="0.2">
      <c r="C171" s="139" t="s">
        <v>121</v>
      </c>
      <c r="D171" s="151">
        <f t="shared" ref="D171:I171" si="136">IF(INDEX(SANew,$B166,7)&gt;0,ROUND(D169/INDEX(SANew,$B166,2),0),0)</f>
        <v>0</v>
      </c>
      <c r="E171" s="151">
        <f t="shared" si="136"/>
        <v>0</v>
      </c>
      <c r="F171" s="151">
        <f t="shared" si="136"/>
        <v>0</v>
      </c>
      <c r="G171" s="151">
        <f t="shared" si="136"/>
        <v>0</v>
      </c>
      <c r="H171" s="151">
        <f t="shared" si="136"/>
        <v>0</v>
      </c>
      <c r="I171" s="151">
        <f t="shared" si="136"/>
        <v>0</v>
      </c>
      <c r="L171" s="119"/>
    </row>
    <row r="172" spans="2:39" hidden="1" outlineLevel="2" x14ac:dyDescent="0.2">
      <c r="C172" s="139" t="s">
        <v>122</v>
      </c>
      <c r="D172" s="151">
        <f t="shared" ref="D172:I172" si="137">IF(INDEX(SANew,$B166,7)&gt;0,ROUND(D170/INDEX(SANew,$B166,2),0),0)</f>
        <v>0</v>
      </c>
      <c r="E172" s="151">
        <f t="shared" si="137"/>
        <v>0</v>
      </c>
      <c r="F172" s="151">
        <f t="shared" si="137"/>
        <v>0</v>
      </c>
      <c r="G172" s="151">
        <f t="shared" si="137"/>
        <v>0</v>
      </c>
      <c r="H172" s="151">
        <f t="shared" si="137"/>
        <v>0</v>
      </c>
      <c r="I172" s="151">
        <f t="shared" si="137"/>
        <v>0</v>
      </c>
      <c r="L172" s="119"/>
    </row>
    <row r="173" spans="2:39" outlineLevel="1" collapsed="1" x14ac:dyDescent="0.2">
      <c r="C173" s="455"/>
      <c r="D173" s="480"/>
      <c r="E173" s="348"/>
      <c r="F173" s="348"/>
      <c r="G173" s="348"/>
      <c r="H173" s="348"/>
      <c r="I173" s="348"/>
      <c r="J173" s="348"/>
      <c r="K173" s="348"/>
    </row>
    <row r="174" spans="2:39" ht="15" outlineLevel="1" x14ac:dyDescent="0.2">
      <c r="B174" s="249">
        <v>7</v>
      </c>
      <c r="C174" s="129" t="str">
        <f>INDEX(PBSScriptsNew,B174,1)</f>
        <v>** NOT USED **</v>
      </c>
      <c r="D174" s="123"/>
      <c r="E174" s="123"/>
      <c r="F174" s="123"/>
      <c r="G174" s="123"/>
      <c r="H174" s="123"/>
      <c r="I174" s="123"/>
      <c r="J174" s="123"/>
      <c r="K174" s="123"/>
      <c r="L174" s="117"/>
      <c r="M174" s="117"/>
      <c r="N174" s="117"/>
      <c r="O174" s="113"/>
      <c r="P174" s="113"/>
      <c r="Q174" s="113"/>
      <c r="R174" s="113"/>
      <c r="S174" s="113"/>
      <c r="T174" s="113"/>
      <c r="U174" s="113"/>
      <c r="V174" s="113"/>
      <c r="W174" s="113"/>
      <c r="X174" s="113"/>
      <c r="Y174" s="113"/>
      <c r="Z174" s="113"/>
      <c r="AA174" s="113"/>
      <c r="AB174" s="113"/>
      <c r="AC174" s="113"/>
      <c r="AD174" s="113"/>
      <c r="AE174" s="113"/>
      <c r="AF174" s="113"/>
      <c r="AG174" s="113"/>
      <c r="AH174" s="113"/>
      <c r="AI174" s="113"/>
      <c r="AJ174" s="113"/>
      <c r="AK174" s="113"/>
      <c r="AL174" s="113"/>
      <c r="AM174" s="113"/>
    </row>
    <row r="175" spans="2:39" hidden="1" outlineLevel="2" x14ac:dyDescent="0.2">
      <c r="D175" s="319">
        <v>2</v>
      </c>
      <c r="E175" s="319">
        <v>3</v>
      </c>
      <c r="F175" s="319">
        <v>4</v>
      </c>
      <c r="G175" s="319">
        <v>5</v>
      </c>
      <c r="H175" s="319">
        <v>6</v>
      </c>
      <c r="I175" s="319">
        <v>7</v>
      </c>
      <c r="J175" s="319"/>
    </row>
    <row r="176" spans="2:39" hidden="1" outlineLevel="2" x14ac:dyDescent="0.2">
      <c r="D176" s="74">
        <f>FirstYear</f>
        <v>2026</v>
      </c>
      <c r="E176" s="74">
        <f>D176+1</f>
        <v>2027</v>
      </c>
      <c r="F176" s="74">
        <f>E176+1</f>
        <v>2028</v>
      </c>
      <c r="G176" s="74">
        <f>F176+1</f>
        <v>2029</v>
      </c>
      <c r="H176" s="74">
        <f>G176+1</f>
        <v>2030</v>
      </c>
      <c r="I176" s="74">
        <f>H176+1</f>
        <v>2031</v>
      </c>
    </row>
    <row r="177" spans="2:39" hidden="1" outlineLevel="2" x14ac:dyDescent="0.2">
      <c r="C177" s="150" t="s">
        <v>119</v>
      </c>
      <c r="D177" s="151">
        <f t="shared" ref="D177:I177" si="138">INDEX(PBSScriptsNew,$B174,D175)</f>
        <v>0</v>
      </c>
      <c r="E177" s="151">
        <f t="shared" si="138"/>
        <v>0</v>
      </c>
      <c r="F177" s="151">
        <f t="shared" si="138"/>
        <v>0</v>
      </c>
      <c r="G177" s="151">
        <f t="shared" si="138"/>
        <v>0</v>
      </c>
      <c r="H177" s="151">
        <f t="shared" si="138"/>
        <v>0</v>
      </c>
      <c r="I177" s="151">
        <f t="shared" si="138"/>
        <v>0</v>
      </c>
      <c r="N177" s="482"/>
    </row>
    <row r="178" spans="2:39" hidden="1" outlineLevel="2" x14ac:dyDescent="0.2">
      <c r="C178" s="150" t="s">
        <v>120</v>
      </c>
      <c r="D178" s="151">
        <f t="shared" ref="D178:I178" si="139">INDEX(RPBSScriptsNew,$B174,D175)</f>
        <v>0</v>
      </c>
      <c r="E178" s="151">
        <f t="shared" si="139"/>
        <v>0</v>
      </c>
      <c r="F178" s="151">
        <f t="shared" si="139"/>
        <v>0</v>
      </c>
      <c r="G178" s="151">
        <f t="shared" si="139"/>
        <v>0</v>
      </c>
      <c r="H178" s="151">
        <f t="shared" si="139"/>
        <v>0</v>
      </c>
      <c r="I178" s="151">
        <f t="shared" si="139"/>
        <v>0</v>
      </c>
    </row>
    <row r="179" spans="2:39" hidden="1" outlineLevel="2" x14ac:dyDescent="0.2">
      <c r="C179" s="139" t="s">
        <v>121</v>
      </c>
      <c r="D179" s="151">
        <f t="shared" ref="D179:I179" si="140">IF(INDEX(SANew,$B174,7)&gt;0,ROUND(D177/INDEX(SANew,$B174,2),0),0)</f>
        <v>0</v>
      </c>
      <c r="E179" s="151">
        <f t="shared" si="140"/>
        <v>0</v>
      </c>
      <c r="F179" s="151">
        <f t="shared" si="140"/>
        <v>0</v>
      </c>
      <c r="G179" s="151">
        <f t="shared" si="140"/>
        <v>0</v>
      </c>
      <c r="H179" s="151">
        <f t="shared" si="140"/>
        <v>0</v>
      </c>
      <c r="I179" s="151">
        <f t="shared" si="140"/>
        <v>0</v>
      </c>
      <c r="L179" s="119"/>
    </row>
    <row r="180" spans="2:39" hidden="1" outlineLevel="2" x14ac:dyDescent="0.2">
      <c r="C180" s="139" t="s">
        <v>122</v>
      </c>
      <c r="D180" s="151">
        <f t="shared" ref="D180:I180" si="141">IF(INDEX(SANew,$B174,7)&gt;0,ROUND(D178/INDEX(SANew,$B174,2),0),0)</f>
        <v>0</v>
      </c>
      <c r="E180" s="151">
        <f t="shared" si="141"/>
        <v>0</v>
      </c>
      <c r="F180" s="151">
        <f t="shared" si="141"/>
        <v>0</v>
      </c>
      <c r="G180" s="151">
        <f t="shared" si="141"/>
        <v>0</v>
      </c>
      <c r="H180" s="151">
        <f t="shared" si="141"/>
        <v>0</v>
      </c>
      <c r="I180" s="151">
        <f t="shared" si="141"/>
        <v>0</v>
      </c>
      <c r="L180" s="119"/>
    </row>
    <row r="181" spans="2:39" outlineLevel="1" collapsed="1" x14ac:dyDescent="0.2">
      <c r="C181" s="455"/>
      <c r="D181" s="480"/>
      <c r="E181" s="348"/>
      <c r="F181" s="348"/>
      <c r="G181" s="348"/>
      <c r="H181" s="348"/>
      <c r="I181" s="348"/>
      <c r="J181" s="348"/>
      <c r="K181" s="348"/>
    </row>
    <row r="182" spans="2:39" ht="15" outlineLevel="1" x14ac:dyDescent="0.2">
      <c r="B182" s="249">
        <v>8</v>
      </c>
      <c r="C182" s="129" t="str">
        <f>INDEX(PBSScriptsNew,B182,1)</f>
        <v>** NOT USED **</v>
      </c>
      <c r="D182" s="123"/>
      <c r="E182" s="123"/>
      <c r="F182" s="123"/>
      <c r="G182" s="123"/>
      <c r="H182" s="123"/>
      <c r="I182" s="123"/>
      <c r="J182" s="123"/>
      <c r="K182" s="123"/>
      <c r="L182" s="117"/>
      <c r="M182" s="117"/>
      <c r="N182" s="117"/>
      <c r="O182" s="113"/>
      <c r="P182" s="113"/>
      <c r="Q182" s="113"/>
      <c r="R182" s="113"/>
      <c r="S182" s="113"/>
      <c r="T182" s="113"/>
      <c r="U182" s="113"/>
      <c r="V182" s="113"/>
      <c r="W182" s="113"/>
      <c r="X182" s="113"/>
      <c r="Y182" s="113"/>
      <c r="Z182" s="113"/>
      <c r="AA182" s="113"/>
      <c r="AB182" s="113"/>
      <c r="AC182" s="113"/>
      <c r="AD182" s="113"/>
      <c r="AE182" s="113"/>
      <c r="AF182" s="113"/>
      <c r="AG182" s="113"/>
      <c r="AH182" s="113"/>
      <c r="AI182" s="113"/>
      <c r="AJ182" s="113"/>
      <c r="AK182" s="113"/>
      <c r="AL182" s="113"/>
      <c r="AM182" s="113"/>
    </row>
    <row r="183" spans="2:39" hidden="1" outlineLevel="2" x14ac:dyDescent="0.2">
      <c r="D183" s="319">
        <v>2</v>
      </c>
      <c r="E183" s="319">
        <v>3</v>
      </c>
      <c r="F183" s="319">
        <v>4</v>
      </c>
      <c r="G183" s="319">
        <v>5</v>
      </c>
      <c r="H183" s="319">
        <v>6</v>
      </c>
      <c r="I183" s="319">
        <v>7</v>
      </c>
      <c r="J183" s="319"/>
    </row>
    <row r="184" spans="2:39" hidden="1" outlineLevel="2" x14ac:dyDescent="0.2">
      <c r="D184" s="74">
        <f>FirstYear</f>
        <v>2026</v>
      </c>
      <c r="E184" s="74">
        <f>D184+1</f>
        <v>2027</v>
      </c>
      <c r="F184" s="74">
        <f>E184+1</f>
        <v>2028</v>
      </c>
      <c r="G184" s="74">
        <f>F184+1</f>
        <v>2029</v>
      </c>
      <c r="H184" s="74">
        <f>G184+1</f>
        <v>2030</v>
      </c>
      <c r="I184" s="74">
        <f>H184+1</f>
        <v>2031</v>
      </c>
    </row>
    <row r="185" spans="2:39" hidden="1" outlineLevel="2" x14ac:dyDescent="0.2">
      <c r="C185" s="150" t="s">
        <v>119</v>
      </c>
      <c r="D185" s="151">
        <f t="shared" ref="D185:I185" si="142">INDEX(PBSScriptsNew,$B182,D183)</f>
        <v>0</v>
      </c>
      <c r="E185" s="151">
        <f t="shared" si="142"/>
        <v>0</v>
      </c>
      <c r="F185" s="151">
        <f t="shared" si="142"/>
        <v>0</v>
      </c>
      <c r="G185" s="151">
        <f t="shared" si="142"/>
        <v>0</v>
      </c>
      <c r="H185" s="151">
        <f t="shared" si="142"/>
        <v>0</v>
      </c>
      <c r="I185" s="151">
        <f t="shared" si="142"/>
        <v>0</v>
      </c>
      <c r="N185" s="482"/>
    </row>
    <row r="186" spans="2:39" hidden="1" outlineLevel="2" x14ac:dyDescent="0.2">
      <c r="C186" s="150" t="s">
        <v>120</v>
      </c>
      <c r="D186" s="151">
        <f t="shared" ref="D186:I186" si="143">INDEX(RPBSScriptsNew,$B182,D183)</f>
        <v>0</v>
      </c>
      <c r="E186" s="151">
        <f t="shared" si="143"/>
        <v>0</v>
      </c>
      <c r="F186" s="151">
        <f t="shared" si="143"/>
        <v>0</v>
      </c>
      <c r="G186" s="151">
        <f t="shared" si="143"/>
        <v>0</v>
      </c>
      <c r="H186" s="151">
        <f t="shared" si="143"/>
        <v>0</v>
      </c>
      <c r="I186" s="151">
        <f t="shared" si="143"/>
        <v>0</v>
      </c>
    </row>
    <row r="187" spans="2:39" hidden="1" outlineLevel="2" x14ac:dyDescent="0.2">
      <c r="C187" s="139" t="s">
        <v>121</v>
      </c>
      <c r="D187" s="151">
        <f t="shared" ref="D187:I187" si="144">IF(INDEX(SANew,$B182,7)&gt;0,ROUND(D185/INDEX(SANew,$B182,2),0),0)</f>
        <v>0</v>
      </c>
      <c r="E187" s="151">
        <f t="shared" si="144"/>
        <v>0</v>
      </c>
      <c r="F187" s="151">
        <f t="shared" si="144"/>
        <v>0</v>
      </c>
      <c r="G187" s="151">
        <f t="shared" si="144"/>
        <v>0</v>
      </c>
      <c r="H187" s="151">
        <f t="shared" si="144"/>
        <v>0</v>
      </c>
      <c r="I187" s="151">
        <f t="shared" si="144"/>
        <v>0</v>
      </c>
      <c r="L187" s="119"/>
    </row>
    <row r="188" spans="2:39" hidden="1" outlineLevel="2" x14ac:dyDescent="0.2">
      <c r="C188" s="139" t="s">
        <v>122</v>
      </c>
      <c r="D188" s="151">
        <f t="shared" ref="D188:I188" si="145">IF(INDEX(SANew,$B182,7)&gt;0,ROUND(D186/INDEX(SANew,$B182,2),0),0)</f>
        <v>0</v>
      </c>
      <c r="E188" s="151">
        <f t="shared" si="145"/>
        <v>0</v>
      </c>
      <c r="F188" s="151">
        <f t="shared" si="145"/>
        <v>0</v>
      </c>
      <c r="G188" s="151">
        <f t="shared" si="145"/>
        <v>0</v>
      </c>
      <c r="H188" s="151">
        <f t="shared" si="145"/>
        <v>0</v>
      </c>
      <c r="I188" s="151">
        <f t="shared" si="145"/>
        <v>0</v>
      </c>
      <c r="L188" s="119"/>
    </row>
    <row r="189" spans="2:39" outlineLevel="1" collapsed="1" x14ac:dyDescent="0.2">
      <c r="C189" s="455"/>
      <c r="D189" s="480"/>
      <c r="E189" s="348"/>
      <c r="F189" s="348"/>
      <c r="G189" s="348"/>
      <c r="H189" s="348"/>
      <c r="I189" s="348"/>
      <c r="J189" s="348"/>
      <c r="K189" s="348"/>
    </row>
    <row r="190" spans="2:39" ht="15" outlineLevel="1" x14ac:dyDescent="0.2">
      <c r="B190" s="249">
        <v>9</v>
      </c>
      <c r="C190" s="129" t="str">
        <f>INDEX(PBSScriptsNew,B190,1)</f>
        <v>** NOT USED **</v>
      </c>
      <c r="D190" s="123"/>
      <c r="E190" s="123"/>
      <c r="F190" s="123"/>
      <c r="G190" s="123"/>
      <c r="H190" s="123"/>
      <c r="I190" s="123"/>
      <c r="J190" s="123"/>
      <c r="K190" s="123"/>
      <c r="L190" s="117"/>
      <c r="M190" s="117"/>
      <c r="N190" s="117"/>
      <c r="O190" s="113"/>
      <c r="P190" s="113"/>
      <c r="Q190" s="113"/>
      <c r="R190" s="113"/>
      <c r="S190" s="113"/>
      <c r="T190" s="113"/>
      <c r="U190" s="113"/>
      <c r="V190" s="113"/>
      <c r="W190" s="113"/>
      <c r="X190" s="113"/>
      <c r="Y190" s="113"/>
      <c r="Z190" s="113"/>
      <c r="AA190" s="113"/>
      <c r="AB190" s="113"/>
      <c r="AC190" s="113"/>
      <c r="AD190" s="113"/>
      <c r="AE190" s="113"/>
      <c r="AF190" s="113"/>
      <c r="AG190" s="113"/>
      <c r="AH190" s="113"/>
      <c r="AI190" s="113"/>
      <c r="AJ190" s="113"/>
      <c r="AK190" s="113"/>
      <c r="AL190" s="113"/>
      <c r="AM190" s="113"/>
    </row>
    <row r="191" spans="2:39" hidden="1" outlineLevel="2" x14ac:dyDescent="0.2">
      <c r="D191" s="319">
        <v>2</v>
      </c>
      <c r="E191" s="319">
        <v>3</v>
      </c>
      <c r="F191" s="319">
        <v>4</v>
      </c>
      <c r="G191" s="319">
        <v>5</v>
      </c>
      <c r="H191" s="319">
        <v>6</v>
      </c>
      <c r="I191" s="319">
        <v>7</v>
      </c>
      <c r="J191" s="319"/>
    </row>
    <row r="192" spans="2:39" hidden="1" outlineLevel="2" x14ac:dyDescent="0.2">
      <c r="D192" s="74">
        <f>FirstYear</f>
        <v>2026</v>
      </c>
      <c r="E192" s="74">
        <f>D192+1</f>
        <v>2027</v>
      </c>
      <c r="F192" s="74">
        <f>E192+1</f>
        <v>2028</v>
      </c>
      <c r="G192" s="74">
        <f>F192+1</f>
        <v>2029</v>
      </c>
      <c r="H192" s="74">
        <f>G192+1</f>
        <v>2030</v>
      </c>
      <c r="I192" s="74">
        <f>H192+1</f>
        <v>2031</v>
      </c>
    </row>
    <row r="193" spans="2:39" hidden="1" outlineLevel="2" x14ac:dyDescent="0.2">
      <c r="C193" s="150" t="s">
        <v>119</v>
      </c>
      <c r="D193" s="151">
        <f t="shared" ref="D193:I193" si="146">INDEX(PBSScriptsNew,$B190,D191)</f>
        <v>0</v>
      </c>
      <c r="E193" s="151">
        <f t="shared" si="146"/>
        <v>0</v>
      </c>
      <c r="F193" s="151">
        <f t="shared" si="146"/>
        <v>0</v>
      </c>
      <c r="G193" s="151">
        <f t="shared" si="146"/>
        <v>0</v>
      </c>
      <c r="H193" s="151">
        <f t="shared" si="146"/>
        <v>0</v>
      </c>
      <c r="I193" s="151">
        <f t="shared" si="146"/>
        <v>0</v>
      </c>
      <c r="N193" s="482"/>
    </row>
    <row r="194" spans="2:39" hidden="1" outlineLevel="2" x14ac:dyDescent="0.2">
      <c r="C194" s="150" t="s">
        <v>120</v>
      </c>
      <c r="D194" s="151">
        <f t="shared" ref="D194:I194" si="147">INDEX(RPBSScriptsNew,$B190,D191)</f>
        <v>0</v>
      </c>
      <c r="E194" s="151">
        <f t="shared" si="147"/>
        <v>0</v>
      </c>
      <c r="F194" s="151">
        <f t="shared" si="147"/>
        <v>0</v>
      </c>
      <c r="G194" s="151">
        <f t="shared" si="147"/>
        <v>0</v>
      </c>
      <c r="H194" s="151">
        <f t="shared" si="147"/>
        <v>0</v>
      </c>
      <c r="I194" s="151">
        <f t="shared" si="147"/>
        <v>0</v>
      </c>
    </row>
    <row r="195" spans="2:39" hidden="1" outlineLevel="2" x14ac:dyDescent="0.2">
      <c r="C195" s="139" t="s">
        <v>121</v>
      </c>
      <c r="D195" s="151">
        <f t="shared" ref="D195:I195" si="148">IF(INDEX(SANew,$B190,7)&gt;0,ROUND(D193/INDEX(SANew,$B190,2),0),0)</f>
        <v>0</v>
      </c>
      <c r="E195" s="151">
        <f t="shared" si="148"/>
        <v>0</v>
      </c>
      <c r="F195" s="151">
        <f t="shared" si="148"/>
        <v>0</v>
      </c>
      <c r="G195" s="151">
        <f t="shared" si="148"/>
        <v>0</v>
      </c>
      <c r="H195" s="151">
        <f t="shared" si="148"/>
        <v>0</v>
      </c>
      <c r="I195" s="151">
        <f t="shared" si="148"/>
        <v>0</v>
      </c>
      <c r="L195" s="119"/>
    </row>
    <row r="196" spans="2:39" hidden="1" outlineLevel="2" x14ac:dyDescent="0.2">
      <c r="C196" s="139" t="s">
        <v>122</v>
      </c>
      <c r="D196" s="151">
        <f t="shared" ref="D196:I196" si="149">IF(INDEX(SANew,$B190,7)&gt;0,ROUND(D194/INDEX(SANew,$B190,2),0),0)</f>
        <v>0</v>
      </c>
      <c r="E196" s="151">
        <f t="shared" si="149"/>
        <v>0</v>
      </c>
      <c r="F196" s="151">
        <f t="shared" si="149"/>
        <v>0</v>
      </c>
      <c r="G196" s="151">
        <f t="shared" si="149"/>
        <v>0</v>
      </c>
      <c r="H196" s="151">
        <f t="shared" si="149"/>
        <v>0</v>
      </c>
      <c r="I196" s="151">
        <f t="shared" si="149"/>
        <v>0</v>
      </c>
      <c r="L196" s="119"/>
    </row>
    <row r="197" spans="2:39" outlineLevel="1" collapsed="1" x14ac:dyDescent="0.2">
      <c r="C197" s="455"/>
      <c r="D197" s="480"/>
      <c r="E197" s="348"/>
      <c r="F197" s="348"/>
      <c r="G197" s="348"/>
      <c r="H197" s="348"/>
      <c r="I197" s="348"/>
      <c r="J197" s="348"/>
      <c r="K197" s="348"/>
    </row>
    <row r="198" spans="2:39" ht="15" outlineLevel="1" x14ac:dyDescent="0.2">
      <c r="B198" s="249">
        <v>10</v>
      </c>
      <c r="C198" s="129" t="str">
        <f>INDEX(PBSScriptsNew,B198,1)</f>
        <v>** NOT USED **</v>
      </c>
      <c r="D198" s="123"/>
      <c r="E198" s="123"/>
      <c r="F198" s="123"/>
      <c r="G198" s="123"/>
      <c r="H198" s="123"/>
      <c r="I198" s="123"/>
      <c r="J198" s="123"/>
      <c r="K198" s="123"/>
      <c r="L198" s="117"/>
      <c r="M198" s="117"/>
      <c r="N198" s="117"/>
      <c r="O198" s="113"/>
      <c r="P198" s="113"/>
      <c r="Q198" s="113"/>
      <c r="R198" s="113"/>
      <c r="S198" s="113"/>
      <c r="T198" s="113"/>
      <c r="U198" s="113"/>
      <c r="V198" s="113"/>
      <c r="W198" s="113"/>
      <c r="X198" s="113"/>
      <c r="Y198" s="113"/>
      <c r="Z198" s="113"/>
      <c r="AA198" s="113"/>
      <c r="AB198" s="113"/>
      <c r="AC198" s="113"/>
      <c r="AD198" s="113"/>
      <c r="AE198" s="113"/>
      <c r="AF198" s="113"/>
      <c r="AG198" s="113"/>
      <c r="AH198" s="113"/>
      <c r="AI198" s="113"/>
      <c r="AJ198" s="113"/>
      <c r="AK198" s="113"/>
      <c r="AL198" s="113"/>
      <c r="AM198" s="113"/>
    </row>
    <row r="199" spans="2:39" hidden="1" outlineLevel="2" x14ac:dyDescent="0.2">
      <c r="D199" s="319">
        <v>2</v>
      </c>
      <c r="E199" s="319">
        <v>3</v>
      </c>
      <c r="F199" s="319">
        <v>4</v>
      </c>
      <c r="G199" s="319">
        <v>5</v>
      </c>
      <c r="H199" s="319">
        <v>6</v>
      </c>
      <c r="I199" s="319">
        <v>7</v>
      </c>
      <c r="J199" s="319"/>
    </row>
    <row r="200" spans="2:39" hidden="1" outlineLevel="2" x14ac:dyDescent="0.2">
      <c r="D200" s="74">
        <f>FirstYear</f>
        <v>2026</v>
      </c>
      <c r="E200" s="74">
        <f>D200+1</f>
        <v>2027</v>
      </c>
      <c r="F200" s="74">
        <f>E200+1</f>
        <v>2028</v>
      </c>
      <c r="G200" s="74">
        <f>F200+1</f>
        <v>2029</v>
      </c>
      <c r="H200" s="74">
        <f>G200+1</f>
        <v>2030</v>
      </c>
      <c r="I200" s="74">
        <f>H200+1</f>
        <v>2031</v>
      </c>
    </row>
    <row r="201" spans="2:39" hidden="1" outlineLevel="2" x14ac:dyDescent="0.2">
      <c r="C201" s="150" t="s">
        <v>119</v>
      </c>
      <c r="D201" s="151">
        <f t="shared" ref="D201:I201" si="150">INDEX(PBSScriptsNew,$B198,D199)</f>
        <v>0</v>
      </c>
      <c r="E201" s="151">
        <f t="shared" si="150"/>
        <v>0</v>
      </c>
      <c r="F201" s="151">
        <f t="shared" si="150"/>
        <v>0</v>
      </c>
      <c r="G201" s="151">
        <f t="shared" si="150"/>
        <v>0</v>
      </c>
      <c r="H201" s="151">
        <f t="shared" si="150"/>
        <v>0</v>
      </c>
      <c r="I201" s="151">
        <f t="shared" si="150"/>
        <v>0</v>
      </c>
      <c r="N201" s="482"/>
    </row>
    <row r="202" spans="2:39" hidden="1" outlineLevel="2" x14ac:dyDescent="0.2">
      <c r="C202" s="150" t="s">
        <v>120</v>
      </c>
      <c r="D202" s="151">
        <f t="shared" ref="D202:I202" si="151">INDEX(RPBSScriptsNew,$B198,D199)</f>
        <v>0</v>
      </c>
      <c r="E202" s="151">
        <f t="shared" si="151"/>
        <v>0</v>
      </c>
      <c r="F202" s="151">
        <f t="shared" si="151"/>
        <v>0</v>
      </c>
      <c r="G202" s="151">
        <f t="shared" si="151"/>
        <v>0</v>
      </c>
      <c r="H202" s="151">
        <f t="shared" si="151"/>
        <v>0</v>
      </c>
      <c r="I202" s="151">
        <f t="shared" si="151"/>
        <v>0</v>
      </c>
    </row>
    <row r="203" spans="2:39" hidden="1" outlineLevel="2" x14ac:dyDescent="0.2">
      <c r="C203" s="139" t="s">
        <v>121</v>
      </c>
      <c r="D203" s="151">
        <f t="shared" ref="D203:I203" si="152">IF(INDEX(SANew,$B198,7)&gt;0,ROUND(D201/INDEX(SANew,$B198,2),0),0)</f>
        <v>0</v>
      </c>
      <c r="E203" s="151">
        <f t="shared" si="152"/>
        <v>0</v>
      </c>
      <c r="F203" s="151">
        <f t="shared" si="152"/>
        <v>0</v>
      </c>
      <c r="G203" s="151">
        <f t="shared" si="152"/>
        <v>0</v>
      </c>
      <c r="H203" s="151">
        <f t="shared" si="152"/>
        <v>0</v>
      </c>
      <c r="I203" s="151">
        <f t="shared" si="152"/>
        <v>0</v>
      </c>
      <c r="L203" s="119"/>
    </row>
    <row r="204" spans="2:39" hidden="1" outlineLevel="2" x14ac:dyDescent="0.2">
      <c r="C204" s="139" t="s">
        <v>122</v>
      </c>
      <c r="D204" s="151">
        <f t="shared" ref="D204:I204" si="153">IF(INDEX(SANew,$B198,7)&gt;0,ROUND(D202/INDEX(SANew,$B198,2),0),0)</f>
        <v>0</v>
      </c>
      <c r="E204" s="151">
        <f t="shared" si="153"/>
        <v>0</v>
      </c>
      <c r="F204" s="151">
        <f t="shared" si="153"/>
        <v>0</v>
      </c>
      <c r="G204" s="151">
        <f t="shared" si="153"/>
        <v>0</v>
      </c>
      <c r="H204" s="151">
        <f t="shared" si="153"/>
        <v>0</v>
      </c>
      <c r="I204" s="151">
        <f t="shared" si="153"/>
        <v>0</v>
      </c>
      <c r="L204" s="119"/>
    </row>
    <row r="205" spans="2:39" outlineLevel="1" collapsed="1" x14ac:dyDescent="0.2">
      <c r="C205" s="455"/>
      <c r="D205" s="480"/>
      <c r="E205" s="348"/>
      <c r="F205" s="348"/>
      <c r="G205" s="348"/>
      <c r="H205" s="348"/>
      <c r="I205" s="348"/>
      <c r="J205" s="348"/>
      <c r="K205" s="348"/>
    </row>
    <row r="206" spans="2:39" ht="15" outlineLevel="1" x14ac:dyDescent="0.2">
      <c r="B206" s="249">
        <v>11</v>
      </c>
      <c r="C206" s="129" t="str">
        <f>INDEX(PBSScriptsNew,B206,1)</f>
        <v>** NOT USED **</v>
      </c>
      <c r="D206" s="123"/>
      <c r="E206" s="123"/>
      <c r="F206" s="123"/>
      <c r="G206" s="123"/>
      <c r="H206" s="123"/>
      <c r="I206" s="123"/>
      <c r="J206" s="123"/>
      <c r="K206" s="123"/>
      <c r="L206" s="117"/>
      <c r="M206" s="117"/>
      <c r="N206" s="117"/>
      <c r="O206" s="113"/>
      <c r="P206" s="113"/>
      <c r="Q206" s="113"/>
      <c r="R206" s="113"/>
      <c r="S206" s="113"/>
      <c r="T206" s="113"/>
      <c r="U206" s="113"/>
      <c r="V206" s="113"/>
      <c r="W206" s="113"/>
      <c r="X206" s="113"/>
      <c r="Y206" s="113"/>
      <c r="Z206" s="113"/>
      <c r="AA206" s="113"/>
      <c r="AB206" s="113"/>
      <c r="AC206" s="113"/>
      <c r="AD206" s="113"/>
      <c r="AE206" s="113"/>
      <c r="AF206" s="113"/>
      <c r="AG206" s="113"/>
      <c r="AH206" s="113"/>
      <c r="AI206" s="113"/>
      <c r="AJ206" s="113"/>
      <c r="AK206" s="113"/>
      <c r="AL206" s="113"/>
      <c r="AM206" s="113"/>
    </row>
    <row r="207" spans="2:39" hidden="1" outlineLevel="2" x14ac:dyDescent="0.2">
      <c r="D207" s="319">
        <v>2</v>
      </c>
      <c r="E207" s="319">
        <v>3</v>
      </c>
      <c r="F207" s="319">
        <v>4</v>
      </c>
      <c r="G207" s="319">
        <v>5</v>
      </c>
      <c r="H207" s="319">
        <v>6</v>
      </c>
      <c r="I207" s="319">
        <v>7</v>
      </c>
      <c r="J207" s="319"/>
    </row>
    <row r="208" spans="2:39" hidden="1" outlineLevel="2" x14ac:dyDescent="0.2">
      <c r="D208" s="74">
        <f>FirstYear</f>
        <v>2026</v>
      </c>
      <c r="E208" s="74">
        <f>D208+1</f>
        <v>2027</v>
      </c>
      <c r="F208" s="74">
        <f>E208+1</f>
        <v>2028</v>
      </c>
      <c r="G208" s="74">
        <f>F208+1</f>
        <v>2029</v>
      </c>
      <c r="H208" s="74">
        <f>G208+1</f>
        <v>2030</v>
      </c>
      <c r="I208" s="74">
        <f>H208+1</f>
        <v>2031</v>
      </c>
    </row>
    <row r="209" spans="2:39" hidden="1" outlineLevel="2" x14ac:dyDescent="0.2">
      <c r="C209" s="150" t="s">
        <v>119</v>
      </c>
      <c r="D209" s="151">
        <f t="shared" ref="D209:I209" si="154">INDEX(PBSScriptsNew,$B206,D207)</f>
        <v>0</v>
      </c>
      <c r="E209" s="151">
        <f t="shared" si="154"/>
        <v>0</v>
      </c>
      <c r="F209" s="151">
        <f t="shared" si="154"/>
        <v>0</v>
      </c>
      <c r="G209" s="151">
        <f t="shared" si="154"/>
        <v>0</v>
      </c>
      <c r="H209" s="151">
        <f t="shared" si="154"/>
        <v>0</v>
      </c>
      <c r="I209" s="151">
        <f t="shared" si="154"/>
        <v>0</v>
      </c>
      <c r="N209" s="482"/>
    </row>
    <row r="210" spans="2:39" hidden="1" outlineLevel="2" x14ac:dyDescent="0.2">
      <c r="C210" s="150" t="s">
        <v>120</v>
      </c>
      <c r="D210" s="151">
        <f t="shared" ref="D210:I210" si="155">INDEX(RPBSScriptsNew,$B206,D207)</f>
        <v>0</v>
      </c>
      <c r="E210" s="151">
        <f t="shared" si="155"/>
        <v>0</v>
      </c>
      <c r="F210" s="151">
        <f t="shared" si="155"/>
        <v>0</v>
      </c>
      <c r="G210" s="151">
        <f t="shared" si="155"/>
        <v>0</v>
      </c>
      <c r="H210" s="151">
        <f t="shared" si="155"/>
        <v>0</v>
      </c>
      <c r="I210" s="151">
        <f t="shared" si="155"/>
        <v>0</v>
      </c>
    </row>
    <row r="211" spans="2:39" hidden="1" outlineLevel="2" x14ac:dyDescent="0.2">
      <c r="C211" s="139" t="s">
        <v>121</v>
      </c>
      <c r="D211" s="151">
        <f t="shared" ref="D211:I211" si="156">IF(INDEX(SANew,$B206,7)&gt;0,ROUND(D209/INDEX(SANew,$B206,2),0),0)</f>
        <v>0</v>
      </c>
      <c r="E211" s="151">
        <f t="shared" si="156"/>
        <v>0</v>
      </c>
      <c r="F211" s="151">
        <f t="shared" si="156"/>
        <v>0</v>
      </c>
      <c r="G211" s="151">
        <f t="shared" si="156"/>
        <v>0</v>
      </c>
      <c r="H211" s="151">
        <f t="shared" si="156"/>
        <v>0</v>
      </c>
      <c r="I211" s="151">
        <f t="shared" si="156"/>
        <v>0</v>
      </c>
      <c r="L211" s="119"/>
    </row>
    <row r="212" spans="2:39" hidden="1" outlineLevel="2" x14ac:dyDescent="0.2">
      <c r="C212" s="139" t="s">
        <v>122</v>
      </c>
      <c r="D212" s="151">
        <f t="shared" ref="D212:I212" si="157">IF(INDEX(SANew,$B206,7)&gt;0,ROUND(D210/INDEX(SANew,$B206,2),0),0)</f>
        <v>0</v>
      </c>
      <c r="E212" s="151">
        <f t="shared" si="157"/>
        <v>0</v>
      </c>
      <c r="F212" s="151">
        <f t="shared" si="157"/>
        <v>0</v>
      </c>
      <c r="G212" s="151">
        <f t="shared" si="157"/>
        <v>0</v>
      </c>
      <c r="H212" s="151">
        <f t="shared" si="157"/>
        <v>0</v>
      </c>
      <c r="I212" s="151">
        <f t="shared" si="157"/>
        <v>0</v>
      </c>
      <c r="L212" s="119"/>
    </row>
    <row r="213" spans="2:39" outlineLevel="1" collapsed="1" x14ac:dyDescent="0.2">
      <c r="C213" s="455"/>
      <c r="D213" s="480"/>
      <c r="E213" s="348"/>
      <c r="F213" s="348"/>
      <c r="G213" s="348"/>
      <c r="H213" s="348"/>
      <c r="I213" s="348"/>
      <c r="J213" s="348"/>
      <c r="K213" s="348"/>
    </row>
    <row r="214" spans="2:39" ht="15" outlineLevel="1" x14ac:dyDescent="0.2">
      <c r="B214" s="249">
        <v>12</v>
      </c>
      <c r="C214" s="129" t="str">
        <f>INDEX(PBSScriptsNew,B214,1)</f>
        <v>** NOT USED **</v>
      </c>
      <c r="D214" s="123"/>
      <c r="E214" s="123"/>
      <c r="F214" s="123"/>
      <c r="G214" s="123"/>
      <c r="H214" s="123"/>
      <c r="I214" s="123"/>
      <c r="J214" s="123"/>
      <c r="K214" s="123"/>
      <c r="L214" s="117"/>
      <c r="M214" s="117"/>
      <c r="N214" s="117"/>
      <c r="O214" s="113"/>
      <c r="P214" s="113"/>
      <c r="Q214" s="113"/>
      <c r="R214" s="113"/>
      <c r="S214" s="113"/>
      <c r="T214" s="113"/>
      <c r="U214" s="113"/>
      <c r="V214" s="113"/>
      <c r="W214" s="113"/>
      <c r="X214" s="113"/>
      <c r="Y214" s="113"/>
      <c r="Z214" s="113"/>
      <c r="AA214" s="113"/>
      <c r="AB214" s="113"/>
      <c r="AC214" s="113"/>
      <c r="AD214" s="113"/>
      <c r="AE214" s="113"/>
      <c r="AF214" s="113"/>
      <c r="AG214" s="113"/>
      <c r="AH214" s="113"/>
      <c r="AI214" s="113"/>
      <c r="AJ214" s="113"/>
      <c r="AK214" s="113"/>
      <c r="AL214" s="113"/>
      <c r="AM214" s="113"/>
    </row>
    <row r="215" spans="2:39" hidden="1" outlineLevel="2" x14ac:dyDescent="0.2">
      <c r="D215" s="319">
        <v>2</v>
      </c>
      <c r="E215" s="319">
        <v>3</v>
      </c>
      <c r="F215" s="319">
        <v>4</v>
      </c>
      <c r="G215" s="319">
        <v>5</v>
      </c>
      <c r="H215" s="319">
        <v>6</v>
      </c>
      <c r="I215" s="319">
        <v>7</v>
      </c>
      <c r="J215" s="319"/>
    </row>
    <row r="216" spans="2:39" hidden="1" outlineLevel="2" x14ac:dyDescent="0.2">
      <c r="D216" s="74">
        <f>FirstYear</f>
        <v>2026</v>
      </c>
      <c r="E216" s="74">
        <f>D216+1</f>
        <v>2027</v>
      </c>
      <c r="F216" s="74">
        <f>E216+1</f>
        <v>2028</v>
      </c>
      <c r="G216" s="74">
        <f>F216+1</f>
        <v>2029</v>
      </c>
      <c r="H216" s="74">
        <f>G216+1</f>
        <v>2030</v>
      </c>
      <c r="I216" s="74">
        <f>H216+1</f>
        <v>2031</v>
      </c>
    </row>
    <row r="217" spans="2:39" hidden="1" outlineLevel="2" x14ac:dyDescent="0.2">
      <c r="C217" s="150" t="s">
        <v>119</v>
      </c>
      <c r="D217" s="151">
        <f t="shared" ref="D217:I217" si="158">INDEX(PBSScriptsNew,$B214,D215)</f>
        <v>0</v>
      </c>
      <c r="E217" s="151">
        <f t="shared" si="158"/>
        <v>0</v>
      </c>
      <c r="F217" s="151">
        <f t="shared" si="158"/>
        <v>0</v>
      </c>
      <c r="G217" s="151">
        <f t="shared" si="158"/>
        <v>0</v>
      </c>
      <c r="H217" s="151">
        <f t="shared" si="158"/>
        <v>0</v>
      </c>
      <c r="I217" s="151">
        <f t="shared" si="158"/>
        <v>0</v>
      </c>
      <c r="N217" s="482"/>
    </row>
    <row r="218" spans="2:39" hidden="1" outlineLevel="2" x14ac:dyDescent="0.2">
      <c r="C218" s="150" t="s">
        <v>120</v>
      </c>
      <c r="D218" s="151">
        <f t="shared" ref="D218:I218" si="159">INDEX(RPBSScriptsNew,$B214,D215)</f>
        <v>0</v>
      </c>
      <c r="E218" s="151">
        <f t="shared" si="159"/>
        <v>0</v>
      </c>
      <c r="F218" s="151">
        <f t="shared" si="159"/>
        <v>0</v>
      </c>
      <c r="G218" s="151">
        <f t="shared" si="159"/>
        <v>0</v>
      </c>
      <c r="H218" s="151">
        <f t="shared" si="159"/>
        <v>0</v>
      </c>
      <c r="I218" s="151">
        <f t="shared" si="159"/>
        <v>0</v>
      </c>
    </row>
    <row r="219" spans="2:39" hidden="1" outlineLevel="2" x14ac:dyDescent="0.2">
      <c r="C219" s="139" t="s">
        <v>121</v>
      </c>
      <c r="D219" s="151">
        <f t="shared" ref="D219:I219" si="160">IF(INDEX(SANew,$B214,7)&gt;0,ROUND(D217/INDEX(SANew,$B214,2),0),0)</f>
        <v>0</v>
      </c>
      <c r="E219" s="151">
        <f t="shared" si="160"/>
        <v>0</v>
      </c>
      <c r="F219" s="151">
        <f t="shared" si="160"/>
        <v>0</v>
      </c>
      <c r="G219" s="151">
        <f t="shared" si="160"/>
        <v>0</v>
      </c>
      <c r="H219" s="151">
        <f t="shared" si="160"/>
        <v>0</v>
      </c>
      <c r="I219" s="151">
        <f t="shared" si="160"/>
        <v>0</v>
      </c>
      <c r="L219" s="119"/>
    </row>
    <row r="220" spans="2:39" hidden="1" outlineLevel="2" x14ac:dyDescent="0.2">
      <c r="C220" s="139" t="s">
        <v>122</v>
      </c>
      <c r="D220" s="151">
        <f t="shared" ref="D220:I220" si="161">IF(INDEX(SANew,$B214,7)&gt;0,ROUND(D218/INDEX(SANew,$B214,2),0),0)</f>
        <v>0</v>
      </c>
      <c r="E220" s="151">
        <f t="shared" si="161"/>
        <v>0</v>
      </c>
      <c r="F220" s="151">
        <f t="shared" si="161"/>
        <v>0</v>
      </c>
      <c r="G220" s="151">
        <f t="shared" si="161"/>
        <v>0</v>
      </c>
      <c r="H220" s="151">
        <f t="shared" si="161"/>
        <v>0</v>
      </c>
      <c r="I220" s="151">
        <f t="shared" si="161"/>
        <v>0</v>
      </c>
      <c r="L220" s="119"/>
    </row>
    <row r="221" spans="2:39" outlineLevel="1" collapsed="1" x14ac:dyDescent="0.2">
      <c r="C221" s="455"/>
      <c r="D221" s="480"/>
      <c r="E221" s="348"/>
      <c r="F221" s="348"/>
      <c r="G221" s="348"/>
      <c r="H221" s="348"/>
      <c r="I221" s="348"/>
      <c r="J221" s="348"/>
      <c r="K221" s="348"/>
    </row>
    <row r="222" spans="2:39" ht="15" outlineLevel="1" x14ac:dyDescent="0.2">
      <c r="B222" s="249">
        <v>13</v>
      </c>
      <c r="C222" s="129" t="str">
        <f>INDEX(PBSScriptsNew,B222,1)</f>
        <v>** NOT USED **</v>
      </c>
      <c r="D222" s="123"/>
      <c r="E222" s="123"/>
      <c r="F222" s="123"/>
      <c r="G222" s="123"/>
      <c r="H222" s="123"/>
      <c r="I222" s="123"/>
      <c r="J222" s="123"/>
      <c r="K222" s="123"/>
      <c r="L222" s="117"/>
      <c r="M222" s="117"/>
      <c r="N222" s="117"/>
      <c r="O222" s="113"/>
      <c r="P222" s="113"/>
      <c r="Q222" s="113"/>
      <c r="R222" s="113"/>
      <c r="S222" s="113"/>
      <c r="T222" s="113"/>
      <c r="U222" s="113"/>
      <c r="V222" s="113"/>
      <c r="W222" s="113"/>
      <c r="X222" s="113"/>
      <c r="Y222" s="113"/>
      <c r="Z222" s="113"/>
      <c r="AA222" s="113"/>
      <c r="AB222" s="113"/>
      <c r="AC222" s="113"/>
      <c r="AD222" s="113"/>
      <c r="AE222" s="113"/>
      <c r="AF222" s="113"/>
      <c r="AG222" s="113"/>
      <c r="AH222" s="113"/>
      <c r="AI222" s="113"/>
      <c r="AJ222" s="113"/>
      <c r="AK222" s="113"/>
      <c r="AL222" s="113"/>
      <c r="AM222" s="113"/>
    </row>
    <row r="223" spans="2:39" hidden="1" outlineLevel="2" x14ac:dyDescent="0.2">
      <c r="D223" s="319">
        <v>2</v>
      </c>
      <c r="E223" s="319">
        <v>3</v>
      </c>
      <c r="F223" s="319">
        <v>4</v>
      </c>
      <c r="G223" s="319">
        <v>5</v>
      </c>
      <c r="H223" s="319">
        <v>6</v>
      </c>
      <c r="I223" s="319">
        <v>7</v>
      </c>
      <c r="J223" s="319"/>
    </row>
    <row r="224" spans="2:39" hidden="1" outlineLevel="2" x14ac:dyDescent="0.2">
      <c r="D224" s="74">
        <f>FirstYear</f>
        <v>2026</v>
      </c>
      <c r="E224" s="74">
        <f>D224+1</f>
        <v>2027</v>
      </c>
      <c r="F224" s="74">
        <f>E224+1</f>
        <v>2028</v>
      </c>
      <c r="G224" s="74">
        <f>F224+1</f>
        <v>2029</v>
      </c>
      <c r="H224" s="74">
        <f>G224+1</f>
        <v>2030</v>
      </c>
      <c r="I224" s="74">
        <f>H224+1</f>
        <v>2031</v>
      </c>
    </row>
    <row r="225" spans="2:39" hidden="1" outlineLevel="2" x14ac:dyDescent="0.2">
      <c r="C225" s="150" t="s">
        <v>119</v>
      </c>
      <c r="D225" s="151">
        <f t="shared" ref="D225:I225" si="162">INDEX(PBSScriptsNew,$B222,D223)</f>
        <v>0</v>
      </c>
      <c r="E225" s="151">
        <f t="shared" si="162"/>
        <v>0</v>
      </c>
      <c r="F225" s="151">
        <f t="shared" si="162"/>
        <v>0</v>
      </c>
      <c r="G225" s="151">
        <f t="shared" si="162"/>
        <v>0</v>
      </c>
      <c r="H225" s="151">
        <f t="shared" si="162"/>
        <v>0</v>
      </c>
      <c r="I225" s="151">
        <f t="shared" si="162"/>
        <v>0</v>
      </c>
      <c r="N225" s="482"/>
    </row>
    <row r="226" spans="2:39" hidden="1" outlineLevel="2" x14ac:dyDescent="0.2">
      <c r="C226" s="150" t="s">
        <v>120</v>
      </c>
      <c r="D226" s="151">
        <f t="shared" ref="D226:I226" si="163">INDEX(RPBSScriptsNew,$B222,D223)</f>
        <v>0</v>
      </c>
      <c r="E226" s="151">
        <f t="shared" si="163"/>
        <v>0</v>
      </c>
      <c r="F226" s="151">
        <f t="shared" si="163"/>
        <v>0</v>
      </c>
      <c r="G226" s="151">
        <f t="shared" si="163"/>
        <v>0</v>
      </c>
      <c r="H226" s="151">
        <f t="shared" si="163"/>
        <v>0</v>
      </c>
      <c r="I226" s="151">
        <f t="shared" si="163"/>
        <v>0</v>
      </c>
    </row>
    <row r="227" spans="2:39" hidden="1" outlineLevel="2" x14ac:dyDescent="0.2">
      <c r="C227" s="139" t="s">
        <v>121</v>
      </c>
      <c r="D227" s="151">
        <f t="shared" ref="D227:I227" si="164">IF(INDEX(SANew,$B222,7)&gt;0,ROUND(D225/INDEX(SANew,$B222,2),0),0)</f>
        <v>0</v>
      </c>
      <c r="E227" s="151">
        <f t="shared" si="164"/>
        <v>0</v>
      </c>
      <c r="F227" s="151">
        <f t="shared" si="164"/>
        <v>0</v>
      </c>
      <c r="G227" s="151">
        <f t="shared" si="164"/>
        <v>0</v>
      </c>
      <c r="H227" s="151">
        <f t="shared" si="164"/>
        <v>0</v>
      </c>
      <c r="I227" s="151">
        <f t="shared" si="164"/>
        <v>0</v>
      </c>
      <c r="L227" s="119"/>
    </row>
    <row r="228" spans="2:39" hidden="1" outlineLevel="2" x14ac:dyDescent="0.2">
      <c r="C228" s="139" t="s">
        <v>122</v>
      </c>
      <c r="D228" s="151">
        <f t="shared" ref="D228:I228" si="165">IF(INDEX(SANew,$B222,7)&gt;0,ROUND(D226/INDEX(SANew,$B222,2),0),0)</f>
        <v>0</v>
      </c>
      <c r="E228" s="151">
        <f t="shared" si="165"/>
        <v>0</v>
      </c>
      <c r="F228" s="151">
        <f t="shared" si="165"/>
        <v>0</v>
      </c>
      <c r="G228" s="151">
        <f t="shared" si="165"/>
        <v>0</v>
      </c>
      <c r="H228" s="151">
        <f t="shared" si="165"/>
        <v>0</v>
      </c>
      <c r="I228" s="151">
        <f t="shared" si="165"/>
        <v>0</v>
      </c>
      <c r="L228" s="119"/>
    </row>
    <row r="229" spans="2:39" outlineLevel="1" collapsed="1" x14ac:dyDescent="0.2">
      <c r="C229" s="455"/>
      <c r="D229" s="480"/>
      <c r="E229" s="348"/>
      <c r="F229" s="348"/>
      <c r="G229" s="348"/>
      <c r="H229" s="348"/>
      <c r="I229" s="348"/>
      <c r="J229" s="348"/>
      <c r="K229" s="348"/>
    </row>
    <row r="230" spans="2:39" ht="15" outlineLevel="1" x14ac:dyDescent="0.2">
      <c r="B230" s="249">
        <v>14</v>
      </c>
      <c r="C230" s="129" t="str">
        <f>INDEX(PBSScriptsNew,B230,1)</f>
        <v>** NOT USED **</v>
      </c>
      <c r="D230" s="123"/>
      <c r="E230" s="123"/>
      <c r="F230" s="123"/>
      <c r="G230" s="123"/>
      <c r="H230" s="123"/>
      <c r="I230" s="123"/>
      <c r="J230" s="123"/>
      <c r="K230" s="123"/>
      <c r="L230" s="117"/>
      <c r="M230" s="117"/>
      <c r="N230" s="117"/>
      <c r="O230" s="113"/>
      <c r="P230" s="113"/>
      <c r="Q230" s="113"/>
      <c r="R230" s="113"/>
      <c r="S230" s="113"/>
      <c r="T230" s="113"/>
      <c r="U230" s="113"/>
      <c r="V230" s="113"/>
      <c r="W230" s="113"/>
      <c r="X230" s="113"/>
      <c r="Y230" s="113"/>
      <c r="Z230" s="113"/>
      <c r="AA230" s="113"/>
      <c r="AB230" s="113"/>
      <c r="AC230" s="113"/>
      <c r="AD230" s="113"/>
      <c r="AE230" s="113"/>
      <c r="AF230" s="113"/>
      <c r="AG230" s="113"/>
      <c r="AH230" s="113"/>
      <c r="AI230" s="113"/>
      <c r="AJ230" s="113"/>
      <c r="AK230" s="113"/>
      <c r="AL230" s="113"/>
      <c r="AM230" s="113"/>
    </row>
    <row r="231" spans="2:39" hidden="1" outlineLevel="2" x14ac:dyDescent="0.2">
      <c r="D231" s="319">
        <v>2</v>
      </c>
      <c r="E231" s="319">
        <v>3</v>
      </c>
      <c r="F231" s="319">
        <v>4</v>
      </c>
      <c r="G231" s="319">
        <v>5</v>
      </c>
      <c r="H231" s="319">
        <v>6</v>
      </c>
      <c r="I231" s="319">
        <v>7</v>
      </c>
      <c r="J231" s="319"/>
    </row>
    <row r="232" spans="2:39" hidden="1" outlineLevel="2" x14ac:dyDescent="0.2">
      <c r="D232" s="74">
        <f>FirstYear</f>
        <v>2026</v>
      </c>
      <c r="E232" s="74">
        <f>D232+1</f>
        <v>2027</v>
      </c>
      <c r="F232" s="74">
        <f>E232+1</f>
        <v>2028</v>
      </c>
      <c r="G232" s="74">
        <f>F232+1</f>
        <v>2029</v>
      </c>
      <c r="H232" s="74">
        <f>G232+1</f>
        <v>2030</v>
      </c>
      <c r="I232" s="74">
        <f>H232+1</f>
        <v>2031</v>
      </c>
    </row>
    <row r="233" spans="2:39" hidden="1" outlineLevel="2" x14ac:dyDescent="0.2">
      <c r="C233" s="150" t="s">
        <v>119</v>
      </c>
      <c r="D233" s="151">
        <f t="shared" ref="D233:I233" si="166">INDEX(PBSScriptsNew,$B230,D231)</f>
        <v>0</v>
      </c>
      <c r="E233" s="151">
        <f t="shared" si="166"/>
        <v>0</v>
      </c>
      <c r="F233" s="151">
        <f t="shared" si="166"/>
        <v>0</v>
      </c>
      <c r="G233" s="151">
        <f t="shared" si="166"/>
        <v>0</v>
      </c>
      <c r="H233" s="151">
        <f t="shared" si="166"/>
        <v>0</v>
      </c>
      <c r="I233" s="151">
        <f t="shared" si="166"/>
        <v>0</v>
      </c>
      <c r="N233" s="482"/>
    </row>
    <row r="234" spans="2:39" hidden="1" outlineLevel="2" x14ac:dyDescent="0.2">
      <c r="C234" s="150" t="s">
        <v>120</v>
      </c>
      <c r="D234" s="151">
        <f t="shared" ref="D234:I234" si="167">INDEX(RPBSScriptsNew,$B230,D231)</f>
        <v>0</v>
      </c>
      <c r="E234" s="151">
        <f t="shared" si="167"/>
        <v>0</v>
      </c>
      <c r="F234" s="151">
        <f t="shared" si="167"/>
        <v>0</v>
      </c>
      <c r="G234" s="151">
        <f t="shared" si="167"/>
        <v>0</v>
      </c>
      <c r="H234" s="151">
        <f t="shared" si="167"/>
        <v>0</v>
      </c>
      <c r="I234" s="151">
        <f t="shared" si="167"/>
        <v>0</v>
      </c>
    </row>
    <row r="235" spans="2:39" hidden="1" outlineLevel="2" x14ac:dyDescent="0.2">
      <c r="C235" s="139" t="s">
        <v>121</v>
      </c>
      <c r="D235" s="151">
        <f t="shared" ref="D235:I235" si="168">IF(INDEX(SANew,$B230,7)&gt;0,ROUND(D233/INDEX(SANew,$B230,2),0),0)</f>
        <v>0</v>
      </c>
      <c r="E235" s="151">
        <f t="shared" si="168"/>
        <v>0</v>
      </c>
      <c r="F235" s="151">
        <f t="shared" si="168"/>
        <v>0</v>
      </c>
      <c r="G235" s="151">
        <f t="shared" si="168"/>
        <v>0</v>
      </c>
      <c r="H235" s="151">
        <f t="shared" si="168"/>
        <v>0</v>
      </c>
      <c r="I235" s="151">
        <f t="shared" si="168"/>
        <v>0</v>
      </c>
      <c r="L235" s="119"/>
    </row>
    <row r="236" spans="2:39" hidden="1" outlineLevel="2" x14ac:dyDescent="0.2">
      <c r="C236" s="139" t="s">
        <v>122</v>
      </c>
      <c r="D236" s="151">
        <f t="shared" ref="D236:I236" si="169">IF(INDEX(SANew,$B230,7)&gt;0,ROUND(D234/INDEX(SANew,$B230,2),0),0)</f>
        <v>0</v>
      </c>
      <c r="E236" s="151">
        <f t="shared" si="169"/>
        <v>0</v>
      </c>
      <c r="F236" s="151">
        <f t="shared" si="169"/>
        <v>0</v>
      </c>
      <c r="G236" s="151">
        <f t="shared" si="169"/>
        <v>0</v>
      </c>
      <c r="H236" s="151">
        <f t="shared" si="169"/>
        <v>0</v>
      </c>
      <c r="I236" s="151">
        <f t="shared" si="169"/>
        <v>0</v>
      </c>
      <c r="L236" s="119"/>
    </row>
    <row r="237" spans="2:39" outlineLevel="1" collapsed="1" x14ac:dyDescent="0.2">
      <c r="C237" s="455"/>
      <c r="D237" s="480"/>
      <c r="E237" s="348"/>
      <c r="F237" s="348"/>
      <c r="G237" s="348"/>
      <c r="H237" s="348"/>
      <c r="I237" s="348"/>
      <c r="J237" s="348"/>
      <c r="K237" s="348"/>
    </row>
    <row r="238" spans="2:39" ht="15" outlineLevel="1" x14ac:dyDescent="0.2">
      <c r="B238" s="249">
        <v>15</v>
      </c>
      <c r="C238" s="129" t="str">
        <f>INDEX(PBSScriptsNew,B238,1)</f>
        <v>** NOT USED **</v>
      </c>
      <c r="D238" s="123"/>
      <c r="E238" s="123"/>
      <c r="F238" s="123"/>
      <c r="G238" s="123"/>
      <c r="H238" s="123"/>
      <c r="I238" s="123"/>
      <c r="J238" s="123"/>
      <c r="K238" s="123"/>
      <c r="L238" s="117"/>
      <c r="M238" s="117"/>
      <c r="N238" s="117"/>
      <c r="O238" s="113"/>
      <c r="P238" s="113"/>
      <c r="Q238" s="113"/>
      <c r="R238" s="113"/>
      <c r="S238" s="113"/>
      <c r="T238" s="113"/>
      <c r="U238" s="113"/>
      <c r="V238" s="113"/>
      <c r="W238" s="113"/>
      <c r="X238" s="113"/>
      <c r="Y238" s="113"/>
      <c r="Z238" s="113"/>
      <c r="AA238" s="113"/>
      <c r="AB238" s="113"/>
      <c r="AC238" s="113"/>
      <c r="AD238" s="113"/>
      <c r="AE238" s="113"/>
      <c r="AF238" s="113"/>
      <c r="AG238" s="113"/>
      <c r="AH238" s="113"/>
      <c r="AI238" s="113"/>
      <c r="AJ238" s="113"/>
      <c r="AK238" s="113"/>
      <c r="AL238" s="113"/>
      <c r="AM238" s="113"/>
    </row>
    <row r="239" spans="2:39" hidden="1" outlineLevel="2" x14ac:dyDescent="0.2">
      <c r="D239" s="319">
        <v>2</v>
      </c>
      <c r="E239" s="319">
        <v>3</v>
      </c>
      <c r="F239" s="319">
        <v>4</v>
      </c>
      <c r="G239" s="319">
        <v>5</v>
      </c>
      <c r="H239" s="319">
        <v>6</v>
      </c>
      <c r="I239" s="319">
        <v>7</v>
      </c>
      <c r="J239" s="319"/>
    </row>
    <row r="240" spans="2:39" hidden="1" outlineLevel="2" x14ac:dyDescent="0.2">
      <c r="D240" s="74">
        <f>FirstYear</f>
        <v>2026</v>
      </c>
      <c r="E240" s="74">
        <f>D240+1</f>
        <v>2027</v>
      </c>
      <c r="F240" s="74">
        <f>E240+1</f>
        <v>2028</v>
      </c>
      <c r="G240" s="74">
        <f>F240+1</f>
        <v>2029</v>
      </c>
      <c r="H240" s="74">
        <f>G240+1</f>
        <v>2030</v>
      </c>
      <c r="I240" s="74">
        <f>H240+1</f>
        <v>2031</v>
      </c>
    </row>
    <row r="241" spans="2:39" hidden="1" outlineLevel="2" x14ac:dyDescent="0.2">
      <c r="C241" s="150" t="s">
        <v>119</v>
      </c>
      <c r="D241" s="151">
        <f t="shared" ref="D241:I241" si="170">INDEX(PBSScriptsNew,$B238,D239)</f>
        <v>0</v>
      </c>
      <c r="E241" s="151">
        <f t="shared" si="170"/>
        <v>0</v>
      </c>
      <c r="F241" s="151">
        <f t="shared" si="170"/>
        <v>0</v>
      </c>
      <c r="G241" s="151">
        <f t="shared" si="170"/>
        <v>0</v>
      </c>
      <c r="H241" s="151">
        <f t="shared" si="170"/>
        <v>0</v>
      </c>
      <c r="I241" s="151">
        <f t="shared" si="170"/>
        <v>0</v>
      </c>
      <c r="N241" s="482"/>
    </row>
    <row r="242" spans="2:39" hidden="1" outlineLevel="2" x14ac:dyDescent="0.2">
      <c r="C242" s="150" t="s">
        <v>120</v>
      </c>
      <c r="D242" s="151">
        <f t="shared" ref="D242:I242" si="171">INDEX(RPBSScriptsNew,$B238,D239)</f>
        <v>0</v>
      </c>
      <c r="E242" s="151">
        <f t="shared" si="171"/>
        <v>0</v>
      </c>
      <c r="F242" s="151">
        <f t="shared" si="171"/>
        <v>0</v>
      </c>
      <c r="G242" s="151">
        <f t="shared" si="171"/>
        <v>0</v>
      </c>
      <c r="H242" s="151">
        <f t="shared" si="171"/>
        <v>0</v>
      </c>
      <c r="I242" s="151">
        <f t="shared" si="171"/>
        <v>0</v>
      </c>
    </row>
    <row r="243" spans="2:39" hidden="1" outlineLevel="2" x14ac:dyDescent="0.2">
      <c r="C243" s="139" t="s">
        <v>121</v>
      </c>
      <c r="D243" s="151">
        <f t="shared" ref="D243:I243" si="172">IF(INDEX(SANew,$B238,7)&gt;0,ROUND(D241/INDEX(SANew,$B238,2),0),0)</f>
        <v>0</v>
      </c>
      <c r="E243" s="151">
        <f t="shared" si="172"/>
        <v>0</v>
      </c>
      <c r="F243" s="151">
        <f t="shared" si="172"/>
        <v>0</v>
      </c>
      <c r="G243" s="151">
        <f t="shared" si="172"/>
        <v>0</v>
      </c>
      <c r="H243" s="151">
        <f t="shared" si="172"/>
        <v>0</v>
      </c>
      <c r="I243" s="151">
        <f t="shared" si="172"/>
        <v>0</v>
      </c>
      <c r="L243" s="119"/>
    </row>
    <row r="244" spans="2:39" hidden="1" outlineLevel="2" x14ac:dyDescent="0.2">
      <c r="C244" s="139" t="s">
        <v>122</v>
      </c>
      <c r="D244" s="151">
        <f t="shared" ref="D244:I244" si="173">IF(INDEX(SANew,$B238,7)&gt;0,ROUND(D242/INDEX(SANew,$B238,2),0),0)</f>
        <v>0</v>
      </c>
      <c r="E244" s="151">
        <f t="shared" si="173"/>
        <v>0</v>
      </c>
      <c r="F244" s="151">
        <f t="shared" si="173"/>
        <v>0</v>
      </c>
      <c r="G244" s="151">
        <f t="shared" si="173"/>
        <v>0</v>
      </c>
      <c r="H244" s="151">
        <f t="shared" si="173"/>
        <v>0</v>
      </c>
      <c r="I244" s="151">
        <f t="shared" si="173"/>
        <v>0</v>
      </c>
      <c r="L244" s="119"/>
    </row>
    <row r="245" spans="2:39" outlineLevel="1" collapsed="1" x14ac:dyDescent="0.2">
      <c r="C245" s="455"/>
      <c r="D245" s="480"/>
      <c r="E245" s="348"/>
      <c r="F245" s="348"/>
      <c r="G245" s="348"/>
      <c r="H245" s="348"/>
      <c r="I245" s="348"/>
      <c r="J245" s="348"/>
      <c r="K245" s="348"/>
    </row>
    <row r="246" spans="2:39" ht="15" outlineLevel="1" x14ac:dyDescent="0.2">
      <c r="B246" s="249">
        <v>16</v>
      </c>
      <c r="C246" s="129" t="str">
        <f>INDEX(PBSScriptsNew,B246,1)</f>
        <v>** NOT USED **</v>
      </c>
      <c r="D246" s="123"/>
      <c r="E246" s="123"/>
      <c r="F246" s="123"/>
      <c r="G246" s="123"/>
      <c r="H246" s="123"/>
      <c r="I246" s="123"/>
      <c r="J246" s="123"/>
      <c r="K246" s="123"/>
      <c r="L246" s="117"/>
      <c r="M246" s="117"/>
      <c r="N246" s="117"/>
      <c r="O246" s="113"/>
      <c r="P246" s="113"/>
      <c r="Q246" s="113"/>
      <c r="R246" s="113"/>
      <c r="S246" s="113"/>
      <c r="T246" s="113"/>
      <c r="U246" s="113"/>
      <c r="V246" s="113"/>
      <c r="W246" s="113"/>
      <c r="X246" s="113"/>
      <c r="Y246" s="113"/>
      <c r="Z246" s="113"/>
      <c r="AA246" s="113"/>
      <c r="AB246" s="113"/>
      <c r="AC246" s="113"/>
      <c r="AD246" s="113"/>
      <c r="AE246" s="113"/>
      <c r="AF246" s="113"/>
      <c r="AG246" s="113"/>
      <c r="AH246" s="113"/>
      <c r="AI246" s="113"/>
      <c r="AJ246" s="113"/>
      <c r="AK246" s="113"/>
      <c r="AL246" s="113"/>
      <c r="AM246" s="113"/>
    </row>
    <row r="247" spans="2:39" hidden="1" outlineLevel="2" x14ac:dyDescent="0.2">
      <c r="D247" s="319">
        <v>2</v>
      </c>
      <c r="E247" s="319">
        <v>3</v>
      </c>
      <c r="F247" s="319">
        <v>4</v>
      </c>
      <c r="G247" s="319">
        <v>5</v>
      </c>
      <c r="H247" s="319">
        <v>6</v>
      </c>
      <c r="I247" s="319">
        <v>7</v>
      </c>
      <c r="J247" s="319"/>
    </row>
    <row r="248" spans="2:39" hidden="1" outlineLevel="2" x14ac:dyDescent="0.2">
      <c r="D248" s="74">
        <f>FirstYear</f>
        <v>2026</v>
      </c>
      <c r="E248" s="74">
        <f>D248+1</f>
        <v>2027</v>
      </c>
      <c r="F248" s="74">
        <f>E248+1</f>
        <v>2028</v>
      </c>
      <c r="G248" s="74">
        <f>F248+1</f>
        <v>2029</v>
      </c>
      <c r="H248" s="74">
        <f>G248+1</f>
        <v>2030</v>
      </c>
      <c r="I248" s="74">
        <f>H248+1</f>
        <v>2031</v>
      </c>
    </row>
    <row r="249" spans="2:39" hidden="1" outlineLevel="2" x14ac:dyDescent="0.2">
      <c r="C249" s="150" t="s">
        <v>119</v>
      </c>
      <c r="D249" s="151">
        <f t="shared" ref="D249:I249" si="174">INDEX(PBSScriptsNew,$B246,D247)</f>
        <v>0</v>
      </c>
      <c r="E249" s="151">
        <f t="shared" si="174"/>
        <v>0</v>
      </c>
      <c r="F249" s="151">
        <f t="shared" si="174"/>
        <v>0</v>
      </c>
      <c r="G249" s="151">
        <f t="shared" si="174"/>
        <v>0</v>
      </c>
      <c r="H249" s="151">
        <f t="shared" si="174"/>
        <v>0</v>
      </c>
      <c r="I249" s="151">
        <f t="shared" si="174"/>
        <v>0</v>
      </c>
      <c r="N249" s="482"/>
    </row>
    <row r="250" spans="2:39" hidden="1" outlineLevel="2" x14ac:dyDescent="0.2">
      <c r="C250" s="150" t="s">
        <v>120</v>
      </c>
      <c r="D250" s="151">
        <f t="shared" ref="D250:I250" si="175">INDEX(RPBSScriptsNew,$B246,D247)</f>
        <v>0</v>
      </c>
      <c r="E250" s="151">
        <f t="shared" si="175"/>
        <v>0</v>
      </c>
      <c r="F250" s="151">
        <f t="shared" si="175"/>
        <v>0</v>
      </c>
      <c r="G250" s="151">
        <f t="shared" si="175"/>
        <v>0</v>
      </c>
      <c r="H250" s="151">
        <f t="shared" si="175"/>
        <v>0</v>
      </c>
      <c r="I250" s="151">
        <f t="shared" si="175"/>
        <v>0</v>
      </c>
    </row>
    <row r="251" spans="2:39" hidden="1" outlineLevel="2" x14ac:dyDescent="0.2">
      <c r="C251" s="139" t="s">
        <v>121</v>
      </c>
      <c r="D251" s="151">
        <f t="shared" ref="D251:I251" si="176">IF(INDEX(SANew,$B246,7)&gt;0,ROUND(D249/INDEX(SANew,$B246,2),0),0)</f>
        <v>0</v>
      </c>
      <c r="E251" s="151">
        <f t="shared" si="176"/>
        <v>0</v>
      </c>
      <c r="F251" s="151">
        <f t="shared" si="176"/>
        <v>0</v>
      </c>
      <c r="G251" s="151">
        <f t="shared" si="176"/>
        <v>0</v>
      </c>
      <c r="H251" s="151">
        <f t="shared" si="176"/>
        <v>0</v>
      </c>
      <c r="I251" s="151">
        <f t="shared" si="176"/>
        <v>0</v>
      </c>
      <c r="L251" s="119"/>
    </row>
    <row r="252" spans="2:39" hidden="1" outlineLevel="2" x14ac:dyDescent="0.2">
      <c r="C252" s="139" t="s">
        <v>122</v>
      </c>
      <c r="D252" s="151">
        <f t="shared" ref="D252:I252" si="177">IF(INDEX(SANew,$B246,7)&gt;0,ROUND(D250/INDEX(SANew,$B246,2),0),0)</f>
        <v>0</v>
      </c>
      <c r="E252" s="151">
        <f t="shared" si="177"/>
        <v>0</v>
      </c>
      <c r="F252" s="151">
        <f t="shared" si="177"/>
        <v>0</v>
      </c>
      <c r="G252" s="151">
        <f t="shared" si="177"/>
        <v>0</v>
      </c>
      <c r="H252" s="151">
        <f t="shared" si="177"/>
        <v>0</v>
      </c>
      <c r="I252" s="151">
        <f t="shared" si="177"/>
        <v>0</v>
      </c>
      <c r="L252" s="119"/>
    </row>
    <row r="253" spans="2:39" outlineLevel="1" collapsed="1" x14ac:dyDescent="0.2">
      <c r="C253" s="455"/>
      <c r="D253" s="480"/>
      <c r="E253" s="348"/>
      <c r="F253" s="348"/>
      <c r="G253" s="348"/>
      <c r="H253" s="348"/>
      <c r="I253" s="348"/>
      <c r="J253" s="348"/>
      <c r="K253" s="348"/>
    </row>
    <row r="254" spans="2:39" ht="15" outlineLevel="1" x14ac:dyDescent="0.2">
      <c r="B254" s="249">
        <v>17</v>
      </c>
      <c r="C254" s="129" t="str">
        <f>INDEX(PBSScriptsNew,B254,1)</f>
        <v>** NOT USED **</v>
      </c>
      <c r="D254" s="123"/>
      <c r="E254" s="123"/>
      <c r="F254" s="123"/>
      <c r="G254" s="123"/>
      <c r="H254" s="123"/>
      <c r="I254" s="123"/>
      <c r="J254" s="123"/>
      <c r="K254" s="123"/>
      <c r="L254" s="117"/>
      <c r="M254" s="117"/>
      <c r="N254" s="117"/>
      <c r="O254" s="113"/>
      <c r="P254" s="113"/>
      <c r="Q254" s="113"/>
      <c r="R254" s="113"/>
      <c r="S254" s="113"/>
      <c r="T254" s="113"/>
      <c r="U254" s="113"/>
      <c r="V254" s="113"/>
      <c r="W254" s="113"/>
      <c r="X254" s="113"/>
      <c r="Y254" s="113"/>
      <c r="Z254" s="113"/>
      <c r="AA254" s="113"/>
      <c r="AB254" s="113"/>
      <c r="AC254" s="113"/>
      <c r="AD254" s="113"/>
      <c r="AE254" s="113"/>
      <c r="AF254" s="113"/>
      <c r="AG254" s="113"/>
      <c r="AH254" s="113"/>
      <c r="AI254" s="113"/>
      <c r="AJ254" s="113"/>
      <c r="AK254" s="113"/>
      <c r="AL254" s="113"/>
      <c r="AM254" s="113"/>
    </row>
    <row r="255" spans="2:39" hidden="1" outlineLevel="2" x14ac:dyDescent="0.2">
      <c r="D255" s="319">
        <v>2</v>
      </c>
      <c r="E255" s="319">
        <v>3</v>
      </c>
      <c r="F255" s="319">
        <v>4</v>
      </c>
      <c r="G255" s="319">
        <v>5</v>
      </c>
      <c r="H255" s="319">
        <v>6</v>
      </c>
      <c r="I255" s="319">
        <v>7</v>
      </c>
      <c r="J255" s="319"/>
    </row>
    <row r="256" spans="2:39" hidden="1" outlineLevel="2" x14ac:dyDescent="0.2">
      <c r="D256" s="74">
        <f>FirstYear</f>
        <v>2026</v>
      </c>
      <c r="E256" s="74">
        <f>D256+1</f>
        <v>2027</v>
      </c>
      <c r="F256" s="74">
        <f>E256+1</f>
        <v>2028</v>
      </c>
      <c r="G256" s="74">
        <f>F256+1</f>
        <v>2029</v>
      </c>
      <c r="H256" s="74">
        <f>G256+1</f>
        <v>2030</v>
      </c>
      <c r="I256" s="74">
        <f>H256+1</f>
        <v>2031</v>
      </c>
    </row>
    <row r="257" spans="2:39" hidden="1" outlineLevel="2" x14ac:dyDescent="0.2">
      <c r="C257" s="150" t="s">
        <v>119</v>
      </c>
      <c r="D257" s="151">
        <f t="shared" ref="D257:I257" si="178">INDEX(PBSScriptsNew,$B254,D255)</f>
        <v>0</v>
      </c>
      <c r="E257" s="151">
        <f t="shared" si="178"/>
        <v>0</v>
      </c>
      <c r="F257" s="151">
        <f t="shared" si="178"/>
        <v>0</v>
      </c>
      <c r="G257" s="151">
        <f t="shared" si="178"/>
        <v>0</v>
      </c>
      <c r="H257" s="151">
        <f t="shared" si="178"/>
        <v>0</v>
      </c>
      <c r="I257" s="151">
        <f t="shared" si="178"/>
        <v>0</v>
      </c>
      <c r="N257" s="482"/>
    </row>
    <row r="258" spans="2:39" hidden="1" outlineLevel="2" x14ac:dyDescent="0.2">
      <c r="C258" s="150" t="s">
        <v>120</v>
      </c>
      <c r="D258" s="151">
        <f t="shared" ref="D258:I258" si="179">INDEX(RPBSScriptsNew,$B254,D255)</f>
        <v>0</v>
      </c>
      <c r="E258" s="151">
        <f t="shared" si="179"/>
        <v>0</v>
      </c>
      <c r="F258" s="151">
        <f t="shared" si="179"/>
        <v>0</v>
      </c>
      <c r="G258" s="151">
        <f t="shared" si="179"/>
        <v>0</v>
      </c>
      <c r="H258" s="151">
        <f t="shared" si="179"/>
        <v>0</v>
      </c>
      <c r="I258" s="151">
        <f t="shared" si="179"/>
        <v>0</v>
      </c>
    </row>
    <row r="259" spans="2:39" hidden="1" outlineLevel="2" x14ac:dyDescent="0.2">
      <c r="C259" s="139" t="s">
        <v>121</v>
      </c>
      <c r="D259" s="151">
        <f t="shared" ref="D259:I259" si="180">IF(INDEX(SANew,$B254,7)&gt;0,ROUND(D257/INDEX(SANew,$B254,2),0),0)</f>
        <v>0</v>
      </c>
      <c r="E259" s="151">
        <f t="shared" si="180"/>
        <v>0</v>
      </c>
      <c r="F259" s="151">
        <f t="shared" si="180"/>
        <v>0</v>
      </c>
      <c r="G259" s="151">
        <f t="shared" si="180"/>
        <v>0</v>
      </c>
      <c r="H259" s="151">
        <f t="shared" si="180"/>
        <v>0</v>
      </c>
      <c r="I259" s="151">
        <f t="shared" si="180"/>
        <v>0</v>
      </c>
      <c r="L259" s="119"/>
    </row>
    <row r="260" spans="2:39" hidden="1" outlineLevel="2" x14ac:dyDescent="0.2">
      <c r="C260" s="139" t="s">
        <v>122</v>
      </c>
      <c r="D260" s="151">
        <f t="shared" ref="D260:I260" si="181">IF(INDEX(SANew,$B254,7)&gt;0,ROUND(D258/INDEX(SANew,$B254,2),0),0)</f>
        <v>0</v>
      </c>
      <c r="E260" s="151">
        <f t="shared" si="181"/>
        <v>0</v>
      </c>
      <c r="F260" s="151">
        <f t="shared" si="181"/>
        <v>0</v>
      </c>
      <c r="G260" s="151">
        <f t="shared" si="181"/>
        <v>0</v>
      </c>
      <c r="H260" s="151">
        <f t="shared" si="181"/>
        <v>0</v>
      </c>
      <c r="I260" s="151">
        <f t="shared" si="181"/>
        <v>0</v>
      </c>
      <c r="L260" s="119"/>
    </row>
    <row r="261" spans="2:39" outlineLevel="1" collapsed="1" x14ac:dyDescent="0.2">
      <c r="C261" s="455"/>
      <c r="D261" s="480"/>
      <c r="E261" s="348"/>
      <c r="F261" s="348"/>
      <c r="G261" s="348"/>
      <c r="H261" s="348"/>
      <c r="I261" s="348"/>
      <c r="J261" s="348"/>
      <c r="K261" s="348"/>
    </row>
    <row r="262" spans="2:39" ht="15" outlineLevel="1" x14ac:dyDescent="0.2">
      <c r="B262" s="249">
        <v>18</v>
      </c>
      <c r="C262" s="129" t="str">
        <f>INDEX(PBSScriptsNew,B262,1)</f>
        <v>** NOT USED **</v>
      </c>
      <c r="D262" s="123"/>
      <c r="E262" s="123"/>
      <c r="F262" s="123"/>
      <c r="G262" s="123"/>
      <c r="H262" s="123"/>
      <c r="I262" s="123"/>
      <c r="J262" s="123"/>
      <c r="K262" s="123"/>
      <c r="L262" s="117"/>
      <c r="M262" s="117"/>
      <c r="N262" s="117"/>
      <c r="O262" s="113"/>
      <c r="P262" s="113"/>
      <c r="Q262" s="113"/>
      <c r="R262" s="113"/>
      <c r="S262" s="113"/>
      <c r="T262" s="113"/>
      <c r="U262" s="113"/>
      <c r="V262" s="113"/>
      <c r="W262" s="113"/>
      <c r="X262" s="113"/>
      <c r="Y262" s="113"/>
      <c r="Z262" s="113"/>
      <c r="AA262" s="113"/>
      <c r="AB262" s="113"/>
      <c r="AC262" s="113"/>
      <c r="AD262" s="113"/>
      <c r="AE262" s="113"/>
      <c r="AF262" s="113"/>
      <c r="AG262" s="113"/>
      <c r="AH262" s="113"/>
      <c r="AI262" s="113"/>
      <c r="AJ262" s="113"/>
      <c r="AK262" s="113"/>
      <c r="AL262" s="113"/>
      <c r="AM262" s="113"/>
    </row>
    <row r="263" spans="2:39" hidden="1" outlineLevel="2" x14ac:dyDescent="0.2">
      <c r="D263" s="319">
        <v>2</v>
      </c>
      <c r="E263" s="319">
        <v>3</v>
      </c>
      <c r="F263" s="319">
        <v>4</v>
      </c>
      <c r="G263" s="319">
        <v>5</v>
      </c>
      <c r="H263" s="319">
        <v>6</v>
      </c>
      <c r="I263" s="319">
        <v>7</v>
      </c>
      <c r="J263" s="319"/>
    </row>
    <row r="264" spans="2:39" hidden="1" outlineLevel="2" x14ac:dyDescent="0.2">
      <c r="D264" s="74">
        <f>FirstYear</f>
        <v>2026</v>
      </c>
      <c r="E264" s="74">
        <f>D264+1</f>
        <v>2027</v>
      </c>
      <c r="F264" s="74">
        <f>E264+1</f>
        <v>2028</v>
      </c>
      <c r="G264" s="74">
        <f>F264+1</f>
        <v>2029</v>
      </c>
      <c r="H264" s="74">
        <f>G264+1</f>
        <v>2030</v>
      </c>
      <c r="I264" s="74">
        <f>H264+1</f>
        <v>2031</v>
      </c>
    </row>
    <row r="265" spans="2:39" hidden="1" outlineLevel="2" x14ac:dyDescent="0.2">
      <c r="C265" s="150" t="s">
        <v>119</v>
      </c>
      <c r="D265" s="151">
        <f t="shared" ref="D265:I265" si="182">INDEX(PBSScriptsNew,$B262,D263)</f>
        <v>0</v>
      </c>
      <c r="E265" s="151">
        <f t="shared" si="182"/>
        <v>0</v>
      </c>
      <c r="F265" s="151">
        <f t="shared" si="182"/>
        <v>0</v>
      </c>
      <c r="G265" s="151">
        <f t="shared" si="182"/>
        <v>0</v>
      </c>
      <c r="H265" s="151">
        <f t="shared" si="182"/>
        <v>0</v>
      </c>
      <c r="I265" s="151">
        <f t="shared" si="182"/>
        <v>0</v>
      </c>
      <c r="N265" s="482"/>
    </row>
    <row r="266" spans="2:39" hidden="1" outlineLevel="2" x14ac:dyDescent="0.2">
      <c r="C266" s="150" t="s">
        <v>120</v>
      </c>
      <c r="D266" s="151">
        <f t="shared" ref="D266:I266" si="183">INDEX(RPBSScriptsNew,$B262,D263)</f>
        <v>0</v>
      </c>
      <c r="E266" s="151">
        <f t="shared" si="183"/>
        <v>0</v>
      </c>
      <c r="F266" s="151">
        <f t="shared" si="183"/>
        <v>0</v>
      </c>
      <c r="G266" s="151">
        <f t="shared" si="183"/>
        <v>0</v>
      </c>
      <c r="H266" s="151">
        <f t="shared" si="183"/>
        <v>0</v>
      </c>
      <c r="I266" s="151">
        <f t="shared" si="183"/>
        <v>0</v>
      </c>
    </row>
    <row r="267" spans="2:39" hidden="1" outlineLevel="2" x14ac:dyDescent="0.2">
      <c r="C267" s="139" t="s">
        <v>121</v>
      </c>
      <c r="D267" s="151">
        <f t="shared" ref="D267:I267" si="184">IF(INDEX(SANew,$B262,7)&gt;0,ROUND(D265/INDEX(SANew,$B262,2),0),0)</f>
        <v>0</v>
      </c>
      <c r="E267" s="151">
        <f t="shared" si="184"/>
        <v>0</v>
      </c>
      <c r="F267" s="151">
        <f t="shared" si="184"/>
        <v>0</v>
      </c>
      <c r="G267" s="151">
        <f t="shared" si="184"/>
        <v>0</v>
      </c>
      <c r="H267" s="151">
        <f t="shared" si="184"/>
        <v>0</v>
      </c>
      <c r="I267" s="151">
        <f t="shared" si="184"/>
        <v>0</v>
      </c>
      <c r="L267" s="119"/>
    </row>
    <row r="268" spans="2:39" hidden="1" outlineLevel="2" x14ac:dyDescent="0.2">
      <c r="C268" s="139" t="s">
        <v>122</v>
      </c>
      <c r="D268" s="151">
        <f t="shared" ref="D268:I268" si="185">IF(INDEX(SANew,$B262,7)&gt;0,ROUND(D266/INDEX(SANew,$B262,2),0),0)</f>
        <v>0</v>
      </c>
      <c r="E268" s="151">
        <f t="shared" si="185"/>
        <v>0</v>
      </c>
      <c r="F268" s="151">
        <f t="shared" si="185"/>
        <v>0</v>
      </c>
      <c r="G268" s="151">
        <f t="shared" si="185"/>
        <v>0</v>
      </c>
      <c r="H268" s="151">
        <f t="shared" si="185"/>
        <v>0</v>
      </c>
      <c r="I268" s="151">
        <f t="shared" si="185"/>
        <v>0</v>
      </c>
      <c r="L268" s="119"/>
    </row>
    <row r="269" spans="2:39" outlineLevel="1" collapsed="1" x14ac:dyDescent="0.2">
      <c r="C269" s="455"/>
      <c r="D269" s="480"/>
      <c r="E269" s="348"/>
      <c r="F269" s="348"/>
      <c r="G269" s="348"/>
      <c r="H269" s="348"/>
      <c r="I269" s="348"/>
      <c r="J269" s="348"/>
      <c r="K269" s="348"/>
    </row>
    <row r="270" spans="2:39" ht="15" outlineLevel="1" x14ac:dyDescent="0.2">
      <c r="B270" s="249">
        <v>19</v>
      </c>
      <c r="C270" s="129" t="str">
        <f>INDEX(PBSScriptsNew,B270,1)</f>
        <v>** NOT USED **</v>
      </c>
      <c r="D270" s="123"/>
      <c r="E270" s="123"/>
      <c r="F270" s="123"/>
      <c r="G270" s="123"/>
      <c r="H270" s="123"/>
      <c r="I270" s="123"/>
      <c r="J270" s="123"/>
      <c r="K270" s="123"/>
      <c r="L270" s="117"/>
      <c r="M270" s="117"/>
      <c r="N270" s="117"/>
      <c r="O270" s="113"/>
      <c r="P270" s="113"/>
      <c r="Q270" s="113"/>
      <c r="R270" s="113"/>
      <c r="S270" s="113"/>
      <c r="T270" s="113"/>
      <c r="U270" s="113"/>
      <c r="V270" s="113"/>
      <c r="W270" s="113"/>
      <c r="X270" s="113"/>
      <c r="Y270" s="113"/>
      <c r="Z270" s="113"/>
      <c r="AA270" s="113"/>
      <c r="AB270" s="113"/>
      <c r="AC270" s="113"/>
      <c r="AD270" s="113"/>
      <c r="AE270" s="113"/>
      <c r="AF270" s="113"/>
      <c r="AG270" s="113"/>
      <c r="AH270" s="113"/>
      <c r="AI270" s="113"/>
      <c r="AJ270" s="113"/>
      <c r="AK270" s="113"/>
      <c r="AL270" s="113"/>
      <c r="AM270" s="113"/>
    </row>
    <row r="271" spans="2:39" hidden="1" outlineLevel="2" x14ac:dyDescent="0.2">
      <c r="D271" s="319">
        <v>2</v>
      </c>
      <c r="E271" s="319">
        <v>3</v>
      </c>
      <c r="F271" s="319">
        <v>4</v>
      </c>
      <c r="G271" s="319">
        <v>5</v>
      </c>
      <c r="H271" s="319">
        <v>6</v>
      </c>
      <c r="I271" s="319">
        <v>7</v>
      </c>
      <c r="J271" s="319"/>
    </row>
    <row r="272" spans="2:39" hidden="1" outlineLevel="2" x14ac:dyDescent="0.2">
      <c r="D272" s="74">
        <f>FirstYear</f>
        <v>2026</v>
      </c>
      <c r="E272" s="74">
        <f>D272+1</f>
        <v>2027</v>
      </c>
      <c r="F272" s="74">
        <f>E272+1</f>
        <v>2028</v>
      </c>
      <c r="G272" s="74">
        <f>F272+1</f>
        <v>2029</v>
      </c>
      <c r="H272" s="74">
        <f>G272+1</f>
        <v>2030</v>
      </c>
      <c r="I272" s="74">
        <f>H272+1</f>
        <v>2031</v>
      </c>
    </row>
    <row r="273" spans="2:39" hidden="1" outlineLevel="2" x14ac:dyDescent="0.2">
      <c r="C273" s="150" t="s">
        <v>119</v>
      </c>
      <c r="D273" s="151">
        <f t="shared" ref="D273:I273" si="186">INDEX(PBSScriptsNew,$B270,D271)</f>
        <v>0</v>
      </c>
      <c r="E273" s="151">
        <f t="shared" si="186"/>
        <v>0</v>
      </c>
      <c r="F273" s="151">
        <f t="shared" si="186"/>
        <v>0</v>
      </c>
      <c r="G273" s="151">
        <f t="shared" si="186"/>
        <v>0</v>
      </c>
      <c r="H273" s="151">
        <f t="shared" si="186"/>
        <v>0</v>
      </c>
      <c r="I273" s="151">
        <f t="shared" si="186"/>
        <v>0</v>
      </c>
      <c r="N273" s="482"/>
    </row>
    <row r="274" spans="2:39" hidden="1" outlineLevel="2" x14ac:dyDescent="0.2">
      <c r="C274" s="150" t="s">
        <v>120</v>
      </c>
      <c r="D274" s="151">
        <f t="shared" ref="D274:I274" si="187">INDEX(RPBSScriptsNew,$B270,D271)</f>
        <v>0</v>
      </c>
      <c r="E274" s="151">
        <f t="shared" si="187"/>
        <v>0</v>
      </c>
      <c r="F274" s="151">
        <f t="shared" si="187"/>
        <v>0</v>
      </c>
      <c r="G274" s="151">
        <f t="shared" si="187"/>
        <v>0</v>
      </c>
      <c r="H274" s="151">
        <f t="shared" si="187"/>
        <v>0</v>
      </c>
      <c r="I274" s="151">
        <f t="shared" si="187"/>
        <v>0</v>
      </c>
    </row>
    <row r="275" spans="2:39" hidden="1" outlineLevel="2" x14ac:dyDescent="0.2">
      <c r="C275" s="139" t="s">
        <v>121</v>
      </c>
      <c r="D275" s="151">
        <f t="shared" ref="D275:I275" si="188">IF(INDEX(SANew,$B270,7)&gt;0,ROUND(D273/INDEX(SANew,$B270,2),0),0)</f>
        <v>0</v>
      </c>
      <c r="E275" s="151">
        <f t="shared" si="188"/>
        <v>0</v>
      </c>
      <c r="F275" s="151">
        <f t="shared" si="188"/>
        <v>0</v>
      </c>
      <c r="G275" s="151">
        <f t="shared" si="188"/>
        <v>0</v>
      </c>
      <c r="H275" s="151">
        <f t="shared" si="188"/>
        <v>0</v>
      </c>
      <c r="I275" s="151">
        <f t="shared" si="188"/>
        <v>0</v>
      </c>
      <c r="L275" s="119"/>
    </row>
    <row r="276" spans="2:39" hidden="1" outlineLevel="2" x14ac:dyDescent="0.2">
      <c r="C276" s="139" t="s">
        <v>122</v>
      </c>
      <c r="D276" s="151">
        <f t="shared" ref="D276:I276" si="189">IF(INDEX(SANew,$B270,7)&gt;0,ROUND(D274/INDEX(SANew,$B270,2),0),0)</f>
        <v>0</v>
      </c>
      <c r="E276" s="151">
        <f t="shared" si="189"/>
        <v>0</v>
      </c>
      <c r="F276" s="151">
        <f t="shared" si="189"/>
        <v>0</v>
      </c>
      <c r="G276" s="151">
        <f t="shared" si="189"/>
        <v>0</v>
      </c>
      <c r="H276" s="151">
        <f t="shared" si="189"/>
        <v>0</v>
      </c>
      <c r="I276" s="151">
        <f t="shared" si="189"/>
        <v>0</v>
      </c>
      <c r="L276" s="119"/>
    </row>
    <row r="277" spans="2:39" outlineLevel="1" collapsed="1" x14ac:dyDescent="0.2">
      <c r="C277" s="455"/>
      <c r="D277" s="480"/>
      <c r="E277" s="348"/>
      <c r="F277" s="348"/>
      <c r="G277" s="348"/>
      <c r="H277" s="348"/>
      <c r="I277" s="348"/>
      <c r="J277" s="348"/>
      <c r="K277" s="348"/>
    </row>
    <row r="278" spans="2:39" ht="15" outlineLevel="1" x14ac:dyDescent="0.2">
      <c r="B278" s="249">
        <v>20</v>
      </c>
      <c r="C278" s="129" t="str">
        <f>INDEX(PBSScriptsNew,B278,1)</f>
        <v>** NOT USED **</v>
      </c>
      <c r="D278" s="123"/>
      <c r="E278" s="123"/>
      <c r="F278" s="123"/>
      <c r="G278" s="123"/>
      <c r="H278" s="123"/>
      <c r="I278" s="123"/>
      <c r="J278" s="123"/>
      <c r="K278" s="123"/>
      <c r="L278" s="117"/>
      <c r="M278" s="117"/>
      <c r="N278" s="117"/>
      <c r="O278" s="113"/>
      <c r="P278" s="113"/>
      <c r="Q278" s="113"/>
      <c r="R278" s="113"/>
      <c r="S278" s="113"/>
      <c r="T278" s="113"/>
      <c r="U278" s="113"/>
      <c r="V278" s="113"/>
      <c r="W278" s="113"/>
      <c r="X278" s="113"/>
      <c r="Y278" s="113"/>
      <c r="Z278" s="113"/>
      <c r="AA278" s="113"/>
      <c r="AB278" s="113"/>
      <c r="AC278" s="113"/>
      <c r="AD278" s="113"/>
      <c r="AE278" s="113"/>
      <c r="AF278" s="113"/>
      <c r="AG278" s="113"/>
      <c r="AH278" s="113"/>
      <c r="AI278" s="113"/>
      <c r="AJ278" s="113"/>
      <c r="AK278" s="113"/>
      <c r="AL278" s="113"/>
      <c r="AM278" s="113"/>
    </row>
    <row r="279" spans="2:39" hidden="1" outlineLevel="2" x14ac:dyDescent="0.2">
      <c r="D279" s="319">
        <v>2</v>
      </c>
      <c r="E279" s="319">
        <v>3</v>
      </c>
      <c r="F279" s="319">
        <v>4</v>
      </c>
      <c r="G279" s="319">
        <v>5</v>
      </c>
      <c r="H279" s="319">
        <v>6</v>
      </c>
      <c r="I279" s="319">
        <v>7</v>
      </c>
      <c r="J279" s="319"/>
    </row>
    <row r="280" spans="2:39" hidden="1" outlineLevel="2" x14ac:dyDescent="0.2">
      <c r="D280" s="74">
        <f>FirstYear</f>
        <v>2026</v>
      </c>
      <c r="E280" s="74">
        <f>D280+1</f>
        <v>2027</v>
      </c>
      <c r="F280" s="74">
        <f>E280+1</f>
        <v>2028</v>
      </c>
      <c r="G280" s="74">
        <f>F280+1</f>
        <v>2029</v>
      </c>
      <c r="H280" s="74">
        <f>G280+1</f>
        <v>2030</v>
      </c>
      <c r="I280" s="74">
        <f>H280+1</f>
        <v>2031</v>
      </c>
    </row>
    <row r="281" spans="2:39" hidden="1" outlineLevel="2" x14ac:dyDescent="0.2">
      <c r="C281" s="150" t="s">
        <v>119</v>
      </c>
      <c r="D281" s="151">
        <f t="shared" ref="D281:I281" si="190">INDEX(PBSScriptsNew,$B278,D279)</f>
        <v>0</v>
      </c>
      <c r="E281" s="151">
        <f t="shared" si="190"/>
        <v>0</v>
      </c>
      <c r="F281" s="151">
        <f t="shared" si="190"/>
        <v>0</v>
      </c>
      <c r="G281" s="151">
        <f t="shared" si="190"/>
        <v>0</v>
      </c>
      <c r="H281" s="151">
        <f t="shared" si="190"/>
        <v>0</v>
      </c>
      <c r="I281" s="151">
        <f t="shared" si="190"/>
        <v>0</v>
      </c>
      <c r="N281" s="482"/>
    </row>
    <row r="282" spans="2:39" hidden="1" outlineLevel="2" x14ac:dyDescent="0.2">
      <c r="C282" s="150" t="s">
        <v>120</v>
      </c>
      <c r="D282" s="151">
        <f t="shared" ref="D282:I282" si="191">INDEX(RPBSScriptsNew,$B278,D279)</f>
        <v>0</v>
      </c>
      <c r="E282" s="151">
        <f t="shared" si="191"/>
        <v>0</v>
      </c>
      <c r="F282" s="151">
        <f t="shared" si="191"/>
        <v>0</v>
      </c>
      <c r="G282" s="151">
        <f t="shared" si="191"/>
        <v>0</v>
      </c>
      <c r="H282" s="151">
        <f t="shared" si="191"/>
        <v>0</v>
      </c>
      <c r="I282" s="151">
        <f t="shared" si="191"/>
        <v>0</v>
      </c>
    </row>
    <row r="283" spans="2:39" hidden="1" outlineLevel="2" x14ac:dyDescent="0.2">
      <c r="C283" s="139" t="s">
        <v>121</v>
      </c>
      <c r="D283" s="151">
        <f t="shared" ref="D283:I283" si="192">IF(INDEX(SANew,$B278,7)&gt;0,ROUND(D281/INDEX(SANew,$B278,2),0),0)</f>
        <v>0</v>
      </c>
      <c r="E283" s="151">
        <f t="shared" si="192"/>
        <v>0</v>
      </c>
      <c r="F283" s="151">
        <f t="shared" si="192"/>
        <v>0</v>
      </c>
      <c r="G283" s="151">
        <f t="shared" si="192"/>
        <v>0</v>
      </c>
      <c r="H283" s="151">
        <f t="shared" si="192"/>
        <v>0</v>
      </c>
      <c r="I283" s="151">
        <f t="shared" si="192"/>
        <v>0</v>
      </c>
      <c r="L283" s="119"/>
    </row>
    <row r="284" spans="2:39" hidden="1" outlineLevel="2" x14ac:dyDescent="0.2">
      <c r="C284" s="139" t="s">
        <v>122</v>
      </c>
      <c r="D284" s="151">
        <f t="shared" ref="D284:I284" si="193">IF(INDEX(SANew,$B278,7)&gt;0,ROUND(D282/INDEX(SANew,$B278,2),0),0)</f>
        <v>0</v>
      </c>
      <c r="E284" s="151">
        <f t="shared" si="193"/>
        <v>0</v>
      </c>
      <c r="F284" s="151">
        <f t="shared" si="193"/>
        <v>0</v>
      </c>
      <c r="G284" s="151">
        <f t="shared" si="193"/>
        <v>0</v>
      </c>
      <c r="H284" s="151">
        <f t="shared" si="193"/>
        <v>0</v>
      </c>
      <c r="I284" s="151">
        <f t="shared" si="193"/>
        <v>0</v>
      </c>
      <c r="L284" s="119"/>
    </row>
    <row r="285" spans="2:39" hidden="1" outlineLevel="2" x14ac:dyDescent="0.2">
      <c r="C285" s="455"/>
      <c r="D285" s="480"/>
      <c r="E285" s="348"/>
      <c r="F285" s="348"/>
      <c r="G285" s="348"/>
      <c r="H285" s="348"/>
      <c r="I285" s="348"/>
      <c r="J285" s="348"/>
      <c r="K285" s="348"/>
    </row>
    <row r="286" spans="2:39" outlineLevel="1" collapsed="1" x14ac:dyDescent="0.2"/>
    <row r="287" spans="2:39" x14ac:dyDescent="0.2">
      <c r="D287" s="455"/>
      <c r="Q287" s="481"/>
      <c r="R287" s="481"/>
      <c r="S287" s="481"/>
      <c r="T287" s="481"/>
      <c r="U287" s="481"/>
      <c r="V287" s="481"/>
      <c r="W287" s="481"/>
      <c r="X287" s="481"/>
      <c r="Y287" s="481"/>
      <c r="Z287" s="481"/>
      <c r="AA287" s="481"/>
      <c r="AB287" s="481"/>
      <c r="AC287" s="481"/>
      <c r="AD287" s="481"/>
      <c r="AE287" s="481"/>
      <c r="AF287" s="481"/>
      <c r="AG287" s="481"/>
      <c r="AH287" s="481"/>
      <c r="AI287" s="481"/>
      <c r="AJ287" s="481"/>
      <c r="AK287" s="481"/>
      <c r="AL287" s="481"/>
      <c r="AM287" s="481"/>
    </row>
    <row r="288" spans="2:39" ht="15.75" x14ac:dyDescent="0.2">
      <c r="C288" s="111" t="s">
        <v>1116</v>
      </c>
      <c r="D288" s="113"/>
      <c r="E288" s="113"/>
      <c r="F288" s="113"/>
      <c r="G288" s="113"/>
      <c r="H288" s="113"/>
      <c r="I288" s="113"/>
      <c r="J288" s="113"/>
      <c r="K288" s="113"/>
      <c r="L288" s="113"/>
      <c r="M288" s="113"/>
      <c r="N288" s="113"/>
      <c r="O288" s="113"/>
      <c r="P288" s="113"/>
      <c r="Q288" s="113"/>
      <c r="R288" s="113"/>
      <c r="S288" s="113"/>
      <c r="T288" s="113"/>
      <c r="U288" s="113"/>
      <c r="V288" s="113"/>
      <c r="W288" s="113"/>
      <c r="X288" s="113"/>
      <c r="Y288" s="113"/>
      <c r="Z288" s="113"/>
      <c r="AA288" s="113"/>
      <c r="AB288" s="113"/>
      <c r="AC288" s="113"/>
      <c r="AD288" s="113"/>
      <c r="AE288" s="113"/>
      <c r="AF288" s="113"/>
      <c r="AG288" s="113"/>
      <c r="AH288" s="113"/>
      <c r="AI288" s="113"/>
      <c r="AJ288" s="113"/>
      <c r="AK288" s="113"/>
      <c r="AL288" s="113"/>
      <c r="AM288" s="113"/>
    </row>
    <row r="289" spans="3:11" hidden="1" outlineLevel="1" x14ac:dyDescent="0.2"/>
    <row r="290" spans="3:11" hidden="1" outlineLevel="1" x14ac:dyDescent="0.2">
      <c r="C290" t="s">
        <v>1108</v>
      </c>
    </row>
    <row r="291" spans="3:11" hidden="1" outlineLevel="1" x14ac:dyDescent="0.2"/>
    <row r="292" spans="3:11" hidden="1" outlineLevel="1" x14ac:dyDescent="0.2">
      <c r="C292" s="260" t="s">
        <v>119</v>
      </c>
      <c r="D292" s="74">
        <f>FirstYear</f>
        <v>2026</v>
      </c>
      <c r="E292" s="74">
        <f>D292+1</f>
        <v>2027</v>
      </c>
      <c r="F292" s="74">
        <f>E292+1</f>
        <v>2028</v>
      </c>
      <c r="G292" s="74">
        <f>F292+1</f>
        <v>2029</v>
      </c>
      <c r="H292" s="74">
        <f>G292+1</f>
        <v>2030</v>
      </c>
      <c r="I292" s="74">
        <f>H292+1</f>
        <v>2031</v>
      </c>
      <c r="K292" s="477" t="s">
        <v>870</v>
      </c>
    </row>
    <row r="293" spans="3:11" hidden="1" outlineLevel="1" x14ac:dyDescent="0.2">
      <c r="C293" s="81" t="s">
        <v>1084</v>
      </c>
      <c r="D293" s="144">
        <f>SUMIFS(AB$338:AB$357,$L$338:$L$357,$K293)</f>
        <v>0</v>
      </c>
      <c r="E293" s="144">
        <f t="shared" ref="E293:I296" si="194">SUMIFS(AC$338:AC$357,$L$338:$L$357,$K293)</f>
        <v>0</v>
      </c>
      <c r="F293" s="144">
        <f t="shared" si="194"/>
        <v>0</v>
      </c>
      <c r="G293" s="144">
        <f t="shared" si="194"/>
        <v>0</v>
      </c>
      <c r="H293" s="144">
        <f t="shared" si="194"/>
        <v>0</v>
      </c>
      <c r="I293" s="144">
        <f t="shared" si="194"/>
        <v>0</v>
      </c>
      <c r="K293" s="479">
        <f>K14</f>
        <v>0</v>
      </c>
    </row>
    <row r="294" spans="3:11" hidden="1" outlineLevel="1" x14ac:dyDescent="0.2">
      <c r="C294" s="143" t="s">
        <v>1085</v>
      </c>
      <c r="D294" s="144">
        <f t="shared" ref="D294:D296" si="195">SUMIFS(AB$338:AB$357,$L$338:$L$357,$K294)</f>
        <v>0</v>
      </c>
      <c r="E294" s="144">
        <f t="shared" si="194"/>
        <v>0</v>
      </c>
      <c r="F294" s="144">
        <f t="shared" si="194"/>
        <v>0</v>
      </c>
      <c r="G294" s="144">
        <f t="shared" si="194"/>
        <v>0</v>
      </c>
      <c r="H294" s="144">
        <f t="shared" si="194"/>
        <v>0</v>
      </c>
      <c r="I294" s="144">
        <f t="shared" si="194"/>
        <v>0</v>
      </c>
      <c r="K294" s="479">
        <f>K15</f>
        <v>1</v>
      </c>
    </row>
    <row r="295" spans="3:11" hidden="1" outlineLevel="1" x14ac:dyDescent="0.2">
      <c r="C295" s="145" t="s">
        <v>1086</v>
      </c>
      <c r="D295" s="144">
        <f t="shared" si="195"/>
        <v>0</v>
      </c>
      <c r="E295" s="144">
        <f t="shared" si="194"/>
        <v>0</v>
      </c>
      <c r="F295" s="144">
        <f t="shared" si="194"/>
        <v>0</v>
      </c>
      <c r="G295" s="144">
        <f t="shared" si="194"/>
        <v>0</v>
      </c>
      <c r="H295" s="144">
        <f t="shared" si="194"/>
        <v>0</v>
      </c>
      <c r="I295" s="144">
        <f t="shared" si="194"/>
        <v>0</v>
      </c>
      <c r="K295" s="479">
        <f>K16</f>
        <v>2</v>
      </c>
    </row>
    <row r="296" spans="3:11" hidden="1" outlineLevel="1" x14ac:dyDescent="0.2">
      <c r="C296" s="145" t="s">
        <v>1087</v>
      </c>
      <c r="D296" s="144">
        <f t="shared" si="195"/>
        <v>0</v>
      </c>
      <c r="E296" s="144">
        <f t="shared" si="194"/>
        <v>0</v>
      </c>
      <c r="F296" s="144">
        <f t="shared" si="194"/>
        <v>0</v>
      </c>
      <c r="G296" s="144">
        <f t="shared" si="194"/>
        <v>0</v>
      </c>
      <c r="H296" s="144">
        <f t="shared" si="194"/>
        <v>0</v>
      </c>
      <c r="I296" s="144">
        <f t="shared" si="194"/>
        <v>0</v>
      </c>
      <c r="K296" s="479">
        <f>K17</f>
        <v>3</v>
      </c>
    </row>
    <row r="297" spans="3:11" hidden="1" outlineLevel="1" x14ac:dyDescent="0.2">
      <c r="C297" s="76" t="s">
        <v>130</v>
      </c>
      <c r="D297" s="146">
        <f t="shared" ref="D297:I297" si="196">SUM(D293:D296)</f>
        <v>0</v>
      </c>
      <c r="E297" s="146">
        <f t="shared" si="196"/>
        <v>0</v>
      </c>
      <c r="F297" s="146">
        <f t="shared" si="196"/>
        <v>0</v>
      </c>
      <c r="G297" s="146">
        <f t="shared" si="196"/>
        <v>0</v>
      </c>
      <c r="H297" s="146">
        <f t="shared" si="196"/>
        <v>0</v>
      </c>
      <c r="I297" s="146">
        <f t="shared" si="196"/>
        <v>0</v>
      </c>
      <c r="K297" s="121"/>
    </row>
    <row r="298" spans="3:11" hidden="1" outlineLevel="1" x14ac:dyDescent="0.2">
      <c r="K298" s="121"/>
    </row>
    <row r="299" spans="3:11" hidden="1" outlineLevel="1" x14ac:dyDescent="0.2">
      <c r="C299" s="260" t="s">
        <v>120</v>
      </c>
      <c r="K299" s="477" t="s">
        <v>870</v>
      </c>
    </row>
    <row r="300" spans="3:11" hidden="1" outlineLevel="1" x14ac:dyDescent="0.2">
      <c r="C300" s="81" t="s">
        <v>1084</v>
      </c>
      <c r="D300" s="144">
        <f>SUMIFS(AH$338:AH$357,$L$338:$L$357,$K300)</f>
        <v>0</v>
      </c>
      <c r="E300" s="144">
        <f t="shared" ref="E300:I303" si="197">SUMIFS(AI$338:AI$357,$L$338:$L$357,$K300)</f>
        <v>0</v>
      </c>
      <c r="F300" s="144">
        <f t="shared" si="197"/>
        <v>0</v>
      </c>
      <c r="G300" s="144">
        <f t="shared" si="197"/>
        <v>0</v>
      </c>
      <c r="H300" s="144">
        <f t="shared" si="197"/>
        <v>0</v>
      </c>
      <c r="I300" s="144">
        <f t="shared" si="197"/>
        <v>0</v>
      </c>
      <c r="K300" s="479">
        <f>K21</f>
        <v>0</v>
      </c>
    </row>
    <row r="301" spans="3:11" hidden="1" outlineLevel="1" x14ac:dyDescent="0.2">
      <c r="C301" s="143" t="s">
        <v>1085</v>
      </c>
      <c r="D301" s="144">
        <f t="shared" ref="D301:D303" si="198">SUMIFS(AH$338:AH$357,$L$338:$L$357,$K301)</f>
        <v>0</v>
      </c>
      <c r="E301" s="144">
        <f t="shared" si="197"/>
        <v>0</v>
      </c>
      <c r="F301" s="144">
        <f t="shared" si="197"/>
        <v>0</v>
      </c>
      <c r="G301" s="144">
        <f t="shared" si="197"/>
        <v>0</v>
      </c>
      <c r="H301" s="144">
        <f t="shared" si="197"/>
        <v>0</v>
      </c>
      <c r="I301" s="144">
        <f t="shared" si="197"/>
        <v>0</v>
      </c>
      <c r="K301" s="479">
        <f>K22</f>
        <v>1</v>
      </c>
    </row>
    <row r="302" spans="3:11" hidden="1" outlineLevel="1" x14ac:dyDescent="0.2">
      <c r="C302" s="145" t="s">
        <v>1086</v>
      </c>
      <c r="D302" s="144">
        <f t="shared" si="198"/>
        <v>0</v>
      </c>
      <c r="E302" s="144">
        <f t="shared" si="197"/>
        <v>0</v>
      </c>
      <c r="F302" s="144">
        <f t="shared" si="197"/>
        <v>0</v>
      </c>
      <c r="G302" s="144">
        <f t="shared" si="197"/>
        <v>0</v>
      </c>
      <c r="H302" s="144">
        <f t="shared" si="197"/>
        <v>0</v>
      </c>
      <c r="I302" s="144">
        <f t="shared" si="197"/>
        <v>0</v>
      </c>
      <c r="K302" s="479">
        <f>K23</f>
        <v>2</v>
      </c>
    </row>
    <row r="303" spans="3:11" hidden="1" outlineLevel="1" x14ac:dyDescent="0.2">
      <c r="C303" s="145" t="s">
        <v>1087</v>
      </c>
      <c r="D303" s="144">
        <f t="shared" si="198"/>
        <v>0</v>
      </c>
      <c r="E303" s="144">
        <f t="shared" si="197"/>
        <v>0</v>
      </c>
      <c r="F303" s="144">
        <f t="shared" si="197"/>
        <v>0</v>
      </c>
      <c r="G303" s="144">
        <f t="shared" si="197"/>
        <v>0</v>
      </c>
      <c r="H303" s="144">
        <f t="shared" si="197"/>
        <v>0</v>
      </c>
      <c r="I303" s="144">
        <f t="shared" si="197"/>
        <v>0</v>
      </c>
      <c r="K303" s="479">
        <f>K24</f>
        <v>3</v>
      </c>
    </row>
    <row r="304" spans="3:11" hidden="1" outlineLevel="1" x14ac:dyDescent="0.2">
      <c r="C304" s="147" t="s">
        <v>131</v>
      </c>
      <c r="D304" s="146">
        <f t="shared" ref="D304:I304" si="199">SUM(D300:D303)</f>
        <v>0</v>
      </c>
      <c r="E304" s="146">
        <f t="shared" si="199"/>
        <v>0</v>
      </c>
      <c r="F304" s="146">
        <f t="shared" si="199"/>
        <v>0</v>
      </c>
      <c r="G304" s="146">
        <f t="shared" si="199"/>
        <v>0</v>
      </c>
      <c r="H304" s="146">
        <f t="shared" si="199"/>
        <v>0</v>
      </c>
      <c r="I304" s="146">
        <f t="shared" si="199"/>
        <v>0</v>
      </c>
    </row>
    <row r="305" spans="3:39" ht="12.75" hidden="1" customHeight="1" outlineLevel="1" x14ac:dyDescent="0.2"/>
    <row r="306" spans="3:39" hidden="1" outlineLevel="1" x14ac:dyDescent="0.2">
      <c r="C306" s="76" t="s">
        <v>239</v>
      </c>
      <c r="D306" s="146">
        <f t="shared" ref="D306:I306" si="200">D297+D304</f>
        <v>0</v>
      </c>
      <c r="E306" s="146">
        <f t="shared" si="200"/>
        <v>0</v>
      </c>
      <c r="F306" s="146">
        <f t="shared" si="200"/>
        <v>0</v>
      </c>
      <c r="G306" s="146">
        <f t="shared" si="200"/>
        <v>0</v>
      </c>
      <c r="H306" s="146">
        <f t="shared" si="200"/>
        <v>0</v>
      </c>
      <c r="I306" s="146">
        <f t="shared" si="200"/>
        <v>0</v>
      </c>
      <c r="M306" s="476"/>
    </row>
    <row r="307" spans="3:39" hidden="1" outlineLevel="1" x14ac:dyDescent="0.2"/>
    <row r="308" spans="3:39" ht="15.75" hidden="1" outlineLevel="1" x14ac:dyDescent="0.2">
      <c r="C308" s="111" t="s">
        <v>1117</v>
      </c>
      <c r="D308" s="113"/>
      <c r="E308" s="113"/>
      <c r="F308" s="113"/>
      <c r="G308" s="113"/>
      <c r="H308" s="113"/>
      <c r="I308" s="113"/>
      <c r="J308" s="113"/>
      <c r="K308" s="113"/>
      <c r="L308" s="113"/>
      <c r="M308" s="113"/>
      <c r="N308" s="113"/>
      <c r="O308" s="113"/>
      <c r="P308" s="113"/>
      <c r="Q308" s="113"/>
      <c r="R308" s="113"/>
      <c r="S308" s="113"/>
      <c r="T308" s="113"/>
      <c r="U308" s="113"/>
      <c r="V308" s="113"/>
      <c r="W308" s="113"/>
      <c r="X308" s="113"/>
      <c r="Y308" s="113"/>
      <c r="Z308" s="113"/>
      <c r="AA308" s="113"/>
      <c r="AB308" s="113"/>
      <c r="AC308" s="113"/>
      <c r="AD308" s="113"/>
      <c r="AE308" s="113"/>
      <c r="AF308" s="113"/>
      <c r="AG308" s="113"/>
      <c r="AH308" s="113"/>
      <c r="AI308" s="113"/>
      <c r="AJ308" s="113"/>
      <c r="AK308" s="113"/>
      <c r="AL308" s="113"/>
      <c r="AM308" s="113"/>
    </row>
    <row r="309" spans="3:39" hidden="1" outlineLevel="1" x14ac:dyDescent="0.2"/>
    <row r="310" spans="3:39" hidden="1" outlineLevel="1" x14ac:dyDescent="0.2">
      <c r="C310" t="s">
        <v>1109</v>
      </c>
    </row>
    <row r="311" spans="3:39" hidden="1" outlineLevel="1" x14ac:dyDescent="0.2"/>
    <row r="312" spans="3:39" hidden="1" outlineLevel="1" x14ac:dyDescent="0.2">
      <c r="C312" s="260" t="s">
        <v>121</v>
      </c>
      <c r="D312" s="74">
        <f>FirstYear</f>
        <v>2026</v>
      </c>
      <c r="E312" s="74">
        <f>D312+1</f>
        <v>2027</v>
      </c>
      <c r="F312" s="74">
        <f>E312+1</f>
        <v>2028</v>
      </c>
      <c r="G312" s="74">
        <f>F312+1</f>
        <v>2029</v>
      </c>
      <c r="H312" s="74">
        <f>G312+1</f>
        <v>2030</v>
      </c>
      <c r="I312" s="74">
        <f>H312+1</f>
        <v>2031</v>
      </c>
      <c r="K312" s="477" t="s">
        <v>870</v>
      </c>
      <c r="M312" s="480"/>
    </row>
    <row r="313" spans="3:39" hidden="1" outlineLevel="1" x14ac:dyDescent="0.2">
      <c r="C313" s="143" t="s">
        <v>1085</v>
      </c>
      <c r="D313" s="144">
        <f t="shared" ref="D313:I313" si="201">SUMIFS(N$338:N$357,$L$338:$L$357,$K313)</f>
        <v>0</v>
      </c>
      <c r="E313" s="144">
        <f t="shared" si="201"/>
        <v>0</v>
      </c>
      <c r="F313" s="144">
        <f t="shared" si="201"/>
        <v>0</v>
      </c>
      <c r="G313" s="144">
        <f t="shared" si="201"/>
        <v>0</v>
      </c>
      <c r="H313" s="144">
        <f t="shared" si="201"/>
        <v>0</v>
      </c>
      <c r="I313" s="144">
        <f t="shared" si="201"/>
        <v>0</v>
      </c>
      <c r="K313" s="479">
        <f>K34</f>
        <v>1</v>
      </c>
      <c r="M313" s="119"/>
    </row>
    <row r="314" spans="3:39" ht="12.75" hidden="1" customHeight="1" outlineLevel="1" x14ac:dyDescent="0.2">
      <c r="K314" s="121"/>
    </row>
    <row r="315" spans="3:39" hidden="1" outlineLevel="1" x14ac:dyDescent="0.2">
      <c r="C315" s="81" t="s">
        <v>1086</v>
      </c>
      <c r="D315" s="144">
        <f>SUMIFS(N$338:N$357,$L$338:$L$357,$K315)</f>
        <v>0</v>
      </c>
      <c r="E315" s="144">
        <f t="shared" ref="E315:I316" si="202">SUMIFS(O$338:O$357,$L$338:$L$357,$K315)</f>
        <v>0</v>
      </c>
      <c r="F315" s="144">
        <f t="shared" si="202"/>
        <v>0</v>
      </c>
      <c r="G315" s="144">
        <f t="shared" si="202"/>
        <v>0</v>
      </c>
      <c r="H315" s="144">
        <f t="shared" si="202"/>
        <v>0</v>
      </c>
      <c r="I315" s="144">
        <f t="shared" si="202"/>
        <v>0</v>
      </c>
      <c r="K315" s="479">
        <f>K36</f>
        <v>2</v>
      </c>
      <c r="M315" s="119"/>
    </row>
    <row r="316" spans="3:39" hidden="1" outlineLevel="1" x14ac:dyDescent="0.2">
      <c r="C316" s="145" t="s">
        <v>1087</v>
      </c>
      <c r="D316" s="144">
        <f>SUMIFS(N$338:N$357,$L$338:$L$357,$K316)</f>
        <v>0</v>
      </c>
      <c r="E316" s="144">
        <f t="shared" si="202"/>
        <v>0</v>
      </c>
      <c r="F316" s="144">
        <f t="shared" si="202"/>
        <v>0</v>
      </c>
      <c r="G316" s="144">
        <f t="shared" si="202"/>
        <v>0</v>
      </c>
      <c r="H316" s="144">
        <f t="shared" si="202"/>
        <v>0</v>
      </c>
      <c r="I316" s="144">
        <f t="shared" si="202"/>
        <v>0</v>
      </c>
      <c r="K316" s="479">
        <f>K37</f>
        <v>3</v>
      </c>
      <c r="M316" s="119"/>
    </row>
    <row r="317" spans="3:39" hidden="1" outlineLevel="1" x14ac:dyDescent="0.2">
      <c r="C317" s="147" t="s">
        <v>121</v>
      </c>
      <c r="D317" s="146">
        <f t="shared" ref="D317:I317" si="203">SUM(D315:D316)</f>
        <v>0</v>
      </c>
      <c r="E317" s="146">
        <f t="shared" si="203"/>
        <v>0</v>
      </c>
      <c r="F317" s="146">
        <f t="shared" si="203"/>
        <v>0</v>
      </c>
      <c r="G317" s="146">
        <f t="shared" si="203"/>
        <v>0</v>
      </c>
      <c r="H317" s="146">
        <f t="shared" si="203"/>
        <v>0</v>
      </c>
      <c r="I317" s="146">
        <f t="shared" si="203"/>
        <v>0</v>
      </c>
      <c r="K317" s="121"/>
    </row>
    <row r="318" spans="3:39" ht="12.75" hidden="1" customHeight="1" outlineLevel="1" x14ac:dyDescent="0.2">
      <c r="K318" s="121"/>
    </row>
    <row r="319" spans="3:39" hidden="1" outlineLevel="1" x14ac:dyDescent="0.2">
      <c r="C319" s="81" t="s">
        <v>1088</v>
      </c>
      <c r="D319" s="144">
        <f>SUMIFS(N$338:N$357,$M$338:$M$357,$K319)</f>
        <v>0</v>
      </c>
      <c r="E319" s="144">
        <f t="shared" ref="E319:I320" si="204">SUMIFS(O$338:O$357,$M$338:$M$357,$K319)</f>
        <v>0</v>
      </c>
      <c r="F319" s="144">
        <f t="shared" si="204"/>
        <v>0</v>
      </c>
      <c r="G319" s="144">
        <f t="shared" si="204"/>
        <v>0</v>
      </c>
      <c r="H319" s="144">
        <f t="shared" si="204"/>
        <v>0</v>
      </c>
      <c r="I319" s="144">
        <f t="shared" si="204"/>
        <v>0</v>
      </c>
      <c r="K319" s="479">
        <f>K40</f>
        <v>2</v>
      </c>
      <c r="M319" s="119"/>
    </row>
    <row r="320" spans="3:39" hidden="1" outlineLevel="1" x14ac:dyDescent="0.2">
      <c r="C320" s="81" t="s">
        <v>1089</v>
      </c>
      <c r="D320" s="144">
        <f>SUMIFS(N$338:N$357,$M$338:$M$357,$K320)</f>
        <v>0</v>
      </c>
      <c r="E320" s="144">
        <f t="shared" si="204"/>
        <v>0</v>
      </c>
      <c r="F320" s="144">
        <f t="shared" si="204"/>
        <v>0</v>
      </c>
      <c r="G320" s="144">
        <f t="shared" si="204"/>
        <v>0</v>
      </c>
      <c r="H320" s="144">
        <f t="shared" si="204"/>
        <v>0</v>
      </c>
      <c r="I320" s="144">
        <f t="shared" si="204"/>
        <v>0</v>
      </c>
      <c r="K320" s="479">
        <f>K41</f>
        <v>3</v>
      </c>
      <c r="M320" s="476"/>
    </row>
    <row r="321" spans="3:39" hidden="1" outlineLevel="1" x14ac:dyDescent="0.2">
      <c r="K321" s="121"/>
    </row>
    <row r="322" spans="3:39" hidden="1" outlineLevel="1" x14ac:dyDescent="0.2">
      <c r="C322" s="260" t="s">
        <v>122</v>
      </c>
      <c r="K322" s="477" t="s">
        <v>870</v>
      </c>
    </row>
    <row r="323" spans="3:39" hidden="1" outlineLevel="1" x14ac:dyDescent="0.2">
      <c r="C323" s="143" t="s">
        <v>1085</v>
      </c>
      <c r="D323" s="144">
        <f t="shared" ref="D323:I323" si="205">SUMIFS(T$338:T$357,$L$338:$L$357,$K323)</f>
        <v>0</v>
      </c>
      <c r="E323" s="144">
        <f t="shared" si="205"/>
        <v>0</v>
      </c>
      <c r="F323" s="144">
        <f t="shared" si="205"/>
        <v>0</v>
      </c>
      <c r="G323" s="144">
        <f t="shared" si="205"/>
        <v>0</v>
      </c>
      <c r="H323" s="144">
        <f t="shared" si="205"/>
        <v>0</v>
      </c>
      <c r="I323" s="144">
        <f t="shared" si="205"/>
        <v>0</v>
      </c>
      <c r="K323" s="479">
        <f>K44</f>
        <v>1</v>
      </c>
      <c r="M323" s="119"/>
    </row>
    <row r="324" spans="3:39" ht="12.75" hidden="1" customHeight="1" outlineLevel="1" x14ac:dyDescent="0.2">
      <c r="K324" s="121"/>
    </row>
    <row r="325" spans="3:39" hidden="1" outlineLevel="1" x14ac:dyDescent="0.2">
      <c r="C325" s="81" t="s">
        <v>1086</v>
      </c>
      <c r="D325" s="144">
        <f>SUMIFS(T$338:T$357,$L$338:$L$357,$K325)</f>
        <v>0</v>
      </c>
      <c r="E325" s="144">
        <f t="shared" ref="E325:I326" si="206">SUMIFS(U$338:U$357,$L$338:$L$357,$K325)</f>
        <v>0</v>
      </c>
      <c r="F325" s="144">
        <f t="shared" si="206"/>
        <v>0</v>
      </c>
      <c r="G325" s="144">
        <f t="shared" si="206"/>
        <v>0</v>
      </c>
      <c r="H325" s="144">
        <f t="shared" si="206"/>
        <v>0</v>
      </c>
      <c r="I325" s="144">
        <f t="shared" si="206"/>
        <v>0</v>
      </c>
      <c r="K325" s="479">
        <f>K46</f>
        <v>2</v>
      </c>
      <c r="M325" s="119"/>
    </row>
    <row r="326" spans="3:39" hidden="1" outlineLevel="1" x14ac:dyDescent="0.2">
      <c r="C326" s="145" t="s">
        <v>1087</v>
      </c>
      <c r="D326" s="144">
        <f>SUMIFS(T$338:T$357,$L$338:$L$357,$K326)</f>
        <v>0</v>
      </c>
      <c r="E326" s="144">
        <f t="shared" si="206"/>
        <v>0</v>
      </c>
      <c r="F326" s="144">
        <f t="shared" si="206"/>
        <v>0</v>
      </c>
      <c r="G326" s="144">
        <f t="shared" si="206"/>
        <v>0</v>
      </c>
      <c r="H326" s="144">
        <f t="shared" si="206"/>
        <v>0</v>
      </c>
      <c r="I326" s="144">
        <f t="shared" si="206"/>
        <v>0</v>
      </c>
      <c r="K326" s="479">
        <f>K47</f>
        <v>3</v>
      </c>
      <c r="M326" s="119"/>
    </row>
    <row r="327" spans="3:39" hidden="1" outlineLevel="1" x14ac:dyDescent="0.2">
      <c r="C327" s="147" t="s">
        <v>122</v>
      </c>
      <c r="D327" s="146">
        <f t="shared" ref="D327:I327" si="207">SUM(D325:D326)</f>
        <v>0</v>
      </c>
      <c r="E327" s="146">
        <f t="shared" si="207"/>
        <v>0</v>
      </c>
      <c r="F327" s="146">
        <f t="shared" si="207"/>
        <v>0</v>
      </c>
      <c r="G327" s="146">
        <f t="shared" si="207"/>
        <v>0</v>
      </c>
      <c r="H327" s="146">
        <f t="shared" si="207"/>
        <v>0</v>
      </c>
      <c r="I327" s="146">
        <f t="shared" si="207"/>
        <v>0</v>
      </c>
      <c r="K327" s="121"/>
    </row>
    <row r="328" spans="3:39" hidden="1" outlineLevel="1" x14ac:dyDescent="0.2">
      <c r="K328" s="121"/>
    </row>
    <row r="329" spans="3:39" hidden="1" outlineLevel="1" x14ac:dyDescent="0.2">
      <c r="C329" s="81" t="s">
        <v>1088</v>
      </c>
      <c r="D329" s="144">
        <f>SUMIFS(T$338:T$357,$M$338:$M$357,$K329)</f>
        <v>0</v>
      </c>
      <c r="E329" s="144">
        <f t="shared" ref="E329:I330" si="208">SUMIFS(U$338:U$357,$M$338:$M$357,$K329)</f>
        <v>0</v>
      </c>
      <c r="F329" s="144">
        <f t="shared" si="208"/>
        <v>0</v>
      </c>
      <c r="G329" s="144">
        <f t="shared" si="208"/>
        <v>0</v>
      </c>
      <c r="H329" s="144">
        <f t="shared" si="208"/>
        <v>0</v>
      </c>
      <c r="I329" s="144">
        <f t="shared" si="208"/>
        <v>0</v>
      </c>
      <c r="K329" s="479">
        <f>K50</f>
        <v>2</v>
      </c>
      <c r="M329" s="119"/>
    </row>
    <row r="330" spans="3:39" hidden="1" outlineLevel="1" x14ac:dyDescent="0.2">
      <c r="C330" s="81" t="s">
        <v>1089</v>
      </c>
      <c r="D330" s="144">
        <f>SUMIFS(T$338:T$357,$M$338:$M$357,$K330)</f>
        <v>0</v>
      </c>
      <c r="E330" s="144">
        <f t="shared" si="208"/>
        <v>0</v>
      </c>
      <c r="F330" s="144">
        <f t="shared" si="208"/>
        <v>0</v>
      </c>
      <c r="G330" s="144">
        <f t="shared" si="208"/>
        <v>0</v>
      </c>
      <c r="H330" s="144">
        <f t="shared" si="208"/>
        <v>0</v>
      </c>
      <c r="I330" s="144">
        <f t="shared" si="208"/>
        <v>0</v>
      </c>
      <c r="K330" s="479">
        <f>K51</f>
        <v>3</v>
      </c>
      <c r="M330" s="119"/>
    </row>
    <row r="331" spans="3:39" hidden="1" outlineLevel="1" x14ac:dyDescent="0.2">
      <c r="M331" s="476"/>
    </row>
    <row r="332" spans="3:39" collapsed="1" x14ac:dyDescent="0.2">
      <c r="C332" s="450"/>
      <c r="D332" s="481"/>
      <c r="E332" s="481"/>
      <c r="F332" s="481"/>
      <c r="G332" s="481"/>
      <c r="H332" s="481"/>
      <c r="I332" s="481"/>
      <c r="J332" s="481"/>
      <c r="M332" s="476"/>
    </row>
    <row r="333" spans="3:39" ht="15.75" x14ac:dyDescent="0.2">
      <c r="C333" s="111" t="s">
        <v>1118</v>
      </c>
      <c r="D333" s="113"/>
      <c r="E333" s="113"/>
      <c r="F333" s="113"/>
      <c r="G333" s="113"/>
      <c r="H333" s="113"/>
      <c r="I333" s="113"/>
      <c r="J333" s="113"/>
      <c r="K333" s="113"/>
      <c r="L333" s="113"/>
      <c r="M333" s="113"/>
      <c r="N333" s="113"/>
      <c r="O333" s="113"/>
      <c r="P333" s="113"/>
      <c r="Q333" s="113"/>
      <c r="R333" s="113"/>
      <c r="S333" s="113"/>
      <c r="T333" s="113"/>
      <c r="U333" s="113"/>
      <c r="V333" s="113"/>
      <c r="W333" s="113"/>
      <c r="X333" s="113"/>
      <c r="Y333" s="113"/>
      <c r="Z333" s="113"/>
      <c r="AA333" s="113"/>
      <c r="AB333" s="113"/>
      <c r="AC333" s="113"/>
      <c r="AD333" s="113"/>
      <c r="AE333" s="113"/>
      <c r="AF333" s="113"/>
      <c r="AG333" s="113"/>
      <c r="AH333" s="113"/>
      <c r="AI333" s="113"/>
      <c r="AJ333" s="113"/>
      <c r="AK333" s="113"/>
      <c r="AL333" s="113"/>
      <c r="AM333" s="113"/>
    </row>
    <row r="334" spans="3:39" outlineLevel="2" x14ac:dyDescent="0.2"/>
    <row r="335" spans="3:39" outlineLevel="2" x14ac:dyDescent="0.2">
      <c r="C335" t="s">
        <v>610</v>
      </c>
      <c r="N335" s="602" t="s">
        <v>132</v>
      </c>
      <c r="O335" s="602"/>
      <c r="P335" s="602"/>
      <c r="Q335" s="602"/>
      <c r="R335" s="602"/>
      <c r="S335" s="602"/>
      <c r="T335" s="602"/>
      <c r="U335" s="602"/>
      <c r="V335" s="602"/>
      <c r="W335" s="602"/>
      <c r="X335" s="602"/>
      <c r="Y335" s="602"/>
      <c r="AB335" s="602" t="s">
        <v>238</v>
      </c>
      <c r="AC335" s="602"/>
      <c r="AD335" s="602"/>
      <c r="AE335" s="602"/>
      <c r="AF335" s="602"/>
      <c r="AG335" s="602"/>
      <c r="AH335" s="602"/>
      <c r="AI335" s="602"/>
      <c r="AJ335" s="602"/>
      <c r="AK335" s="602"/>
      <c r="AL335" s="602"/>
      <c r="AM335" s="602"/>
    </row>
    <row r="336" spans="3:39" outlineLevel="2" x14ac:dyDescent="0.2">
      <c r="C336" s="260"/>
      <c r="N336" s="602" t="s">
        <v>0</v>
      </c>
      <c r="O336" s="602"/>
      <c r="P336" s="602"/>
      <c r="Q336" s="602"/>
      <c r="R336" s="602"/>
      <c r="S336" s="602"/>
      <c r="T336" s="639" t="s">
        <v>1</v>
      </c>
      <c r="U336" s="639"/>
      <c r="V336" s="639"/>
      <c r="W336" s="639"/>
      <c r="X336" s="639"/>
      <c r="Y336" s="639"/>
      <c r="AB336" s="602" t="s">
        <v>0</v>
      </c>
      <c r="AC336" s="602"/>
      <c r="AD336" s="602"/>
      <c r="AE336" s="602"/>
      <c r="AF336" s="602"/>
      <c r="AG336" s="602"/>
      <c r="AH336" s="639" t="s">
        <v>1</v>
      </c>
      <c r="AI336" s="639"/>
      <c r="AJ336" s="639"/>
      <c r="AK336" s="639"/>
      <c r="AL336" s="639"/>
      <c r="AM336" s="639"/>
    </row>
    <row r="337" spans="2:39" ht="25.5" outlineLevel="2" x14ac:dyDescent="0.2">
      <c r="C337" s="641" t="s">
        <v>82</v>
      </c>
      <c r="D337" s="642" t="s">
        <v>107</v>
      </c>
      <c r="E337" s="643"/>
      <c r="F337" s="5" t="s">
        <v>420</v>
      </c>
      <c r="G337" s="5" t="s">
        <v>123</v>
      </c>
      <c r="H337" s="5" t="s">
        <v>118</v>
      </c>
      <c r="I337" s="5" t="s">
        <v>687</v>
      </c>
      <c r="J337" s="5" t="s">
        <v>241</v>
      </c>
      <c r="K337" s="5" t="s">
        <v>269</v>
      </c>
      <c r="L337" s="5" t="s">
        <v>268</v>
      </c>
      <c r="M337" s="5" t="s">
        <v>687</v>
      </c>
      <c r="N337" s="74">
        <f>FirstYear</f>
        <v>2026</v>
      </c>
      <c r="O337" s="74">
        <f>N337+1</f>
        <v>2027</v>
      </c>
      <c r="P337" s="74">
        <f>O337+1</f>
        <v>2028</v>
      </c>
      <c r="Q337" s="74">
        <f>P337+1</f>
        <v>2029</v>
      </c>
      <c r="R337" s="74">
        <f>Q337+1</f>
        <v>2030</v>
      </c>
      <c r="S337" s="74">
        <f>R337+1</f>
        <v>2031</v>
      </c>
      <c r="T337" s="74">
        <f>FirstYear</f>
        <v>2026</v>
      </c>
      <c r="U337" s="74">
        <f>T337+1</f>
        <v>2027</v>
      </c>
      <c r="V337" s="74">
        <f>U337+1</f>
        <v>2028</v>
      </c>
      <c r="W337" s="74">
        <f>V337+1</f>
        <v>2029</v>
      </c>
      <c r="X337" s="74">
        <f>W337+1</f>
        <v>2030</v>
      </c>
      <c r="Y337" s="74">
        <f>X337+1</f>
        <v>2031</v>
      </c>
      <c r="AB337" s="74">
        <f>FirstYear</f>
        <v>2026</v>
      </c>
      <c r="AC337" s="74">
        <f>AB337+1</f>
        <v>2027</v>
      </c>
      <c r="AD337" s="74">
        <f>AC337+1</f>
        <v>2028</v>
      </c>
      <c r="AE337" s="74">
        <f>AD337+1</f>
        <v>2029</v>
      </c>
      <c r="AF337" s="74">
        <f>AE337+1</f>
        <v>2030</v>
      </c>
      <c r="AG337" s="74">
        <f>AF337+1</f>
        <v>2031</v>
      </c>
      <c r="AH337" s="74">
        <f>FirstYear</f>
        <v>2026</v>
      </c>
      <c r="AI337" s="74">
        <f>AH337+1</f>
        <v>2027</v>
      </c>
      <c r="AJ337" s="74">
        <f>AI337+1</f>
        <v>2028</v>
      </c>
      <c r="AK337" s="74">
        <f>AJ337+1</f>
        <v>2029</v>
      </c>
      <c r="AL337" s="74">
        <f>AK337+1</f>
        <v>2030</v>
      </c>
      <c r="AM337" s="74">
        <f>AL337+1</f>
        <v>2031</v>
      </c>
    </row>
    <row r="338" spans="2:39" outlineLevel="2" x14ac:dyDescent="0.2">
      <c r="B338" s="249">
        <v>1</v>
      </c>
      <c r="C338" s="644" t="str">
        <f t="shared" ref="C338:C357" si="209">INDEX(PBSScriptsChanged,B338,1)</f>
        <v>** NOT USED **</v>
      </c>
      <c r="D338" s="645" t="e">
        <f>IF(C338&lt;&gt;"",#REF!,"")</f>
        <v>#REF!</v>
      </c>
      <c r="E338" s="646"/>
      <c r="F338" s="42"/>
      <c r="G338" s="57" t="str">
        <f>IF(F338&lt;&gt;"",F338+1,"")</f>
        <v/>
      </c>
      <c r="H338" s="138"/>
      <c r="I338" s="138"/>
      <c r="J338" s="138"/>
      <c r="K338" s="207">
        <f t="shared" ref="K338:K357" si="210">IF(J338="Yes",G338,1)</f>
        <v>1</v>
      </c>
      <c r="L338" s="207">
        <f t="shared" ref="L338:L357" si="211">IF(AND(G338&lt;&gt;"",H338&lt;&gt;""),VLOOKUP(H338,AuthorityCode,2,FALSE),0)</f>
        <v>0</v>
      </c>
      <c r="M338" s="207">
        <f t="shared" ref="M338:M357" si="212">IF(I338="Yes",L338,0)</f>
        <v>0</v>
      </c>
      <c r="N338" s="214">
        <f t="shared" ref="N338:S338" si="213">D365</f>
        <v>0</v>
      </c>
      <c r="O338" s="214">
        <f t="shared" si="213"/>
        <v>0</v>
      </c>
      <c r="P338" s="214">
        <f t="shared" si="213"/>
        <v>0</v>
      </c>
      <c r="Q338" s="214">
        <f t="shared" si="213"/>
        <v>0</v>
      </c>
      <c r="R338" s="214">
        <f t="shared" si="213"/>
        <v>0</v>
      </c>
      <c r="S338" s="214">
        <f t="shared" si="213"/>
        <v>0</v>
      </c>
      <c r="T338" s="259">
        <f t="shared" ref="T338:Y338" si="214">D366</f>
        <v>0</v>
      </c>
      <c r="U338" s="259">
        <f t="shared" si="214"/>
        <v>0</v>
      </c>
      <c r="V338" s="259">
        <f t="shared" si="214"/>
        <v>0</v>
      </c>
      <c r="W338" s="259">
        <f t="shared" si="214"/>
        <v>0</v>
      </c>
      <c r="X338" s="259">
        <f t="shared" si="214"/>
        <v>0</v>
      </c>
      <c r="Y338" s="259">
        <f t="shared" si="214"/>
        <v>0</v>
      </c>
      <c r="AB338" s="214">
        <f t="shared" ref="AB338:AG338" si="215">D363</f>
        <v>0</v>
      </c>
      <c r="AC338" s="214">
        <f t="shared" si="215"/>
        <v>0</v>
      </c>
      <c r="AD338" s="214">
        <f t="shared" si="215"/>
        <v>0</v>
      </c>
      <c r="AE338" s="214">
        <f t="shared" si="215"/>
        <v>0</v>
      </c>
      <c r="AF338" s="214">
        <f t="shared" si="215"/>
        <v>0</v>
      </c>
      <c r="AG338" s="214">
        <f t="shared" si="215"/>
        <v>0</v>
      </c>
      <c r="AH338" s="259">
        <f t="shared" ref="AH338:AM338" si="216">D364</f>
        <v>0</v>
      </c>
      <c r="AI338" s="259">
        <f t="shared" si="216"/>
        <v>0</v>
      </c>
      <c r="AJ338" s="259">
        <f t="shared" si="216"/>
        <v>0</v>
      </c>
      <c r="AK338" s="259">
        <f t="shared" si="216"/>
        <v>0</v>
      </c>
      <c r="AL338" s="259">
        <f t="shared" si="216"/>
        <v>0</v>
      </c>
      <c r="AM338" s="259">
        <f t="shared" si="216"/>
        <v>0</v>
      </c>
    </row>
    <row r="339" spans="2:39" outlineLevel="2" x14ac:dyDescent="0.2">
      <c r="B339" s="249">
        <v>2</v>
      </c>
      <c r="C339" s="644" t="str">
        <f t="shared" si="209"/>
        <v>** NOT USED **</v>
      </c>
      <c r="D339" s="645" t="e">
        <f>IF(C339&lt;&gt;"",#REF!,"")</f>
        <v>#REF!</v>
      </c>
      <c r="E339" s="646"/>
      <c r="F339" s="42"/>
      <c r="G339" s="57" t="str">
        <f t="shared" ref="G339:G347" si="217">IF(F339&lt;&gt;"",F339+1,"")</f>
        <v/>
      </c>
      <c r="H339" s="138"/>
      <c r="I339" s="138"/>
      <c r="J339" s="138"/>
      <c r="K339" s="207">
        <f t="shared" si="210"/>
        <v>1</v>
      </c>
      <c r="L339" s="207">
        <f t="shared" si="211"/>
        <v>0</v>
      </c>
      <c r="M339" s="207">
        <f t="shared" si="212"/>
        <v>0</v>
      </c>
      <c r="N339" s="214">
        <f t="shared" ref="N339:S339" si="218">D373</f>
        <v>0</v>
      </c>
      <c r="O339" s="214">
        <f t="shared" si="218"/>
        <v>0</v>
      </c>
      <c r="P339" s="214">
        <f t="shared" si="218"/>
        <v>0</v>
      </c>
      <c r="Q339" s="214">
        <f t="shared" si="218"/>
        <v>0</v>
      </c>
      <c r="R339" s="214">
        <f t="shared" si="218"/>
        <v>0</v>
      </c>
      <c r="S339" s="214">
        <f t="shared" si="218"/>
        <v>0</v>
      </c>
      <c r="T339" s="259">
        <f t="shared" ref="T339:Y339" si="219">D374</f>
        <v>0</v>
      </c>
      <c r="U339" s="259">
        <f t="shared" si="219"/>
        <v>0</v>
      </c>
      <c r="V339" s="259">
        <f t="shared" si="219"/>
        <v>0</v>
      </c>
      <c r="W339" s="259">
        <f t="shared" si="219"/>
        <v>0</v>
      </c>
      <c r="X339" s="259">
        <f t="shared" si="219"/>
        <v>0</v>
      </c>
      <c r="Y339" s="259">
        <f t="shared" si="219"/>
        <v>0</v>
      </c>
      <c r="AB339" s="214">
        <f t="shared" ref="AB339:AG339" si="220">D371</f>
        <v>0</v>
      </c>
      <c r="AC339" s="214">
        <f t="shared" si="220"/>
        <v>0</v>
      </c>
      <c r="AD339" s="214">
        <f t="shared" si="220"/>
        <v>0</v>
      </c>
      <c r="AE339" s="214">
        <f t="shared" si="220"/>
        <v>0</v>
      </c>
      <c r="AF339" s="214">
        <f t="shared" si="220"/>
        <v>0</v>
      </c>
      <c r="AG339" s="214">
        <f t="shared" si="220"/>
        <v>0</v>
      </c>
      <c r="AH339" s="259">
        <f t="shared" ref="AH339:AM339" si="221">D372</f>
        <v>0</v>
      </c>
      <c r="AI339" s="259">
        <f t="shared" si="221"/>
        <v>0</v>
      </c>
      <c r="AJ339" s="259">
        <f t="shared" si="221"/>
        <v>0</v>
      </c>
      <c r="AK339" s="259">
        <f t="shared" si="221"/>
        <v>0</v>
      </c>
      <c r="AL339" s="259">
        <f t="shared" si="221"/>
        <v>0</v>
      </c>
      <c r="AM339" s="259">
        <f t="shared" si="221"/>
        <v>0</v>
      </c>
    </row>
    <row r="340" spans="2:39" outlineLevel="2" x14ac:dyDescent="0.2">
      <c r="B340" s="249">
        <v>3</v>
      </c>
      <c r="C340" s="644" t="str">
        <f t="shared" si="209"/>
        <v>** NOT USED **</v>
      </c>
      <c r="D340" s="645" t="e">
        <f>IF(C340&lt;&gt;"",#REF!,"")</f>
        <v>#REF!</v>
      </c>
      <c r="E340" s="646"/>
      <c r="F340" s="42"/>
      <c r="G340" s="57" t="str">
        <f t="shared" si="217"/>
        <v/>
      </c>
      <c r="H340" s="138"/>
      <c r="I340" s="138"/>
      <c r="J340" s="138"/>
      <c r="K340" s="207">
        <f t="shared" si="210"/>
        <v>1</v>
      </c>
      <c r="L340" s="207">
        <f t="shared" si="211"/>
        <v>0</v>
      </c>
      <c r="M340" s="207">
        <f t="shared" si="212"/>
        <v>0</v>
      </c>
      <c r="N340" s="214">
        <f t="shared" ref="N340:S340" si="222">D381</f>
        <v>0</v>
      </c>
      <c r="O340" s="214">
        <f t="shared" si="222"/>
        <v>0</v>
      </c>
      <c r="P340" s="214">
        <f t="shared" si="222"/>
        <v>0</v>
      </c>
      <c r="Q340" s="214">
        <f t="shared" si="222"/>
        <v>0</v>
      </c>
      <c r="R340" s="214">
        <f t="shared" si="222"/>
        <v>0</v>
      </c>
      <c r="S340" s="214">
        <f t="shared" si="222"/>
        <v>0</v>
      </c>
      <c r="T340" s="259">
        <f t="shared" ref="T340:Y340" si="223">D382</f>
        <v>0</v>
      </c>
      <c r="U340" s="259">
        <f t="shared" si="223"/>
        <v>0</v>
      </c>
      <c r="V340" s="259">
        <f t="shared" si="223"/>
        <v>0</v>
      </c>
      <c r="W340" s="259">
        <f t="shared" si="223"/>
        <v>0</v>
      </c>
      <c r="X340" s="259">
        <f t="shared" si="223"/>
        <v>0</v>
      </c>
      <c r="Y340" s="259">
        <f t="shared" si="223"/>
        <v>0</v>
      </c>
      <c r="AB340" s="214">
        <f t="shared" ref="AB340:AG340" si="224">D379</f>
        <v>0</v>
      </c>
      <c r="AC340" s="214">
        <f t="shared" si="224"/>
        <v>0</v>
      </c>
      <c r="AD340" s="214">
        <f t="shared" si="224"/>
        <v>0</v>
      </c>
      <c r="AE340" s="214">
        <f t="shared" si="224"/>
        <v>0</v>
      </c>
      <c r="AF340" s="214">
        <f t="shared" si="224"/>
        <v>0</v>
      </c>
      <c r="AG340" s="214">
        <f t="shared" si="224"/>
        <v>0</v>
      </c>
      <c r="AH340" s="259">
        <f t="shared" ref="AH340:AM340" si="225">D380</f>
        <v>0</v>
      </c>
      <c r="AI340" s="259">
        <f t="shared" si="225"/>
        <v>0</v>
      </c>
      <c r="AJ340" s="259">
        <f t="shared" si="225"/>
        <v>0</v>
      </c>
      <c r="AK340" s="259">
        <f t="shared" si="225"/>
        <v>0</v>
      </c>
      <c r="AL340" s="259">
        <f t="shared" si="225"/>
        <v>0</v>
      </c>
      <c r="AM340" s="259">
        <f t="shared" si="225"/>
        <v>0</v>
      </c>
    </row>
    <row r="341" spans="2:39" outlineLevel="2" x14ac:dyDescent="0.2">
      <c r="B341" s="249">
        <v>4</v>
      </c>
      <c r="C341" s="644" t="str">
        <f t="shared" si="209"/>
        <v>** NOT USED **</v>
      </c>
      <c r="D341" s="645" t="e">
        <f>IF(C341&lt;&gt;"",#REF!,"")</f>
        <v>#REF!</v>
      </c>
      <c r="E341" s="646"/>
      <c r="F341" s="42"/>
      <c r="G341" s="57" t="str">
        <f t="shared" si="217"/>
        <v/>
      </c>
      <c r="H341" s="138"/>
      <c r="I341" s="138"/>
      <c r="J341" s="138"/>
      <c r="K341" s="207">
        <f t="shared" si="210"/>
        <v>1</v>
      </c>
      <c r="L341" s="207">
        <f t="shared" si="211"/>
        <v>0</v>
      </c>
      <c r="M341" s="207">
        <f t="shared" si="212"/>
        <v>0</v>
      </c>
      <c r="N341" s="214">
        <f t="shared" ref="N341:S341" si="226">D389</f>
        <v>0</v>
      </c>
      <c r="O341" s="214">
        <f t="shared" si="226"/>
        <v>0</v>
      </c>
      <c r="P341" s="214">
        <f t="shared" si="226"/>
        <v>0</v>
      </c>
      <c r="Q341" s="214">
        <f t="shared" si="226"/>
        <v>0</v>
      </c>
      <c r="R341" s="214">
        <f t="shared" si="226"/>
        <v>0</v>
      </c>
      <c r="S341" s="214">
        <f t="shared" si="226"/>
        <v>0</v>
      </c>
      <c r="T341" s="259">
        <f t="shared" ref="T341:Y341" si="227">D390</f>
        <v>0</v>
      </c>
      <c r="U341" s="259">
        <f t="shared" si="227"/>
        <v>0</v>
      </c>
      <c r="V341" s="259">
        <f t="shared" si="227"/>
        <v>0</v>
      </c>
      <c r="W341" s="259">
        <f t="shared" si="227"/>
        <v>0</v>
      </c>
      <c r="X341" s="259">
        <f t="shared" si="227"/>
        <v>0</v>
      </c>
      <c r="Y341" s="259">
        <f t="shared" si="227"/>
        <v>0</v>
      </c>
      <c r="AB341" s="214">
        <f t="shared" ref="AB341:AG341" si="228">D387</f>
        <v>0</v>
      </c>
      <c r="AC341" s="214">
        <f t="shared" si="228"/>
        <v>0</v>
      </c>
      <c r="AD341" s="214">
        <f t="shared" si="228"/>
        <v>0</v>
      </c>
      <c r="AE341" s="214">
        <f t="shared" si="228"/>
        <v>0</v>
      </c>
      <c r="AF341" s="214">
        <f t="shared" si="228"/>
        <v>0</v>
      </c>
      <c r="AG341" s="214">
        <f t="shared" si="228"/>
        <v>0</v>
      </c>
      <c r="AH341" s="259">
        <f t="shared" ref="AH341:AM341" si="229">D388</f>
        <v>0</v>
      </c>
      <c r="AI341" s="259">
        <f t="shared" si="229"/>
        <v>0</v>
      </c>
      <c r="AJ341" s="259">
        <f t="shared" si="229"/>
        <v>0</v>
      </c>
      <c r="AK341" s="259">
        <f t="shared" si="229"/>
        <v>0</v>
      </c>
      <c r="AL341" s="259">
        <f t="shared" si="229"/>
        <v>0</v>
      </c>
      <c r="AM341" s="259">
        <f t="shared" si="229"/>
        <v>0</v>
      </c>
    </row>
    <row r="342" spans="2:39" outlineLevel="2" x14ac:dyDescent="0.2">
      <c r="B342" s="249">
        <v>5</v>
      </c>
      <c r="C342" s="644" t="str">
        <f t="shared" si="209"/>
        <v>** NOT USED **</v>
      </c>
      <c r="D342" s="645" t="e">
        <f>IF(C342&lt;&gt;"",#REF!,"")</f>
        <v>#REF!</v>
      </c>
      <c r="E342" s="646"/>
      <c r="F342" s="42"/>
      <c r="G342" s="57" t="str">
        <f t="shared" si="217"/>
        <v/>
      </c>
      <c r="H342" s="138"/>
      <c r="I342" s="138"/>
      <c r="J342" s="138"/>
      <c r="K342" s="207">
        <f t="shared" si="210"/>
        <v>1</v>
      </c>
      <c r="L342" s="207">
        <f t="shared" si="211"/>
        <v>0</v>
      </c>
      <c r="M342" s="207">
        <f t="shared" si="212"/>
        <v>0</v>
      </c>
      <c r="N342" s="214">
        <f t="shared" ref="N342:S342" si="230">D397</f>
        <v>0</v>
      </c>
      <c r="O342" s="214">
        <f t="shared" si="230"/>
        <v>0</v>
      </c>
      <c r="P342" s="214">
        <f t="shared" si="230"/>
        <v>0</v>
      </c>
      <c r="Q342" s="214">
        <f t="shared" si="230"/>
        <v>0</v>
      </c>
      <c r="R342" s="214">
        <f t="shared" si="230"/>
        <v>0</v>
      </c>
      <c r="S342" s="214">
        <f t="shared" si="230"/>
        <v>0</v>
      </c>
      <c r="T342" s="259">
        <f t="shared" ref="T342:Y342" si="231">D398</f>
        <v>0</v>
      </c>
      <c r="U342" s="259">
        <f t="shared" si="231"/>
        <v>0</v>
      </c>
      <c r="V342" s="259">
        <f t="shared" si="231"/>
        <v>0</v>
      </c>
      <c r="W342" s="259">
        <f t="shared" si="231"/>
        <v>0</v>
      </c>
      <c r="X342" s="259">
        <f t="shared" si="231"/>
        <v>0</v>
      </c>
      <c r="Y342" s="259">
        <f t="shared" si="231"/>
        <v>0</v>
      </c>
      <c r="AB342" s="214">
        <f t="shared" ref="AB342:AG342" si="232">D395</f>
        <v>0</v>
      </c>
      <c r="AC342" s="214">
        <f t="shared" si="232"/>
        <v>0</v>
      </c>
      <c r="AD342" s="214">
        <f t="shared" si="232"/>
        <v>0</v>
      </c>
      <c r="AE342" s="214">
        <f t="shared" si="232"/>
        <v>0</v>
      </c>
      <c r="AF342" s="214">
        <f t="shared" si="232"/>
        <v>0</v>
      </c>
      <c r="AG342" s="214">
        <f t="shared" si="232"/>
        <v>0</v>
      </c>
      <c r="AH342" s="259">
        <f t="shared" ref="AH342:AM342" si="233">D396</f>
        <v>0</v>
      </c>
      <c r="AI342" s="259">
        <f t="shared" si="233"/>
        <v>0</v>
      </c>
      <c r="AJ342" s="259">
        <f t="shared" si="233"/>
        <v>0</v>
      </c>
      <c r="AK342" s="259">
        <f t="shared" si="233"/>
        <v>0</v>
      </c>
      <c r="AL342" s="259">
        <f t="shared" si="233"/>
        <v>0</v>
      </c>
      <c r="AM342" s="259">
        <f t="shared" si="233"/>
        <v>0</v>
      </c>
    </row>
    <row r="343" spans="2:39" outlineLevel="2" x14ac:dyDescent="0.2">
      <c r="B343" s="249">
        <v>6</v>
      </c>
      <c r="C343" s="644" t="str">
        <f t="shared" si="209"/>
        <v>** NOT USED **</v>
      </c>
      <c r="D343" s="645" t="e">
        <f>IF(C343&lt;&gt;"",#REF!,"")</f>
        <v>#REF!</v>
      </c>
      <c r="E343" s="646"/>
      <c r="F343" s="42"/>
      <c r="G343" s="57" t="str">
        <f t="shared" si="217"/>
        <v/>
      </c>
      <c r="H343" s="138"/>
      <c r="I343" s="138"/>
      <c r="J343" s="138"/>
      <c r="K343" s="207">
        <f t="shared" si="210"/>
        <v>1</v>
      </c>
      <c r="L343" s="207">
        <f t="shared" si="211"/>
        <v>0</v>
      </c>
      <c r="M343" s="207">
        <f t="shared" si="212"/>
        <v>0</v>
      </c>
      <c r="N343" s="214">
        <f t="shared" ref="N343:S343" si="234">D405</f>
        <v>0</v>
      </c>
      <c r="O343" s="214">
        <f t="shared" si="234"/>
        <v>0</v>
      </c>
      <c r="P343" s="214">
        <f t="shared" si="234"/>
        <v>0</v>
      </c>
      <c r="Q343" s="214">
        <f t="shared" si="234"/>
        <v>0</v>
      </c>
      <c r="R343" s="214">
        <f t="shared" si="234"/>
        <v>0</v>
      </c>
      <c r="S343" s="214">
        <f t="shared" si="234"/>
        <v>0</v>
      </c>
      <c r="T343" s="259">
        <f t="shared" ref="T343:Y343" si="235">D406</f>
        <v>0</v>
      </c>
      <c r="U343" s="259">
        <f t="shared" si="235"/>
        <v>0</v>
      </c>
      <c r="V343" s="259">
        <f t="shared" si="235"/>
        <v>0</v>
      </c>
      <c r="W343" s="259">
        <f t="shared" si="235"/>
        <v>0</v>
      </c>
      <c r="X343" s="259">
        <f t="shared" si="235"/>
        <v>0</v>
      </c>
      <c r="Y343" s="259">
        <f t="shared" si="235"/>
        <v>0</v>
      </c>
      <c r="AB343" s="214">
        <f t="shared" ref="AB343:AG343" si="236">D403</f>
        <v>0</v>
      </c>
      <c r="AC343" s="214">
        <f t="shared" si="236"/>
        <v>0</v>
      </c>
      <c r="AD343" s="214">
        <f t="shared" si="236"/>
        <v>0</v>
      </c>
      <c r="AE343" s="214">
        <f t="shared" si="236"/>
        <v>0</v>
      </c>
      <c r="AF343" s="214">
        <f t="shared" si="236"/>
        <v>0</v>
      </c>
      <c r="AG343" s="214">
        <f t="shared" si="236"/>
        <v>0</v>
      </c>
      <c r="AH343" s="259">
        <f t="shared" ref="AH343:AM343" si="237">D404</f>
        <v>0</v>
      </c>
      <c r="AI343" s="259">
        <f t="shared" si="237"/>
        <v>0</v>
      </c>
      <c r="AJ343" s="259">
        <f t="shared" si="237"/>
        <v>0</v>
      </c>
      <c r="AK343" s="259">
        <f t="shared" si="237"/>
        <v>0</v>
      </c>
      <c r="AL343" s="259">
        <f t="shared" si="237"/>
        <v>0</v>
      </c>
      <c r="AM343" s="259">
        <f t="shared" si="237"/>
        <v>0</v>
      </c>
    </row>
    <row r="344" spans="2:39" outlineLevel="2" x14ac:dyDescent="0.2">
      <c r="B344" s="249">
        <v>7</v>
      </c>
      <c r="C344" s="644" t="str">
        <f t="shared" si="209"/>
        <v>** NOT USED **</v>
      </c>
      <c r="D344" s="645" t="e">
        <f>IF(C344&lt;&gt;"",#REF!,"")</f>
        <v>#REF!</v>
      </c>
      <c r="E344" s="646"/>
      <c r="F344" s="42"/>
      <c r="G344" s="57" t="str">
        <f t="shared" si="217"/>
        <v/>
      </c>
      <c r="H344" s="138"/>
      <c r="I344" s="138"/>
      <c r="J344" s="138"/>
      <c r="K344" s="207">
        <f t="shared" si="210"/>
        <v>1</v>
      </c>
      <c r="L344" s="207">
        <f t="shared" si="211"/>
        <v>0</v>
      </c>
      <c r="M344" s="207">
        <f t="shared" si="212"/>
        <v>0</v>
      </c>
      <c r="N344" s="214">
        <f t="shared" ref="N344:S344" si="238">D413</f>
        <v>0</v>
      </c>
      <c r="O344" s="214">
        <f t="shared" si="238"/>
        <v>0</v>
      </c>
      <c r="P344" s="214">
        <f t="shared" si="238"/>
        <v>0</v>
      </c>
      <c r="Q344" s="214">
        <f t="shared" si="238"/>
        <v>0</v>
      </c>
      <c r="R344" s="214">
        <f t="shared" si="238"/>
        <v>0</v>
      </c>
      <c r="S344" s="214">
        <f t="shared" si="238"/>
        <v>0</v>
      </c>
      <c r="T344" s="259">
        <f t="shared" ref="T344:Y344" si="239">D414</f>
        <v>0</v>
      </c>
      <c r="U344" s="259">
        <f t="shared" si="239"/>
        <v>0</v>
      </c>
      <c r="V344" s="259">
        <f t="shared" si="239"/>
        <v>0</v>
      </c>
      <c r="W344" s="259">
        <f t="shared" si="239"/>
        <v>0</v>
      </c>
      <c r="X344" s="259">
        <f t="shared" si="239"/>
        <v>0</v>
      </c>
      <c r="Y344" s="259">
        <f t="shared" si="239"/>
        <v>0</v>
      </c>
      <c r="AB344" s="214">
        <f t="shared" ref="AB344:AG344" si="240">D411</f>
        <v>0</v>
      </c>
      <c r="AC344" s="214">
        <f t="shared" si="240"/>
        <v>0</v>
      </c>
      <c r="AD344" s="214">
        <f t="shared" si="240"/>
        <v>0</v>
      </c>
      <c r="AE344" s="214">
        <f t="shared" si="240"/>
        <v>0</v>
      </c>
      <c r="AF344" s="214">
        <f t="shared" si="240"/>
        <v>0</v>
      </c>
      <c r="AG344" s="214">
        <f t="shared" si="240"/>
        <v>0</v>
      </c>
      <c r="AH344" s="259">
        <f t="shared" ref="AH344:AM344" si="241">D412</f>
        <v>0</v>
      </c>
      <c r="AI344" s="259">
        <f t="shared" si="241"/>
        <v>0</v>
      </c>
      <c r="AJ344" s="259">
        <f t="shared" si="241"/>
        <v>0</v>
      </c>
      <c r="AK344" s="259">
        <f t="shared" si="241"/>
        <v>0</v>
      </c>
      <c r="AL344" s="259">
        <f t="shared" si="241"/>
        <v>0</v>
      </c>
      <c r="AM344" s="259">
        <f t="shared" si="241"/>
        <v>0</v>
      </c>
    </row>
    <row r="345" spans="2:39" outlineLevel="2" x14ac:dyDescent="0.2">
      <c r="B345" s="249">
        <v>8</v>
      </c>
      <c r="C345" s="644" t="str">
        <f t="shared" si="209"/>
        <v>** NOT USED **</v>
      </c>
      <c r="D345" s="645" t="e">
        <f>IF(C345&lt;&gt;"",#REF!,"")</f>
        <v>#REF!</v>
      </c>
      <c r="E345" s="646"/>
      <c r="F345" s="42"/>
      <c r="G345" s="57" t="str">
        <f t="shared" si="217"/>
        <v/>
      </c>
      <c r="H345" s="138"/>
      <c r="I345" s="138"/>
      <c r="J345" s="138"/>
      <c r="K345" s="207">
        <f t="shared" si="210"/>
        <v>1</v>
      </c>
      <c r="L345" s="207">
        <f t="shared" si="211"/>
        <v>0</v>
      </c>
      <c r="M345" s="207">
        <f t="shared" si="212"/>
        <v>0</v>
      </c>
      <c r="N345" s="214">
        <f t="shared" ref="N345:S345" si="242">D421</f>
        <v>0</v>
      </c>
      <c r="O345" s="214">
        <f t="shared" si="242"/>
        <v>0</v>
      </c>
      <c r="P345" s="214">
        <f t="shared" si="242"/>
        <v>0</v>
      </c>
      <c r="Q345" s="214">
        <f t="shared" si="242"/>
        <v>0</v>
      </c>
      <c r="R345" s="214">
        <f t="shared" si="242"/>
        <v>0</v>
      </c>
      <c r="S345" s="214">
        <f t="shared" si="242"/>
        <v>0</v>
      </c>
      <c r="T345" s="259">
        <f t="shared" ref="T345:Y345" si="243">D422</f>
        <v>0</v>
      </c>
      <c r="U345" s="259">
        <f t="shared" si="243"/>
        <v>0</v>
      </c>
      <c r="V345" s="259">
        <f t="shared" si="243"/>
        <v>0</v>
      </c>
      <c r="W345" s="259">
        <f t="shared" si="243"/>
        <v>0</v>
      </c>
      <c r="X345" s="259">
        <f t="shared" si="243"/>
        <v>0</v>
      </c>
      <c r="Y345" s="259">
        <f t="shared" si="243"/>
        <v>0</v>
      </c>
      <c r="AB345" s="214">
        <f t="shared" ref="AB345:AG345" si="244">D419</f>
        <v>0</v>
      </c>
      <c r="AC345" s="214">
        <f t="shared" si="244"/>
        <v>0</v>
      </c>
      <c r="AD345" s="214">
        <f t="shared" si="244"/>
        <v>0</v>
      </c>
      <c r="AE345" s="214">
        <f t="shared" si="244"/>
        <v>0</v>
      </c>
      <c r="AF345" s="214">
        <f t="shared" si="244"/>
        <v>0</v>
      </c>
      <c r="AG345" s="214">
        <f t="shared" si="244"/>
        <v>0</v>
      </c>
      <c r="AH345" s="259">
        <f t="shared" ref="AH345:AM345" si="245">D420</f>
        <v>0</v>
      </c>
      <c r="AI345" s="259">
        <f t="shared" si="245"/>
        <v>0</v>
      </c>
      <c r="AJ345" s="259">
        <f t="shared" si="245"/>
        <v>0</v>
      </c>
      <c r="AK345" s="259">
        <f t="shared" si="245"/>
        <v>0</v>
      </c>
      <c r="AL345" s="259">
        <f t="shared" si="245"/>
        <v>0</v>
      </c>
      <c r="AM345" s="259">
        <f t="shared" si="245"/>
        <v>0</v>
      </c>
    </row>
    <row r="346" spans="2:39" outlineLevel="2" x14ac:dyDescent="0.2">
      <c r="B346" s="249">
        <v>9</v>
      </c>
      <c r="C346" s="644" t="str">
        <f t="shared" si="209"/>
        <v>** NOT USED **</v>
      </c>
      <c r="D346" s="645" t="e">
        <f>IF(C346&lt;&gt;"",#REF!,"")</f>
        <v>#REF!</v>
      </c>
      <c r="E346" s="646"/>
      <c r="F346" s="42"/>
      <c r="G346" s="57" t="str">
        <f t="shared" si="217"/>
        <v/>
      </c>
      <c r="H346" s="138"/>
      <c r="I346" s="138"/>
      <c r="J346" s="138"/>
      <c r="K346" s="207">
        <f t="shared" si="210"/>
        <v>1</v>
      </c>
      <c r="L346" s="207">
        <f t="shared" si="211"/>
        <v>0</v>
      </c>
      <c r="M346" s="207">
        <f t="shared" si="212"/>
        <v>0</v>
      </c>
      <c r="N346" s="214">
        <f t="shared" ref="N346:S346" si="246">D429</f>
        <v>0</v>
      </c>
      <c r="O346" s="214">
        <f t="shared" si="246"/>
        <v>0</v>
      </c>
      <c r="P346" s="214">
        <f t="shared" si="246"/>
        <v>0</v>
      </c>
      <c r="Q346" s="214">
        <f t="shared" si="246"/>
        <v>0</v>
      </c>
      <c r="R346" s="214">
        <f t="shared" si="246"/>
        <v>0</v>
      </c>
      <c r="S346" s="214">
        <f t="shared" si="246"/>
        <v>0</v>
      </c>
      <c r="T346" s="259">
        <f t="shared" ref="T346:Y346" si="247">D430</f>
        <v>0</v>
      </c>
      <c r="U346" s="259">
        <f t="shared" si="247"/>
        <v>0</v>
      </c>
      <c r="V346" s="259">
        <f t="shared" si="247"/>
        <v>0</v>
      </c>
      <c r="W346" s="259">
        <f t="shared" si="247"/>
        <v>0</v>
      </c>
      <c r="X346" s="259">
        <f t="shared" si="247"/>
        <v>0</v>
      </c>
      <c r="Y346" s="259">
        <f t="shared" si="247"/>
        <v>0</v>
      </c>
      <c r="AB346" s="214">
        <f t="shared" ref="AB346:AG346" si="248">D427</f>
        <v>0</v>
      </c>
      <c r="AC346" s="214">
        <f t="shared" si="248"/>
        <v>0</v>
      </c>
      <c r="AD346" s="214">
        <f t="shared" si="248"/>
        <v>0</v>
      </c>
      <c r="AE346" s="214">
        <f t="shared" si="248"/>
        <v>0</v>
      </c>
      <c r="AF346" s="214">
        <f t="shared" si="248"/>
        <v>0</v>
      </c>
      <c r="AG346" s="214">
        <f t="shared" si="248"/>
        <v>0</v>
      </c>
      <c r="AH346" s="259">
        <f t="shared" ref="AH346:AM346" si="249">D428</f>
        <v>0</v>
      </c>
      <c r="AI346" s="259">
        <f t="shared" si="249"/>
        <v>0</v>
      </c>
      <c r="AJ346" s="259">
        <f t="shared" si="249"/>
        <v>0</v>
      </c>
      <c r="AK346" s="259">
        <f t="shared" si="249"/>
        <v>0</v>
      </c>
      <c r="AL346" s="259">
        <f t="shared" si="249"/>
        <v>0</v>
      </c>
      <c r="AM346" s="259">
        <f t="shared" si="249"/>
        <v>0</v>
      </c>
    </row>
    <row r="347" spans="2:39" outlineLevel="2" x14ac:dyDescent="0.2">
      <c r="B347" s="249">
        <v>10</v>
      </c>
      <c r="C347" s="644" t="str">
        <f t="shared" si="209"/>
        <v>** NOT USED **</v>
      </c>
      <c r="D347" s="645" t="e">
        <f>IF(C347&lt;&gt;"",#REF!,"")</f>
        <v>#REF!</v>
      </c>
      <c r="E347" s="646"/>
      <c r="F347" s="42"/>
      <c r="G347" s="57" t="str">
        <f t="shared" si="217"/>
        <v/>
      </c>
      <c r="H347" s="138"/>
      <c r="I347" s="138"/>
      <c r="J347" s="138"/>
      <c r="K347" s="207">
        <f t="shared" si="210"/>
        <v>1</v>
      </c>
      <c r="L347" s="207">
        <f t="shared" si="211"/>
        <v>0</v>
      </c>
      <c r="M347" s="207">
        <f t="shared" si="212"/>
        <v>0</v>
      </c>
      <c r="N347" s="214">
        <f t="shared" ref="N347:S347" si="250">D437</f>
        <v>0</v>
      </c>
      <c r="O347" s="214">
        <f t="shared" si="250"/>
        <v>0</v>
      </c>
      <c r="P347" s="214">
        <f t="shared" si="250"/>
        <v>0</v>
      </c>
      <c r="Q347" s="214">
        <f t="shared" si="250"/>
        <v>0</v>
      </c>
      <c r="R347" s="214">
        <f t="shared" si="250"/>
        <v>0</v>
      </c>
      <c r="S347" s="214">
        <f t="shared" si="250"/>
        <v>0</v>
      </c>
      <c r="T347" s="259">
        <f t="shared" ref="T347:Y347" si="251">D438</f>
        <v>0</v>
      </c>
      <c r="U347" s="259">
        <f t="shared" si="251"/>
        <v>0</v>
      </c>
      <c r="V347" s="259">
        <f t="shared" si="251"/>
        <v>0</v>
      </c>
      <c r="W347" s="259">
        <f t="shared" si="251"/>
        <v>0</v>
      </c>
      <c r="X347" s="259">
        <f t="shared" si="251"/>
        <v>0</v>
      </c>
      <c r="Y347" s="259">
        <f t="shared" si="251"/>
        <v>0</v>
      </c>
      <c r="AB347" s="214">
        <f t="shared" ref="AB347:AG347" si="252">D435</f>
        <v>0</v>
      </c>
      <c r="AC347" s="214">
        <f t="shared" si="252"/>
        <v>0</v>
      </c>
      <c r="AD347" s="214">
        <f t="shared" si="252"/>
        <v>0</v>
      </c>
      <c r="AE347" s="214">
        <f t="shared" si="252"/>
        <v>0</v>
      </c>
      <c r="AF347" s="214">
        <f t="shared" si="252"/>
        <v>0</v>
      </c>
      <c r="AG347" s="214">
        <f t="shared" si="252"/>
        <v>0</v>
      </c>
      <c r="AH347" s="259">
        <f t="shared" ref="AH347:AM347" si="253">D436</f>
        <v>0</v>
      </c>
      <c r="AI347" s="259">
        <f t="shared" si="253"/>
        <v>0</v>
      </c>
      <c r="AJ347" s="259">
        <f t="shared" si="253"/>
        <v>0</v>
      </c>
      <c r="AK347" s="259">
        <f t="shared" si="253"/>
        <v>0</v>
      </c>
      <c r="AL347" s="259">
        <f t="shared" si="253"/>
        <v>0</v>
      </c>
      <c r="AM347" s="259">
        <f t="shared" si="253"/>
        <v>0</v>
      </c>
    </row>
    <row r="348" spans="2:39" outlineLevel="2" x14ac:dyDescent="0.2">
      <c r="B348" s="249">
        <v>11</v>
      </c>
      <c r="C348" s="644" t="str">
        <f t="shared" si="209"/>
        <v>** NOT USED **</v>
      </c>
      <c r="D348" s="645" t="e">
        <f>IF(C348&lt;&gt;"",#REF!,"")</f>
        <v>#REF!</v>
      </c>
      <c r="E348" s="646"/>
      <c r="F348" s="42"/>
      <c r="G348" s="57" t="str">
        <f t="shared" ref="G348:G357" si="254">IF(F348&lt;&gt;"",F348+1,"")</f>
        <v/>
      </c>
      <c r="H348" s="138"/>
      <c r="I348" s="138"/>
      <c r="J348" s="138"/>
      <c r="K348" s="207">
        <f t="shared" si="210"/>
        <v>1</v>
      </c>
      <c r="L348" s="207">
        <f t="shared" si="211"/>
        <v>0</v>
      </c>
      <c r="M348" s="207">
        <f t="shared" si="212"/>
        <v>0</v>
      </c>
      <c r="N348" s="214">
        <f t="shared" ref="N348:S348" si="255">D445</f>
        <v>0</v>
      </c>
      <c r="O348" s="214">
        <f t="shared" si="255"/>
        <v>0</v>
      </c>
      <c r="P348" s="214">
        <f t="shared" si="255"/>
        <v>0</v>
      </c>
      <c r="Q348" s="214">
        <f t="shared" si="255"/>
        <v>0</v>
      </c>
      <c r="R348" s="214">
        <f t="shared" si="255"/>
        <v>0</v>
      </c>
      <c r="S348" s="214">
        <f t="shared" si="255"/>
        <v>0</v>
      </c>
      <c r="T348" s="259">
        <f t="shared" ref="T348:Y348" si="256">D446</f>
        <v>0</v>
      </c>
      <c r="U348" s="259">
        <f t="shared" si="256"/>
        <v>0</v>
      </c>
      <c r="V348" s="259">
        <f t="shared" si="256"/>
        <v>0</v>
      </c>
      <c r="W348" s="259">
        <f t="shared" si="256"/>
        <v>0</v>
      </c>
      <c r="X348" s="259">
        <f t="shared" si="256"/>
        <v>0</v>
      </c>
      <c r="Y348" s="259">
        <f t="shared" si="256"/>
        <v>0</v>
      </c>
      <c r="AB348" s="214">
        <f t="shared" ref="AB348:AG348" si="257">D443</f>
        <v>0</v>
      </c>
      <c r="AC348" s="214">
        <f t="shared" si="257"/>
        <v>0</v>
      </c>
      <c r="AD348" s="214">
        <f t="shared" si="257"/>
        <v>0</v>
      </c>
      <c r="AE348" s="214">
        <f t="shared" si="257"/>
        <v>0</v>
      </c>
      <c r="AF348" s="214">
        <f t="shared" si="257"/>
        <v>0</v>
      </c>
      <c r="AG348" s="214">
        <f t="shared" si="257"/>
        <v>0</v>
      </c>
      <c r="AH348" s="259">
        <f t="shared" ref="AH348:AM348" si="258">D444</f>
        <v>0</v>
      </c>
      <c r="AI348" s="259">
        <f t="shared" si="258"/>
        <v>0</v>
      </c>
      <c r="AJ348" s="259">
        <f t="shared" si="258"/>
        <v>0</v>
      </c>
      <c r="AK348" s="259">
        <f t="shared" si="258"/>
        <v>0</v>
      </c>
      <c r="AL348" s="259">
        <f t="shared" si="258"/>
        <v>0</v>
      </c>
      <c r="AM348" s="259">
        <f t="shared" si="258"/>
        <v>0</v>
      </c>
    </row>
    <row r="349" spans="2:39" outlineLevel="2" x14ac:dyDescent="0.2">
      <c r="B349" s="249">
        <v>12</v>
      </c>
      <c r="C349" s="644" t="str">
        <f t="shared" si="209"/>
        <v>** NOT USED **</v>
      </c>
      <c r="D349" s="645" t="e">
        <f>IF(C349&lt;&gt;"",#REF!,"")</f>
        <v>#REF!</v>
      </c>
      <c r="E349" s="646"/>
      <c r="F349" s="42"/>
      <c r="G349" s="57" t="str">
        <f t="shared" si="254"/>
        <v/>
      </c>
      <c r="H349" s="138"/>
      <c r="I349" s="138"/>
      <c r="J349" s="138"/>
      <c r="K349" s="207">
        <f t="shared" si="210"/>
        <v>1</v>
      </c>
      <c r="L349" s="207">
        <f t="shared" si="211"/>
        <v>0</v>
      </c>
      <c r="M349" s="207">
        <f t="shared" si="212"/>
        <v>0</v>
      </c>
      <c r="N349" s="214">
        <f t="shared" ref="N349:S349" si="259">D453</f>
        <v>0</v>
      </c>
      <c r="O349" s="214">
        <f t="shared" si="259"/>
        <v>0</v>
      </c>
      <c r="P349" s="214">
        <f t="shared" si="259"/>
        <v>0</v>
      </c>
      <c r="Q349" s="214">
        <f t="shared" si="259"/>
        <v>0</v>
      </c>
      <c r="R349" s="214">
        <f t="shared" si="259"/>
        <v>0</v>
      </c>
      <c r="S349" s="214">
        <f t="shared" si="259"/>
        <v>0</v>
      </c>
      <c r="T349" s="259">
        <f t="shared" ref="T349:Y349" si="260">D454</f>
        <v>0</v>
      </c>
      <c r="U349" s="259">
        <f t="shared" si="260"/>
        <v>0</v>
      </c>
      <c r="V349" s="259">
        <f t="shared" si="260"/>
        <v>0</v>
      </c>
      <c r="W349" s="259">
        <f t="shared" si="260"/>
        <v>0</v>
      </c>
      <c r="X349" s="259">
        <f t="shared" si="260"/>
        <v>0</v>
      </c>
      <c r="Y349" s="259">
        <f t="shared" si="260"/>
        <v>0</v>
      </c>
      <c r="AB349" s="214">
        <f t="shared" ref="AB349:AG349" si="261">D451</f>
        <v>0</v>
      </c>
      <c r="AC349" s="214">
        <f t="shared" si="261"/>
        <v>0</v>
      </c>
      <c r="AD349" s="214">
        <f t="shared" si="261"/>
        <v>0</v>
      </c>
      <c r="AE349" s="214">
        <f t="shared" si="261"/>
        <v>0</v>
      </c>
      <c r="AF349" s="214">
        <f t="shared" si="261"/>
        <v>0</v>
      </c>
      <c r="AG349" s="214">
        <f t="shared" si="261"/>
        <v>0</v>
      </c>
      <c r="AH349" s="259">
        <f t="shared" ref="AH349:AM349" si="262">D452</f>
        <v>0</v>
      </c>
      <c r="AI349" s="259">
        <f t="shared" si="262"/>
        <v>0</v>
      </c>
      <c r="AJ349" s="259">
        <f t="shared" si="262"/>
        <v>0</v>
      </c>
      <c r="AK349" s="259">
        <f t="shared" si="262"/>
        <v>0</v>
      </c>
      <c r="AL349" s="259">
        <f t="shared" si="262"/>
        <v>0</v>
      </c>
      <c r="AM349" s="259">
        <f t="shared" si="262"/>
        <v>0</v>
      </c>
    </row>
    <row r="350" spans="2:39" outlineLevel="2" x14ac:dyDescent="0.2">
      <c r="B350" s="249">
        <v>13</v>
      </c>
      <c r="C350" s="644" t="str">
        <f t="shared" si="209"/>
        <v>** NOT USED **</v>
      </c>
      <c r="D350" s="645" t="e">
        <f>IF(C350&lt;&gt;"",#REF!,"")</f>
        <v>#REF!</v>
      </c>
      <c r="E350" s="646"/>
      <c r="F350" s="42"/>
      <c r="G350" s="57" t="str">
        <f t="shared" si="254"/>
        <v/>
      </c>
      <c r="H350" s="138"/>
      <c r="I350" s="138"/>
      <c r="J350" s="138"/>
      <c r="K350" s="207">
        <f t="shared" si="210"/>
        <v>1</v>
      </c>
      <c r="L350" s="207">
        <f t="shared" si="211"/>
        <v>0</v>
      </c>
      <c r="M350" s="207">
        <f t="shared" si="212"/>
        <v>0</v>
      </c>
      <c r="N350" s="214">
        <f t="shared" ref="N350:S350" si="263">D461</f>
        <v>0</v>
      </c>
      <c r="O350" s="214">
        <f t="shared" si="263"/>
        <v>0</v>
      </c>
      <c r="P350" s="214">
        <f t="shared" si="263"/>
        <v>0</v>
      </c>
      <c r="Q350" s="214">
        <f t="shared" si="263"/>
        <v>0</v>
      </c>
      <c r="R350" s="214">
        <f t="shared" si="263"/>
        <v>0</v>
      </c>
      <c r="S350" s="214">
        <f t="shared" si="263"/>
        <v>0</v>
      </c>
      <c r="T350" s="259">
        <f t="shared" ref="T350:Y350" si="264">D462</f>
        <v>0</v>
      </c>
      <c r="U350" s="259">
        <f t="shared" si="264"/>
        <v>0</v>
      </c>
      <c r="V350" s="259">
        <f t="shared" si="264"/>
        <v>0</v>
      </c>
      <c r="W350" s="259">
        <f t="shared" si="264"/>
        <v>0</v>
      </c>
      <c r="X350" s="259">
        <f t="shared" si="264"/>
        <v>0</v>
      </c>
      <c r="Y350" s="259">
        <f t="shared" si="264"/>
        <v>0</v>
      </c>
      <c r="AB350" s="214">
        <f t="shared" ref="AB350:AG350" si="265">D459</f>
        <v>0</v>
      </c>
      <c r="AC350" s="214">
        <f t="shared" si="265"/>
        <v>0</v>
      </c>
      <c r="AD350" s="214">
        <f t="shared" si="265"/>
        <v>0</v>
      </c>
      <c r="AE350" s="214">
        <f t="shared" si="265"/>
        <v>0</v>
      </c>
      <c r="AF350" s="214">
        <f t="shared" si="265"/>
        <v>0</v>
      </c>
      <c r="AG350" s="214">
        <f t="shared" si="265"/>
        <v>0</v>
      </c>
      <c r="AH350" s="259">
        <f t="shared" ref="AH350:AM350" si="266">D460</f>
        <v>0</v>
      </c>
      <c r="AI350" s="259">
        <f t="shared" si="266"/>
        <v>0</v>
      </c>
      <c r="AJ350" s="259">
        <f t="shared" si="266"/>
        <v>0</v>
      </c>
      <c r="AK350" s="259">
        <f t="shared" si="266"/>
        <v>0</v>
      </c>
      <c r="AL350" s="259">
        <f t="shared" si="266"/>
        <v>0</v>
      </c>
      <c r="AM350" s="259">
        <f t="shared" si="266"/>
        <v>0</v>
      </c>
    </row>
    <row r="351" spans="2:39" outlineLevel="2" x14ac:dyDescent="0.2">
      <c r="B351" s="249">
        <v>14</v>
      </c>
      <c r="C351" s="644" t="str">
        <f t="shared" si="209"/>
        <v>** NOT USED **</v>
      </c>
      <c r="D351" s="645" t="e">
        <f>IF(C351&lt;&gt;"",#REF!,"")</f>
        <v>#REF!</v>
      </c>
      <c r="E351" s="646"/>
      <c r="F351" s="42"/>
      <c r="G351" s="57" t="str">
        <f t="shared" si="254"/>
        <v/>
      </c>
      <c r="H351" s="138"/>
      <c r="I351" s="138"/>
      <c r="J351" s="138"/>
      <c r="K351" s="207">
        <f t="shared" si="210"/>
        <v>1</v>
      </c>
      <c r="L351" s="207">
        <f t="shared" si="211"/>
        <v>0</v>
      </c>
      <c r="M351" s="207">
        <f t="shared" si="212"/>
        <v>0</v>
      </c>
      <c r="N351" s="214">
        <f t="shared" ref="N351:S351" si="267">D469</f>
        <v>0</v>
      </c>
      <c r="O351" s="214">
        <f t="shared" si="267"/>
        <v>0</v>
      </c>
      <c r="P351" s="214">
        <f t="shared" si="267"/>
        <v>0</v>
      </c>
      <c r="Q351" s="214">
        <f t="shared" si="267"/>
        <v>0</v>
      </c>
      <c r="R351" s="214">
        <f t="shared" si="267"/>
        <v>0</v>
      </c>
      <c r="S351" s="214">
        <f t="shared" si="267"/>
        <v>0</v>
      </c>
      <c r="T351" s="259">
        <f t="shared" ref="T351:Y351" si="268">D470</f>
        <v>0</v>
      </c>
      <c r="U351" s="259">
        <f t="shared" si="268"/>
        <v>0</v>
      </c>
      <c r="V351" s="259">
        <f t="shared" si="268"/>
        <v>0</v>
      </c>
      <c r="W351" s="259">
        <f t="shared" si="268"/>
        <v>0</v>
      </c>
      <c r="X351" s="259">
        <f t="shared" si="268"/>
        <v>0</v>
      </c>
      <c r="Y351" s="259">
        <f t="shared" si="268"/>
        <v>0</v>
      </c>
      <c r="AB351" s="214">
        <f t="shared" ref="AB351:AG351" si="269">D467</f>
        <v>0</v>
      </c>
      <c r="AC351" s="214">
        <f t="shared" si="269"/>
        <v>0</v>
      </c>
      <c r="AD351" s="214">
        <f t="shared" si="269"/>
        <v>0</v>
      </c>
      <c r="AE351" s="214">
        <f t="shared" si="269"/>
        <v>0</v>
      </c>
      <c r="AF351" s="214">
        <f t="shared" si="269"/>
        <v>0</v>
      </c>
      <c r="AG351" s="214">
        <f t="shared" si="269"/>
        <v>0</v>
      </c>
      <c r="AH351" s="259">
        <f t="shared" ref="AH351:AM351" si="270">D468</f>
        <v>0</v>
      </c>
      <c r="AI351" s="259">
        <f t="shared" si="270"/>
        <v>0</v>
      </c>
      <c r="AJ351" s="259">
        <f t="shared" si="270"/>
        <v>0</v>
      </c>
      <c r="AK351" s="259">
        <f t="shared" si="270"/>
        <v>0</v>
      </c>
      <c r="AL351" s="259">
        <f t="shared" si="270"/>
        <v>0</v>
      </c>
      <c r="AM351" s="259">
        <f t="shared" si="270"/>
        <v>0</v>
      </c>
    </row>
    <row r="352" spans="2:39" outlineLevel="2" x14ac:dyDescent="0.2">
      <c r="B352" s="249">
        <v>15</v>
      </c>
      <c r="C352" s="644" t="str">
        <f t="shared" si="209"/>
        <v>** NOT USED **</v>
      </c>
      <c r="D352" s="645" t="e">
        <f>IF(C352&lt;&gt;"",#REF!,"")</f>
        <v>#REF!</v>
      </c>
      <c r="E352" s="646"/>
      <c r="F352" s="42"/>
      <c r="G352" s="57" t="str">
        <f t="shared" si="254"/>
        <v/>
      </c>
      <c r="H352" s="138"/>
      <c r="I352" s="138"/>
      <c r="J352" s="138"/>
      <c r="K352" s="207">
        <f t="shared" si="210"/>
        <v>1</v>
      </c>
      <c r="L352" s="207">
        <f t="shared" si="211"/>
        <v>0</v>
      </c>
      <c r="M352" s="207">
        <f t="shared" si="212"/>
        <v>0</v>
      </c>
      <c r="N352" s="214">
        <f t="shared" ref="N352:S352" si="271">D477</f>
        <v>0</v>
      </c>
      <c r="O352" s="214">
        <f t="shared" si="271"/>
        <v>0</v>
      </c>
      <c r="P352" s="214">
        <f t="shared" si="271"/>
        <v>0</v>
      </c>
      <c r="Q352" s="214">
        <f t="shared" si="271"/>
        <v>0</v>
      </c>
      <c r="R352" s="214">
        <f t="shared" si="271"/>
        <v>0</v>
      </c>
      <c r="S352" s="214">
        <f t="shared" si="271"/>
        <v>0</v>
      </c>
      <c r="T352" s="259">
        <f t="shared" ref="T352:Y352" si="272">D478</f>
        <v>0</v>
      </c>
      <c r="U352" s="259">
        <f t="shared" si="272"/>
        <v>0</v>
      </c>
      <c r="V352" s="259">
        <f t="shared" si="272"/>
        <v>0</v>
      </c>
      <c r="W352" s="259">
        <f t="shared" si="272"/>
        <v>0</v>
      </c>
      <c r="X352" s="259">
        <f t="shared" si="272"/>
        <v>0</v>
      </c>
      <c r="Y352" s="259">
        <f t="shared" si="272"/>
        <v>0</v>
      </c>
      <c r="AB352" s="214">
        <f t="shared" ref="AB352:AG352" si="273">D475</f>
        <v>0</v>
      </c>
      <c r="AC352" s="214">
        <f t="shared" si="273"/>
        <v>0</v>
      </c>
      <c r="AD352" s="214">
        <f t="shared" si="273"/>
        <v>0</v>
      </c>
      <c r="AE352" s="214">
        <f t="shared" si="273"/>
        <v>0</v>
      </c>
      <c r="AF352" s="214">
        <f t="shared" si="273"/>
        <v>0</v>
      </c>
      <c r="AG352" s="214">
        <f t="shared" si="273"/>
        <v>0</v>
      </c>
      <c r="AH352" s="259">
        <f t="shared" ref="AH352:AM352" si="274">D476</f>
        <v>0</v>
      </c>
      <c r="AI352" s="259">
        <f t="shared" si="274"/>
        <v>0</v>
      </c>
      <c r="AJ352" s="259">
        <f t="shared" si="274"/>
        <v>0</v>
      </c>
      <c r="AK352" s="259">
        <f t="shared" si="274"/>
        <v>0</v>
      </c>
      <c r="AL352" s="259">
        <f t="shared" si="274"/>
        <v>0</v>
      </c>
      <c r="AM352" s="259">
        <f t="shared" si="274"/>
        <v>0</v>
      </c>
    </row>
    <row r="353" spans="2:39" outlineLevel="2" x14ac:dyDescent="0.2">
      <c r="B353" s="249">
        <v>16</v>
      </c>
      <c r="C353" s="644" t="str">
        <f t="shared" si="209"/>
        <v>** NOT USED **</v>
      </c>
      <c r="D353" s="645" t="e">
        <f>IF(C353&lt;&gt;"",#REF!,"")</f>
        <v>#REF!</v>
      </c>
      <c r="E353" s="646"/>
      <c r="F353" s="42"/>
      <c r="G353" s="57" t="str">
        <f t="shared" si="254"/>
        <v/>
      </c>
      <c r="H353" s="138"/>
      <c r="I353" s="138"/>
      <c r="J353" s="138"/>
      <c r="K353" s="207">
        <f t="shared" si="210"/>
        <v>1</v>
      </c>
      <c r="L353" s="207">
        <f t="shared" si="211"/>
        <v>0</v>
      </c>
      <c r="M353" s="207">
        <f t="shared" si="212"/>
        <v>0</v>
      </c>
      <c r="N353" s="214">
        <f t="shared" ref="N353:S353" si="275">D485</f>
        <v>0</v>
      </c>
      <c r="O353" s="214">
        <f t="shared" si="275"/>
        <v>0</v>
      </c>
      <c r="P353" s="214">
        <f t="shared" si="275"/>
        <v>0</v>
      </c>
      <c r="Q353" s="214">
        <f t="shared" si="275"/>
        <v>0</v>
      </c>
      <c r="R353" s="214">
        <f t="shared" si="275"/>
        <v>0</v>
      </c>
      <c r="S353" s="214">
        <f t="shared" si="275"/>
        <v>0</v>
      </c>
      <c r="T353" s="259">
        <f t="shared" ref="T353:Y353" si="276">D486</f>
        <v>0</v>
      </c>
      <c r="U353" s="259">
        <f t="shared" si="276"/>
        <v>0</v>
      </c>
      <c r="V353" s="259">
        <f t="shared" si="276"/>
        <v>0</v>
      </c>
      <c r="W353" s="259">
        <f t="shared" si="276"/>
        <v>0</v>
      </c>
      <c r="X353" s="259">
        <f t="shared" si="276"/>
        <v>0</v>
      </c>
      <c r="Y353" s="259">
        <f t="shared" si="276"/>
        <v>0</v>
      </c>
      <c r="AB353" s="214">
        <f t="shared" ref="AB353:AG353" si="277">D483</f>
        <v>0</v>
      </c>
      <c r="AC353" s="214">
        <f t="shared" si="277"/>
        <v>0</v>
      </c>
      <c r="AD353" s="214">
        <f t="shared" si="277"/>
        <v>0</v>
      </c>
      <c r="AE353" s="214">
        <f t="shared" si="277"/>
        <v>0</v>
      </c>
      <c r="AF353" s="214">
        <f t="shared" si="277"/>
        <v>0</v>
      </c>
      <c r="AG353" s="214">
        <f t="shared" si="277"/>
        <v>0</v>
      </c>
      <c r="AH353" s="259">
        <f t="shared" ref="AH353:AM353" si="278">D484</f>
        <v>0</v>
      </c>
      <c r="AI353" s="259">
        <f t="shared" si="278"/>
        <v>0</v>
      </c>
      <c r="AJ353" s="259">
        <f t="shared" si="278"/>
        <v>0</v>
      </c>
      <c r="AK353" s="259">
        <f t="shared" si="278"/>
        <v>0</v>
      </c>
      <c r="AL353" s="259">
        <f t="shared" si="278"/>
        <v>0</v>
      </c>
      <c r="AM353" s="259">
        <f t="shared" si="278"/>
        <v>0</v>
      </c>
    </row>
    <row r="354" spans="2:39" outlineLevel="2" x14ac:dyDescent="0.2">
      <c r="B354" s="249">
        <v>17</v>
      </c>
      <c r="C354" s="644" t="str">
        <f t="shared" si="209"/>
        <v>** NOT USED **</v>
      </c>
      <c r="D354" s="645" t="e">
        <f>IF(C354&lt;&gt;"",#REF!,"")</f>
        <v>#REF!</v>
      </c>
      <c r="E354" s="646"/>
      <c r="F354" s="42"/>
      <c r="G354" s="57" t="str">
        <f t="shared" si="254"/>
        <v/>
      </c>
      <c r="H354" s="138"/>
      <c r="I354" s="138"/>
      <c r="J354" s="138"/>
      <c r="K354" s="207">
        <f t="shared" si="210"/>
        <v>1</v>
      </c>
      <c r="L354" s="207">
        <f t="shared" si="211"/>
        <v>0</v>
      </c>
      <c r="M354" s="207">
        <f t="shared" si="212"/>
        <v>0</v>
      </c>
      <c r="N354" s="214">
        <f t="shared" ref="N354:S354" si="279">D493</f>
        <v>0</v>
      </c>
      <c r="O354" s="214">
        <f t="shared" si="279"/>
        <v>0</v>
      </c>
      <c r="P354" s="214">
        <f t="shared" si="279"/>
        <v>0</v>
      </c>
      <c r="Q354" s="214">
        <f t="shared" si="279"/>
        <v>0</v>
      </c>
      <c r="R354" s="214">
        <f t="shared" si="279"/>
        <v>0</v>
      </c>
      <c r="S354" s="214">
        <f t="shared" si="279"/>
        <v>0</v>
      </c>
      <c r="T354" s="259">
        <f t="shared" ref="T354:Y354" si="280">D494</f>
        <v>0</v>
      </c>
      <c r="U354" s="259">
        <f t="shared" si="280"/>
        <v>0</v>
      </c>
      <c r="V354" s="259">
        <f t="shared" si="280"/>
        <v>0</v>
      </c>
      <c r="W354" s="259">
        <f t="shared" si="280"/>
        <v>0</v>
      </c>
      <c r="X354" s="259">
        <f t="shared" si="280"/>
        <v>0</v>
      </c>
      <c r="Y354" s="259">
        <f t="shared" si="280"/>
        <v>0</v>
      </c>
      <c r="AB354" s="214">
        <f t="shared" ref="AB354:AG354" si="281">D491</f>
        <v>0</v>
      </c>
      <c r="AC354" s="214">
        <f t="shared" si="281"/>
        <v>0</v>
      </c>
      <c r="AD354" s="214">
        <f t="shared" si="281"/>
        <v>0</v>
      </c>
      <c r="AE354" s="214">
        <f t="shared" si="281"/>
        <v>0</v>
      </c>
      <c r="AF354" s="214">
        <f t="shared" si="281"/>
        <v>0</v>
      </c>
      <c r="AG354" s="214">
        <f t="shared" si="281"/>
        <v>0</v>
      </c>
      <c r="AH354" s="259">
        <f t="shared" ref="AH354:AM354" si="282">D492</f>
        <v>0</v>
      </c>
      <c r="AI354" s="259">
        <f t="shared" si="282"/>
        <v>0</v>
      </c>
      <c r="AJ354" s="259">
        <f t="shared" si="282"/>
        <v>0</v>
      </c>
      <c r="AK354" s="259">
        <f t="shared" si="282"/>
        <v>0</v>
      </c>
      <c r="AL354" s="259">
        <f t="shared" si="282"/>
        <v>0</v>
      </c>
      <c r="AM354" s="259">
        <f t="shared" si="282"/>
        <v>0</v>
      </c>
    </row>
    <row r="355" spans="2:39" outlineLevel="2" x14ac:dyDescent="0.2">
      <c r="B355" s="249">
        <v>18</v>
      </c>
      <c r="C355" s="644" t="str">
        <f t="shared" si="209"/>
        <v>** NOT USED **</v>
      </c>
      <c r="D355" s="645" t="e">
        <f>IF(C355&lt;&gt;"",#REF!,"")</f>
        <v>#REF!</v>
      </c>
      <c r="E355" s="646"/>
      <c r="F355" s="42"/>
      <c r="G355" s="57" t="str">
        <f t="shared" si="254"/>
        <v/>
      </c>
      <c r="H355" s="138"/>
      <c r="I355" s="138"/>
      <c r="J355" s="138"/>
      <c r="K355" s="207">
        <f t="shared" si="210"/>
        <v>1</v>
      </c>
      <c r="L355" s="207">
        <f t="shared" si="211"/>
        <v>0</v>
      </c>
      <c r="M355" s="207">
        <f t="shared" si="212"/>
        <v>0</v>
      </c>
      <c r="N355" s="214">
        <f t="shared" ref="N355:S355" si="283">D501</f>
        <v>0</v>
      </c>
      <c r="O355" s="214">
        <f t="shared" si="283"/>
        <v>0</v>
      </c>
      <c r="P355" s="214">
        <f t="shared" si="283"/>
        <v>0</v>
      </c>
      <c r="Q355" s="214">
        <f t="shared" si="283"/>
        <v>0</v>
      </c>
      <c r="R355" s="214">
        <f t="shared" si="283"/>
        <v>0</v>
      </c>
      <c r="S355" s="214">
        <f t="shared" si="283"/>
        <v>0</v>
      </c>
      <c r="T355" s="259">
        <f t="shared" ref="T355:Y355" si="284">D502</f>
        <v>0</v>
      </c>
      <c r="U355" s="259">
        <f t="shared" si="284"/>
        <v>0</v>
      </c>
      <c r="V355" s="259">
        <f t="shared" si="284"/>
        <v>0</v>
      </c>
      <c r="W355" s="259">
        <f t="shared" si="284"/>
        <v>0</v>
      </c>
      <c r="X355" s="259">
        <f t="shared" si="284"/>
        <v>0</v>
      </c>
      <c r="Y355" s="259">
        <f t="shared" si="284"/>
        <v>0</v>
      </c>
      <c r="AB355" s="214">
        <f t="shared" ref="AB355:AG355" si="285">D499</f>
        <v>0</v>
      </c>
      <c r="AC355" s="214">
        <f t="shared" si="285"/>
        <v>0</v>
      </c>
      <c r="AD355" s="214">
        <f t="shared" si="285"/>
        <v>0</v>
      </c>
      <c r="AE355" s="214">
        <f t="shared" si="285"/>
        <v>0</v>
      </c>
      <c r="AF355" s="214">
        <f t="shared" si="285"/>
        <v>0</v>
      </c>
      <c r="AG355" s="214">
        <f t="shared" si="285"/>
        <v>0</v>
      </c>
      <c r="AH355" s="259">
        <f t="shared" ref="AH355:AM355" si="286">D500</f>
        <v>0</v>
      </c>
      <c r="AI355" s="259">
        <f t="shared" si="286"/>
        <v>0</v>
      </c>
      <c r="AJ355" s="259">
        <f t="shared" si="286"/>
        <v>0</v>
      </c>
      <c r="AK355" s="259">
        <f t="shared" si="286"/>
        <v>0</v>
      </c>
      <c r="AL355" s="259">
        <f t="shared" si="286"/>
        <v>0</v>
      </c>
      <c r="AM355" s="259">
        <f t="shared" si="286"/>
        <v>0</v>
      </c>
    </row>
    <row r="356" spans="2:39" outlineLevel="2" x14ac:dyDescent="0.2">
      <c r="B356" s="249">
        <v>19</v>
      </c>
      <c r="C356" s="644" t="str">
        <f t="shared" si="209"/>
        <v>** NOT USED **</v>
      </c>
      <c r="D356" s="645" t="e">
        <f>IF(C356&lt;&gt;"",#REF!,"")</f>
        <v>#REF!</v>
      </c>
      <c r="E356" s="646"/>
      <c r="F356" s="42"/>
      <c r="G356" s="57" t="str">
        <f t="shared" si="254"/>
        <v/>
      </c>
      <c r="H356" s="138"/>
      <c r="I356" s="138"/>
      <c r="J356" s="138"/>
      <c r="K356" s="207">
        <f t="shared" si="210"/>
        <v>1</v>
      </c>
      <c r="L356" s="207">
        <f t="shared" si="211"/>
        <v>0</v>
      </c>
      <c r="M356" s="207">
        <f t="shared" si="212"/>
        <v>0</v>
      </c>
      <c r="N356" s="214">
        <f t="shared" ref="N356:S356" si="287">D509</f>
        <v>0</v>
      </c>
      <c r="O356" s="214">
        <f t="shared" si="287"/>
        <v>0</v>
      </c>
      <c r="P356" s="214">
        <f t="shared" si="287"/>
        <v>0</v>
      </c>
      <c r="Q356" s="214">
        <f t="shared" si="287"/>
        <v>0</v>
      </c>
      <c r="R356" s="214">
        <f t="shared" si="287"/>
        <v>0</v>
      </c>
      <c r="S356" s="214">
        <f t="shared" si="287"/>
        <v>0</v>
      </c>
      <c r="T356" s="259">
        <f t="shared" ref="T356:Y356" si="288">D510</f>
        <v>0</v>
      </c>
      <c r="U356" s="259">
        <f t="shared" si="288"/>
        <v>0</v>
      </c>
      <c r="V356" s="259">
        <f t="shared" si="288"/>
        <v>0</v>
      </c>
      <c r="W356" s="259">
        <f t="shared" si="288"/>
        <v>0</v>
      </c>
      <c r="X356" s="259">
        <f t="shared" si="288"/>
        <v>0</v>
      </c>
      <c r="Y356" s="259">
        <f t="shared" si="288"/>
        <v>0</v>
      </c>
      <c r="AB356" s="214">
        <f t="shared" ref="AB356:AG356" si="289">D507</f>
        <v>0</v>
      </c>
      <c r="AC356" s="214">
        <f t="shared" si="289"/>
        <v>0</v>
      </c>
      <c r="AD356" s="214">
        <f t="shared" si="289"/>
        <v>0</v>
      </c>
      <c r="AE356" s="214">
        <f t="shared" si="289"/>
        <v>0</v>
      </c>
      <c r="AF356" s="214">
        <f t="shared" si="289"/>
        <v>0</v>
      </c>
      <c r="AG356" s="214">
        <f t="shared" si="289"/>
        <v>0</v>
      </c>
      <c r="AH356" s="259">
        <f t="shared" ref="AH356:AM356" si="290">D508</f>
        <v>0</v>
      </c>
      <c r="AI356" s="259">
        <f t="shared" si="290"/>
        <v>0</v>
      </c>
      <c r="AJ356" s="259">
        <f t="shared" si="290"/>
        <v>0</v>
      </c>
      <c r="AK356" s="259">
        <f t="shared" si="290"/>
        <v>0</v>
      </c>
      <c r="AL356" s="259">
        <f t="shared" si="290"/>
        <v>0</v>
      </c>
      <c r="AM356" s="259">
        <f t="shared" si="290"/>
        <v>0</v>
      </c>
    </row>
    <row r="357" spans="2:39" outlineLevel="2" x14ac:dyDescent="0.2">
      <c r="B357" s="249">
        <v>20</v>
      </c>
      <c r="C357" s="644" t="str">
        <f t="shared" si="209"/>
        <v>** NOT USED **</v>
      </c>
      <c r="D357" s="645" t="e">
        <f>IF(C357&lt;&gt;"",#REF!,"")</f>
        <v>#REF!</v>
      </c>
      <c r="E357" s="646"/>
      <c r="F357" s="42"/>
      <c r="G357" s="57" t="str">
        <f t="shared" si="254"/>
        <v/>
      </c>
      <c r="H357" s="138"/>
      <c r="I357" s="138"/>
      <c r="J357" s="138"/>
      <c r="K357" s="207">
        <f t="shared" si="210"/>
        <v>1</v>
      </c>
      <c r="L357" s="207">
        <f t="shared" si="211"/>
        <v>0</v>
      </c>
      <c r="M357" s="207">
        <f t="shared" si="212"/>
        <v>0</v>
      </c>
      <c r="N357" s="214">
        <f t="shared" ref="N357:S357" si="291">D517</f>
        <v>0</v>
      </c>
      <c r="O357" s="214">
        <f t="shared" si="291"/>
        <v>0</v>
      </c>
      <c r="P357" s="214">
        <f t="shared" si="291"/>
        <v>0</v>
      </c>
      <c r="Q357" s="214">
        <f t="shared" si="291"/>
        <v>0</v>
      </c>
      <c r="R357" s="214">
        <f t="shared" si="291"/>
        <v>0</v>
      </c>
      <c r="S357" s="214">
        <f t="shared" si="291"/>
        <v>0</v>
      </c>
      <c r="T357" s="259">
        <f t="shared" ref="T357:Y357" si="292">D518</f>
        <v>0</v>
      </c>
      <c r="U357" s="259">
        <f t="shared" si="292"/>
        <v>0</v>
      </c>
      <c r="V357" s="259">
        <f t="shared" si="292"/>
        <v>0</v>
      </c>
      <c r="W357" s="259">
        <f t="shared" si="292"/>
        <v>0</v>
      </c>
      <c r="X357" s="259">
        <f t="shared" si="292"/>
        <v>0</v>
      </c>
      <c r="Y357" s="259">
        <f t="shared" si="292"/>
        <v>0</v>
      </c>
      <c r="AB357" s="214">
        <f t="shared" ref="AB357:AG357" si="293">D515</f>
        <v>0</v>
      </c>
      <c r="AC357" s="214">
        <f t="shared" si="293"/>
        <v>0</v>
      </c>
      <c r="AD357" s="214">
        <f t="shared" si="293"/>
        <v>0</v>
      </c>
      <c r="AE357" s="214">
        <f t="shared" si="293"/>
        <v>0</v>
      </c>
      <c r="AF357" s="214">
        <f t="shared" si="293"/>
        <v>0</v>
      </c>
      <c r="AG357" s="214">
        <f t="shared" si="293"/>
        <v>0</v>
      </c>
      <c r="AH357" s="259">
        <f t="shared" ref="AH357:AM357" si="294">D516</f>
        <v>0</v>
      </c>
      <c r="AI357" s="259">
        <f t="shared" si="294"/>
        <v>0</v>
      </c>
      <c r="AJ357" s="259">
        <f t="shared" si="294"/>
        <v>0</v>
      </c>
      <c r="AK357" s="259">
        <f t="shared" si="294"/>
        <v>0</v>
      </c>
      <c r="AL357" s="259">
        <f t="shared" si="294"/>
        <v>0</v>
      </c>
      <c r="AM357" s="259">
        <f t="shared" si="294"/>
        <v>0</v>
      </c>
    </row>
    <row r="358" spans="2:39" ht="14.25" outlineLevel="2" x14ac:dyDescent="0.2">
      <c r="H358" s="483"/>
    </row>
    <row r="359" spans="2:39" outlineLevel="1" x14ac:dyDescent="0.2"/>
    <row r="360" spans="2:39" ht="15" outlineLevel="1" x14ac:dyDescent="0.2">
      <c r="B360" s="249">
        <v>1</v>
      </c>
      <c r="C360" s="129" t="str">
        <f>INDEX(PBSScriptsChanged,B360,1)</f>
        <v>** NOT USED **</v>
      </c>
      <c r="D360" s="123"/>
      <c r="E360" s="123"/>
      <c r="F360" s="123"/>
      <c r="G360" s="123"/>
      <c r="H360" s="123"/>
      <c r="I360" s="123"/>
      <c r="J360" s="123"/>
      <c r="K360" s="123"/>
      <c r="L360" s="117"/>
      <c r="M360" s="117"/>
      <c r="N360" s="117"/>
      <c r="O360" s="113"/>
      <c r="P360" s="113"/>
      <c r="Q360" s="113"/>
      <c r="R360" s="113"/>
      <c r="S360" s="113"/>
      <c r="T360" s="113"/>
      <c r="U360" s="113"/>
      <c r="V360" s="113"/>
      <c r="W360" s="113"/>
      <c r="X360" s="113"/>
      <c r="Y360" s="113"/>
      <c r="Z360" s="113"/>
      <c r="AA360" s="113"/>
      <c r="AB360" s="113"/>
      <c r="AC360" s="113"/>
      <c r="AD360" s="113"/>
      <c r="AE360" s="113"/>
      <c r="AF360" s="113"/>
      <c r="AG360" s="113"/>
      <c r="AH360" s="113"/>
      <c r="AI360" s="113"/>
      <c r="AJ360" s="113"/>
      <c r="AK360" s="113"/>
      <c r="AL360" s="113"/>
      <c r="AM360" s="113"/>
    </row>
    <row r="361" spans="2:39" hidden="1" outlineLevel="2" x14ac:dyDescent="0.2">
      <c r="D361" s="319">
        <v>2</v>
      </c>
      <c r="E361" s="319">
        <v>3</v>
      </c>
      <c r="F361" s="319">
        <v>4</v>
      </c>
      <c r="G361" s="319">
        <v>5</v>
      </c>
      <c r="H361" s="319">
        <v>6</v>
      </c>
      <c r="I361" s="319">
        <v>7</v>
      </c>
      <c r="J361" s="319"/>
    </row>
    <row r="362" spans="2:39" hidden="1" outlineLevel="2" x14ac:dyDescent="0.2">
      <c r="D362" s="74">
        <f>FirstYear</f>
        <v>2026</v>
      </c>
      <c r="E362" s="74">
        <f>D362+1</f>
        <v>2027</v>
      </c>
      <c r="F362" s="74">
        <f>E362+1</f>
        <v>2028</v>
      </c>
      <c r="G362" s="74">
        <f>F362+1</f>
        <v>2029</v>
      </c>
      <c r="H362" s="74">
        <f>G362+1</f>
        <v>2030</v>
      </c>
      <c r="I362" s="74">
        <f>H362+1</f>
        <v>2031</v>
      </c>
    </row>
    <row r="363" spans="2:39" hidden="1" outlineLevel="2" x14ac:dyDescent="0.2">
      <c r="C363" s="150" t="s">
        <v>119</v>
      </c>
      <c r="D363" s="151">
        <f t="shared" ref="D363:I363" si="295">INDEX(PBSScriptsChanged,$B360,D361)</f>
        <v>0</v>
      </c>
      <c r="E363" s="151">
        <f t="shared" si="295"/>
        <v>0</v>
      </c>
      <c r="F363" s="151">
        <f t="shared" si="295"/>
        <v>0</v>
      </c>
      <c r="G363" s="151">
        <f t="shared" si="295"/>
        <v>0</v>
      </c>
      <c r="H363" s="151">
        <f t="shared" si="295"/>
        <v>0</v>
      </c>
      <c r="I363" s="151">
        <f t="shared" si="295"/>
        <v>0</v>
      </c>
      <c r="N363" s="482"/>
    </row>
    <row r="364" spans="2:39" hidden="1" outlineLevel="2" x14ac:dyDescent="0.2">
      <c r="C364" s="150" t="s">
        <v>120</v>
      </c>
      <c r="D364" s="151">
        <f t="shared" ref="D364:I364" si="296">INDEX(RPBSScriptsChanged,$B360,D361)</f>
        <v>0</v>
      </c>
      <c r="E364" s="151">
        <f t="shared" si="296"/>
        <v>0</v>
      </c>
      <c r="F364" s="151">
        <f t="shared" si="296"/>
        <v>0</v>
      </c>
      <c r="G364" s="151">
        <f t="shared" si="296"/>
        <v>0</v>
      </c>
      <c r="H364" s="151">
        <f t="shared" si="296"/>
        <v>0</v>
      </c>
      <c r="I364" s="151">
        <f t="shared" si="296"/>
        <v>0</v>
      </c>
    </row>
    <row r="365" spans="2:39" hidden="1" outlineLevel="2" x14ac:dyDescent="0.2">
      <c r="C365" s="139" t="s">
        <v>121</v>
      </c>
      <c r="D365" s="151">
        <f t="shared" ref="D365:I365" si="297">IF(INDEX(SAChanged,$B360,7)&gt;0,ROUND(D363/INDEX(SAChanged,$B360,2),0),0)</f>
        <v>0</v>
      </c>
      <c r="E365" s="151">
        <f t="shared" si="297"/>
        <v>0</v>
      </c>
      <c r="F365" s="151">
        <f t="shared" si="297"/>
        <v>0</v>
      </c>
      <c r="G365" s="151">
        <f t="shared" si="297"/>
        <v>0</v>
      </c>
      <c r="H365" s="151">
        <f t="shared" si="297"/>
        <v>0</v>
      </c>
      <c r="I365" s="151">
        <f t="shared" si="297"/>
        <v>0</v>
      </c>
      <c r="L365" s="119"/>
    </row>
    <row r="366" spans="2:39" hidden="1" outlineLevel="2" x14ac:dyDescent="0.2">
      <c r="C366" s="139" t="s">
        <v>122</v>
      </c>
      <c r="D366" s="151">
        <f t="shared" ref="D366:I366" si="298">IF(INDEX(SAChanged,$B360,7)&gt;0,ROUND(D364/INDEX(SAChanged,$B360,2),0),0)</f>
        <v>0</v>
      </c>
      <c r="E366" s="151">
        <f t="shared" si="298"/>
        <v>0</v>
      </c>
      <c r="F366" s="151">
        <f t="shared" si="298"/>
        <v>0</v>
      </c>
      <c r="G366" s="151">
        <f t="shared" si="298"/>
        <v>0</v>
      </c>
      <c r="H366" s="151">
        <f t="shared" si="298"/>
        <v>0</v>
      </c>
      <c r="I366" s="151">
        <f t="shared" si="298"/>
        <v>0</v>
      </c>
      <c r="L366" s="119"/>
    </row>
    <row r="367" spans="2:39" outlineLevel="1" collapsed="1" x14ac:dyDescent="0.2">
      <c r="C367" s="455"/>
      <c r="D367" s="480"/>
      <c r="E367" s="348"/>
      <c r="F367" s="348"/>
      <c r="G367" s="348"/>
      <c r="H367" s="348"/>
      <c r="I367" s="348"/>
      <c r="J367" s="348"/>
      <c r="K367" s="348"/>
    </row>
    <row r="368" spans="2:39" ht="15" outlineLevel="1" x14ac:dyDescent="0.2">
      <c r="B368" s="249">
        <v>2</v>
      </c>
      <c r="C368" s="129" t="str">
        <f>INDEX(PBSScriptsChanged,B368,1)</f>
        <v>** NOT USED **</v>
      </c>
      <c r="D368" s="123"/>
      <c r="E368" s="123"/>
      <c r="F368" s="123"/>
      <c r="G368" s="123"/>
      <c r="H368" s="123"/>
      <c r="I368" s="123"/>
      <c r="J368" s="123"/>
      <c r="K368" s="123"/>
      <c r="L368" s="117"/>
      <c r="M368" s="117"/>
      <c r="N368" s="117"/>
      <c r="O368" s="113"/>
      <c r="P368" s="113"/>
      <c r="Q368" s="113"/>
      <c r="R368" s="113"/>
      <c r="S368" s="113"/>
      <c r="T368" s="113"/>
      <c r="U368" s="113"/>
      <c r="V368" s="113"/>
      <c r="W368" s="113"/>
      <c r="X368" s="113"/>
      <c r="Y368" s="113"/>
      <c r="Z368" s="113"/>
      <c r="AA368" s="113"/>
      <c r="AB368" s="113"/>
      <c r="AC368" s="113"/>
      <c r="AD368" s="113"/>
      <c r="AE368" s="113"/>
      <c r="AF368" s="113"/>
      <c r="AG368" s="113"/>
      <c r="AH368" s="113"/>
      <c r="AI368" s="113"/>
      <c r="AJ368" s="113"/>
      <c r="AK368" s="113"/>
      <c r="AL368" s="113"/>
      <c r="AM368" s="113"/>
    </row>
    <row r="369" spans="2:39" hidden="1" outlineLevel="2" x14ac:dyDescent="0.2">
      <c r="D369" s="319">
        <v>2</v>
      </c>
      <c r="E369" s="319">
        <v>3</v>
      </c>
      <c r="F369" s="319">
        <v>4</v>
      </c>
      <c r="G369" s="319">
        <v>5</v>
      </c>
      <c r="H369" s="319">
        <v>6</v>
      </c>
      <c r="I369" s="319">
        <v>7</v>
      </c>
      <c r="J369" s="319"/>
    </row>
    <row r="370" spans="2:39" hidden="1" outlineLevel="2" x14ac:dyDescent="0.2">
      <c r="D370" s="74">
        <f>FirstYear</f>
        <v>2026</v>
      </c>
      <c r="E370" s="74">
        <f>D370+1</f>
        <v>2027</v>
      </c>
      <c r="F370" s="74">
        <f>E370+1</f>
        <v>2028</v>
      </c>
      <c r="G370" s="74">
        <f>F370+1</f>
        <v>2029</v>
      </c>
      <c r="H370" s="74">
        <f>G370+1</f>
        <v>2030</v>
      </c>
      <c r="I370" s="74">
        <f>H370+1</f>
        <v>2031</v>
      </c>
    </row>
    <row r="371" spans="2:39" hidden="1" outlineLevel="2" x14ac:dyDescent="0.2">
      <c r="C371" s="150" t="s">
        <v>119</v>
      </c>
      <c r="D371" s="151">
        <f t="shared" ref="D371:I371" si="299">INDEX(PBSScriptsChanged,$B368,D369)</f>
        <v>0</v>
      </c>
      <c r="E371" s="151">
        <f t="shared" si="299"/>
        <v>0</v>
      </c>
      <c r="F371" s="151">
        <f t="shared" si="299"/>
        <v>0</v>
      </c>
      <c r="G371" s="151">
        <f t="shared" si="299"/>
        <v>0</v>
      </c>
      <c r="H371" s="151">
        <f t="shared" si="299"/>
        <v>0</v>
      </c>
      <c r="I371" s="151">
        <f t="shared" si="299"/>
        <v>0</v>
      </c>
      <c r="N371" s="482"/>
    </row>
    <row r="372" spans="2:39" hidden="1" outlineLevel="2" x14ac:dyDescent="0.2">
      <c r="C372" s="150" t="s">
        <v>120</v>
      </c>
      <c r="D372" s="151">
        <f t="shared" ref="D372:I372" si="300">INDEX(RPBSScriptsChanged,$B368,D369)</f>
        <v>0</v>
      </c>
      <c r="E372" s="151">
        <f t="shared" si="300"/>
        <v>0</v>
      </c>
      <c r="F372" s="151">
        <f t="shared" si="300"/>
        <v>0</v>
      </c>
      <c r="G372" s="151">
        <f t="shared" si="300"/>
        <v>0</v>
      </c>
      <c r="H372" s="151">
        <f t="shared" si="300"/>
        <v>0</v>
      </c>
      <c r="I372" s="151">
        <f t="shared" si="300"/>
        <v>0</v>
      </c>
    </row>
    <row r="373" spans="2:39" hidden="1" outlineLevel="2" x14ac:dyDescent="0.2">
      <c r="C373" s="139" t="s">
        <v>121</v>
      </c>
      <c r="D373" s="151">
        <f t="shared" ref="D373:I373" si="301">IF(INDEX(SAChanged,$B368,7)&gt;0,ROUND(D371/INDEX(SAChanged,$B368,2),0),0)</f>
        <v>0</v>
      </c>
      <c r="E373" s="151">
        <f t="shared" si="301"/>
        <v>0</v>
      </c>
      <c r="F373" s="151">
        <f t="shared" si="301"/>
        <v>0</v>
      </c>
      <c r="G373" s="151">
        <f t="shared" si="301"/>
        <v>0</v>
      </c>
      <c r="H373" s="151">
        <f t="shared" si="301"/>
        <v>0</v>
      </c>
      <c r="I373" s="151">
        <f t="shared" si="301"/>
        <v>0</v>
      </c>
      <c r="L373" s="119"/>
    </row>
    <row r="374" spans="2:39" hidden="1" outlineLevel="2" x14ac:dyDescent="0.2">
      <c r="C374" s="139" t="s">
        <v>122</v>
      </c>
      <c r="D374" s="151">
        <f t="shared" ref="D374:I374" si="302">IF(INDEX(SAChanged,$B368,7)&gt;0,ROUND(D372/INDEX(SAChanged,$B368,2),0),0)</f>
        <v>0</v>
      </c>
      <c r="E374" s="151">
        <f t="shared" si="302"/>
        <v>0</v>
      </c>
      <c r="F374" s="151">
        <f t="shared" si="302"/>
        <v>0</v>
      </c>
      <c r="G374" s="151">
        <f t="shared" si="302"/>
        <v>0</v>
      </c>
      <c r="H374" s="151">
        <f t="shared" si="302"/>
        <v>0</v>
      </c>
      <c r="I374" s="151">
        <f t="shared" si="302"/>
        <v>0</v>
      </c>
      <c r="L374" s="119"/>
    </row>
    <row r="375" spans="2:39" outlineLevel="1" collapsed="1" x14ac:dyDescent="0.2">
      <c r="C375" s="455"/>
      <c r="D375" s="480"/>
      <c r="E375" s="348"/>
      <c r="F375" s="348"/>
      <c r="G375" s="348"/>
      <c r="H375" s="348"/>
      <c r="I375" s="348"/>
      <c r="J375" s="348"/>
      <c r="K375" s="348"/>
    </row>
    <row r="376" spans="2:39" ht="15" outlineLevel="1" x14ac:dyDescent="0.2">
      <c r="B376" s="249">
        <v>3</v>
      </c>
      <c r="C376" s="129" t="str">
        <f>INDEX(PBSScriptsChanged,B376,1)</f>
        <v>** NOT USED **</v>
      </c>
      <c r="D376" s="123"/>
      <c r="E376" s="123"/>
      <c r="F376" s="123"/>
      <c r="G376" s="123"/>
      <c r="H376" s="123"/>
      <c r="I376" s="123"/>
      <c r="J376" s="123"/>
      <c r="K376" s="123"/>
      <c r="L376" s="117"/>
      <c r="M376" s="117"/>
      <c r="N376" s="117"/>
      <c r="O376" s="113"/>
      <c r="P376" s="113"/>
      <c r="Q376" s="113"/>
      <c r="R376" s="113"/>
      <c r="S376" s="113"/>
      <c r="T376" s="113"/>
      <c r="U376" s="113"/>
      <c r="V376" s="113"/>
      <c r="W376" s="113"/>
      <c r="X376" s="113"/>
      <c r="Y376" s="113"/>
      <c r="Z376" s="113"/>
      <c r="AA376" s="113"/>
      <c r="AB376" s="113"/>
      <c r="AC376" s="113"/>
      <c r="AD376" s="113"/>
      <c r="AE376" s="113"/>
      <c r="AF376" s="113"/>
      <c r="AG376" s="113"/>
      <c r="AH376" s="113"/>
      <c r="AI376" s="113"/>
      <c r="AJ376" s="113"/>
      <c r="AK376" s="113"/>
      <c r="AL376" s="113"/>
      <c r="AM376" s="113"/>
    </row>
    <row r="377" spans="2:39" hidden="1" outlineLevel="2" x14ac:dyDescent="0.2">
      <c r="D377" s="319">
        <v>2</v>
      </c>
      <c r="E377" s="319">
        <v>3</v>
      </c>
      <c r="F377" s="319">
        <v>4</v>
      </c>
      <c r="G377" s="319">
        <v>5</v>
      </c>
      <c r="H377" s="319">
        <v>6</v>
      </c>
      <c r="I377" s="319">
        <v>7</v>
      </c>
      <c r="J377" s="319"/>
    </row>
    <row r="378" spans="2:39" hidden="1" outlineLevel="2" x14ac:dyDescent="0.2">
      <c r="D378" s="74">
        <f>FirstYear</f>
        <v>2026</v>
      </c>
      <c r="E378" s="74">
        <f>D378+1</f>
        <v>2027</v>
      </c>
      <c r="F378" s="74">
        <f>E378+1</f>
        <v>2028</v>
      </c>
      <c r="G378" s="74">
        <f>F378+1</f>
        <v>2029</v>
      </c>
      <c r="H378" s="74">
        <f>G378+1</f>
        <v>2030</v>
      </c>
      <c r="I378" s="74">
        <f>H378+1</f>
        <v>2031</v>
      </c>
    </row>
    <row r="379" spans="2:39" hidden="1" outlineLevel="2" x14ac:dyDescent="0.2">
      <c r="C379" s="150" t="s">
        <v>119</v>
      </c>
      <c r="D379" s="151">
        <f t="shared" ref="D379:I379" si="303">INDEX(PBSScriptsChanged,$B376,D377)</f>
        <v>0</v>
      </c>
      <c r="E379" s="151">
        <f t="shared" si="303"/>
        <v>0</v>
      </c>
      <c r="F379" s="151">
        <f t="shared" si="303"/>
        <v>0</v>
      </c>
      <c r="G379" s="151">
        <f t="shared" si="303"/>
        <v>0</v>
      </c>
      <c r="H379" s="151">
        <f t="shared" si="303"/>
        <v>0</v>
      </c>
      <c r="I379" s="151">
        <f t="shared" si="303"/>
        <v>0</v>
      </c>
      <c r="N379" s="482"/>
    </row>
    <row r="380" spans="2:39" hidden="1" outlineLevel="2" x14ac:dyDescent="0.2">
      <c r="C380" s="150" t="s">
        <v>120</v>
      </c>
      <c r="D380" s="151">
        <f t="shared" ref="D380:I380" si="304">INDEX(RPBSScriptsChanged,$B376,D377)</f>
        <v>0</v>
      </c>
      <c r="E380" s="151">
        <f t="shared" si="304"/>
        <v>0</v>
      </c>
      <c r="F380" s="151">
        <f t="shared" si="304"/>
        <v>0</v>
      </c>
      <c r="G380" s="151">
        <f t="shared" si="304"/>
        <v>0</v>
      </c>
      <c r="H380" s="151">
        <f t="shared" si="304"/>
        <v>0</v>
      </c>
      <c r="I380" s="151">
        <f t="shared" si="304"/>
        <v>0</v>
      </c>
    </row>
    <row r="381" spans="2:39" hidden="1" outlineLevel="2" x14ac:dyDescent="0.2">
      <c r="C381" s="139" t="s">
        <v>121</v>
      </c>
      <c r="D381" s="151">
        <f t="shared" ref="D381:I381" si="305">IF(INDEX(SAChanged,$B376,7)&gt;0,ROUND(D379/INDEX(SAChanged,$B376,2),0),0)</f>
        <v>0</v>
      </c>
      <c r="E381" s="151">
        <f t="shared" si="305"/>
        <v>0</v>
      </c>
      <c r="F381" s="151">
        <f t="shared" si="305"/>
        <v>0</v>
      </c>
      <c r="G381" s="151">
        <f t="shared" si="305"/>
        <v>0</v>
      </c>
      <c r="H381" s="151">
        <f t="shared" si="305"/>
        <v>0</v>
      </c>
      <c r="I381" s="151">
        <f t="shared" si="305"/>
        <v>0</v>
      </c>
      <c r="L381" s="119"/>
    </row>
    <row r="382" spans="2:39" hidden="1" outlineLevel="2" x14ac:dyDescent="0.2">
      <c r="C382" s="139" t="s">
        <v>122</v>
      </c>
      <c r="D382" s="151">
        <f t="shared" ref="D382:I382" si="306">IF(INDEX(SAChanged,$B376,7)&gt;0,ROUND(D380/INDEX(SAChanged,$B376,2),0),0)</f>
        <v>0</v>
      </c>
      <c r="E382" s="151">
        <f t="shared" si="306"/>
        <v>0</v>
      </c>
      <c r="F382" s="151">
        <f t="shared" si="306"/>
        <v>0</v>
      </c>
      <c r="G382" s="151">
        <f t="shared" si="306"/>
        <v>0</v>
      </c>
      <c r="H382" s="151">
        <f t="shared" si="306"/>
        <v>0</v>
      </c>
      <c r="I382" s="151">
        <f t="shared" si="306"/>
        <v>0</v>
      </c>
      <c r="L382" s="119"/>
    </row>
    <row r="383" spans="2:39" outlineLevel="1" collapsed="1" x14ac:dyDescent="0.2">
      <c r="C383" s="455"/>
      <c r="D383" s="480"/>
      <c r="E383" s="348"/>
      <c r="F383" s="348"/>
      <c r="G383" s="348"/>
      <c r="H383" s="348"/>
      <c r="I383" s="348"/>
      <c r="J383" s="348"/>
      <c r="K383" s="348"/>
    </row>
    <row r="384" spans="2:39" ht="15" outlineLevel="1" x14ac:dyDescent="0.2">
      <c r="B384" s="249">
        <v>4</v>
      </c>
      <c r="C384" s="129" t="str">
        <f>INDEX(PBSScriptsChanged,B384,1)</f>
        <v>** NOT USED **</v>
      </c>
      <c r="D384" s="123"/>
      <c r="E384" s="123"/>
      <c r="F384" s="123"/>
      <c r="G384" s="123"/>
      <c r="H384" s="123"/>
      <c r="I384" s="123"/>
      <c r="J384" s="123"/>
      <c r="K384" s="123"/>
      <c r="L384" s="117"/>
      <c r="M384" s="117"/>
      <c r="N384" s="117"/>
      <c r="O384" s="113"/>
      <c r="P384" s="113"/>
      <c r="Q384" s="113"/>
      <c r="R384" s="113"/>
      <c r="S384" s="113"/>
      <c r="T384" s="113"/>
      <c r="U384" s="113"/>
      <c r="V384" s="113"/>
      <c r="W384" s="113"/>
      <c r="X384" s="113"/>
      <c r="Y384" s="113"/>
      <c r="Z384" s="113"/>
      <c r="AA384" s="113"/>
      <c r="AB384" s="113"/>
      <c r="AC384" s="113"/>
      <c r="AD384" s="113"/>
      <c r="AE384" s="113"/>
      <c r="AF384" s="113"/>
      <c r="AG384" s="113"/>
      <c r="AH384" s="113"/>
      <c r="AI384" s="113"/>
      <c r="AJ384" s="113"/>
      <c r="AK384" s="113"/>
      <c r="AL384" s="113"/>
      <c r="AM384" s="113"/>
    </row>
    <row r="385" spans="2:39" hidden="1" outlineLevel="2" x14ac:dyDescent="0.2">
      <c r="D385" s="319">
        <v>2</v>
      </c>
      <c r="E385" s="319">
        <v>3</v>
      </c>
      <c r="F385" s="319">
        <v>4</v>
      </c>
      <c r="G385" s="319">
        <v>5</v>
      </c>
      <c r="H385" s="319">
        <v>6</v>
      </c>
      <c r="I385" s="319">
        <v>7</v>
      </c>
      <c r="J385" s="319"/>
    </row>
    <row r="386" spans="2:39" hidden="1" outlineLevel="2" x14ac:dyDescent="0.2">
      <c r="D386" s="74">
        <f>FirstYear</f>
        <v>2026</v>
      </c>
      <c r="E386" s="74">
        <f>D386+1</f>
        <v>2027</v>
      </c>
      <c r="F386" s="74">
        <f>E386+1</f>
        <v>2028</v>
      </c>
      <c r="G386" s="74">
        <f>F386+1</f>
        <v>2029</v>
      </c>
      <c r="H386" s="74">
        <f>G386+1</f>
        <v>2030</v>
      </c>
      <c r="I386" s="74">
        <f>H386+1</f>
        <v>2031</v>
      </c>
    </row>
    <row r="387" spans="2:39" hidden="1" outlineLevel="2" x14ac:dyDescent="0.2">
      <c r="C387" s="150" t="s">
        <v>119</v>
      </c>
      <c r="D387" s="151">
        <f t="shared" ref="D387:I387" si="307">INDEX(PBSScriptsChanged,$B384,D385)</f>
        <v>0</v>
      </c>
      <c r="E387" s="151">
        <f t="shared" si="307"/>
        <v>0</v>
      </c>
      <c r="F387" s="151">
        <f t="shared" si="307"/>
        <v>0</v>
      </c>
      <c r="G387" s="151">
        <f t="shared" si="307"/>
        <v>0</v>
      </c>
      <c r="H387" s="151">
        <f t="shared" si="307"/>
        <v>0</v>
      </c>
      <c r="I387" s="151">
        <f t="shared" si="307"/>
        <v>0</v>
      </c>
      <c r="N387" s="482"/>
    </row>
    <row r="388" spans="2:39" hidden="1" outlineLevel="2" x14ac:dyDescent="0.2">
      <c r="C388" s="150" t="s">
        <v>120</v>
      </c>
      <c r="D388" s="151">
        <f t="shared" ref="D388:I388" si="308">INDEX(RPBSScriptsChanged,$B384,D385)</f>
        <v>0</v>
      </c>
      <c r="E388" s="151">
        <f t="shared" si="308"/>
        <v>0</v>
      </c>
      <c r="F388" s="151">
        <f t="shared" si="308"/>
        <v>0</v>
      </c>
      <c r="G388" s="151">
        <f t="shared" si="308"/>
        <v>0</v>
      </c>
      <c r="H388" s="151">
        <f t="shared" si="308"/>
        <v>0</v>
      </c>
      <c r="I388" s="151">
        <f t="shared" si="308"/>
        <v>0</v>
      </c>
    </row>
    <row r="389" spans="2:39" hidden="1" outlineLevel="2" x14ac:dyDescent="0.2">
      <c r="C389" s="139" t="s">
        <v>121</v>
      </c>
      <c r="D389" s="151">
        <f t="shared" ref="D389:I389" si="309">IF(INDEX(SAChanged,$B384,7)&gt;0,ROUND(D387/INDEX(SAChanged,$B384,2),0),0)</f>
        <v>0</v>
      </c>
      <c r="E389" s="151">
        <f t="shared" si="309"/>
        <v>0</v>
      </c>
      <c r="F389" s="151">
        <f t="shared" si="309"/>
        <v>0</v>
      </c>
      <c r="G389" s="151">
        <f t="shared" si="309"/>
        <v>0</v>
      </c>
      <c r="H389" s="151">
        <f t="shared" si="309"/>
        <v>0</v>
      </c>
      <c r="I389" s="151">
        <f t="shared" si="309"/>
        <v>0</v>
      </c>
      <c r="L389" s="119"/>
    </row>
    <row r="390" spans="2:39" hidden="1" outlineLevel="2" x14ac:dyDescent="0.2">
      <c r="C390" s="139" t="s">
        <v>122</v>
      </c>
      <c r="D390" s="151">
        <f t="shared" ref="D390:I390" si="310">IF(INDEX(SAChanged,$B384,7)&gt;0,ROUND(D388/INDEX(SAChanged,$B384,2),0),0)</f>
        <v>0</v>
      </c>
      <c r="E390" s="151">
        <f t="shared" si="310"/>
        <v>0</v>
      </c>
      <c r="F390" s="151">
        <f t="shared" si="310"/>
        <v>0</v>
      </c>
      <c r="G390" s="151">
        <f t="shared" si="310"/>
        <v>0</v>
      </c>
      <c r="H390" s="151">
        <f t="shared" si="310"/>
        <v>0</v>
      </c>
      <c r="I390" s="151">
        <f t="shared" si="310"/>
        <v>0</v>
      </c>
      <c r="L390" s="119"/>
    </row>
    <row r="391" spans="2:39" outlineLevel="1" collapsed="1" x14ac:dyDescent="0.2">
      <c r="C391" s="455"/>
      <c r="D391" s="480"/>
      <c r="E391" s="348"/>
      <c r="F391" s="348"/>
      <c r="G391" s="348"/>
      <c r="H391" s="348"/>
      <c r="I391" s="348"/>
      <c r="J391" s="348"/>
      <c r="K391" s="348"/>
    </row>
    <row r="392" spans="2:39" ht="15" outlineLevel="1" x14ac:dyDescent="0.2">
      <c r="B392" s="249">
        <v>5</v>
      </c>
      <c r="C392" s="129" t="str">
        <f>INDEX(PBSScriptsChanged,B392,1)</f>
        <v>** NOT USED **</v>
      </c>
      <c r="D392" s="123"/>
      <c r="E392" s="123"/>
      <c r="F392" s="123"/>
      <c r="G392" s="123"/>
      <c r="H392" s="123"/>
      <c r="I392" s="123"/>
      <c r="J392" s="123"/>
      <c r="K392" s="123"/>
      <c r="L392" s="117"/>
      <c r="M392" s="117"/>
      <c r="N392" s="117"/>
      <c r="O392" s="113"/>
      <c r="P392" s="113"/>
      <c r="Q392" s="113"/>
      <c r="R392" s="113"/>
      <c r="S392" s="113"/>
      <c r="T392" s="113"/>
      <c r="U392" s="113"/>
      <c r="V392" s="113"/>
      <c r="W392" s="113"/>
      <c r="X392" s="113"/>
      <c r="Y392" s="113"/>
      <c r="Z392" s="113"/>
      <c r="AA392" s="113"/>
      <c r="AB392" s="113"/>
      <c r="AC392" s="113"/>
      <c r="AD392" s="113"/>
      <c r="AE392" s="113"/>
      <c r="AF392" s="113"/>
      <c r="AG392" s="113"/>
      <c r="AH392" s="113"/>
      <c r="AI392" s="113"/>
      <c r="AJ392" s="113"/>
      <c r="AK392" s="113"/>
      <c r="AL392" s="113"/>
      <c r="AM392" s="113"/>
    </row>
    <row r="393" spans="2:39" hidden="1" outlineLevel="2" x14ac:dyDescent="0.2">
      <c r="D393" s="319">
        <v>2</v>
      </c>
      <c r="E393" s="319">
        <v>3</v>
      </c>
      <c r="F393" s="319">
        <v>4</v>
      </c>
      <c r="G393" s="319">
        <v>5</v>
      </c>
      <c r="H393" s="319">
        <v>6</v>
      </c>
      <c r="I393" s="319">
        <v>7</v>
      </c>
      <c r="J393" s="319"/>
    </row>
    <row r="394" spans="2:39" hidden="1" outlineLevel="2" x14ac:dyDescent="0.2">
      <c r="D394" s="74">
        <f>FirstYear</f>
        <v>2026</v>
      </c>
      <c r="E394" s="74">
        <f>D394+1</f>
        <v>2027</v>
      </c>
      <c r="F394" s="74">
        <f>E394+1</f>
        <v>2028</v>
      </c>
      <c r="G394" s="74">
        <f>F394+1</f>
        <v>2029</v>
      </c>
      <c r="H394" s="74">
        <f>G394+1</f>
        <v>2030</v>
      </c>
      <c r="I394" s="74">
        <f>H394+1</f>
        <v>2031</v>
      </c>
    </row>
    <row r="395" spans="2:39" hidden="1" outlineLevel="2" x14ac:dyDescent="0.2">
      <c r="C395" s="150" t="s">
        <v>119</v>
      </c>
      <c r="D395" s="151">
        <f t="shared" ref="D395:I395" si="311">INDEX(PBSScriptsChanged,$B392,D393)</f>
        <v>0</v>
      </c>
      <c r="E395" s="151">
        <f t="shared" si="311"/>
        <v>0</v>
      </c>
      <c r="F395" s="151">
        <f t="shared" si="311"/>
        <v>0</v>
      </c>
      <c r="G395" s="151">
        <f t="shared" si="311"/>
        <v>0</v>
      </c>
      <c r="H395" s="151">
        <f t="shared" si="311"/>
        <v>0</v>
      </c>
      <c r="I395" s="151">
        <f t="shared" si="311"/>
        <v>0</v>
      </c>
      <c r="N395" s="482"/>
    </row>
    <row r="396" spans="2:39" hidden="1" outlineLevel="2" x14ac:dyDescent="0.2">
      <c r="C396" s="150" t="s">
        <v>120</v>
      </c>
      <c r="D396" s="151">
        <f t="shared" ref="D396:I396" si="312">INDEX(RPBSScriptsChanged,$B392,D393)</f>
        <v>0</v>
      </c>
      <c r="E396" s="151">
        <f t="shared" si="312"/>
        <v>0</v>
      </c>
      <c r="F396" s="151">
        <f t="shared" si="312"/>
        <v>0</v>
      </c>
      <c r="G396" s="151">
        <f t="shared" si="312"/>
        <v>0</v>
      </c>
      <c r="H396" s="151">
        <f t="shared" si="312"/>
        <v>0</v>
      </c>
      <c r="I396" s="151">
        <f t="shared" si="312"/>
        <v>0</v>
      </c>
    </row>
    <row r="397" spans="2:39" hidden="1" outlineLevel="2" x14ac:dyDescent="0.2">
      <c r="C397" s="139" t="s">
        <v>121</v>
      </c>
      <c r="D397" s="151">
        <f t="shared" ref="D397:I397" si="313">IF(INDEX(SAChanged,$B392,7)&gt;0,ROUND(D395/INDEX(SAChanged,$B392,2),0),0)</f>
        <v>0</v>
      </c>
      <c r="E397" s="151">
        <f t="shared" si="313"/>
        <v>0</v>
      </c>
      <c r="F397" s="151">
        <f t="shared" si="313"/>
        <v>0</v>
      </c>
      <c r="G397" s="151">
        <f t="shared" si="313"/>
        <v>0</v>
      </c>
      <c r="H397" s="151">
        <f t="shared" si="313"/>
        <v>0</v>
      </c>
      <c r="I397" s="151">
        <f t="shared" si="313"/>
        <v>0</v>
      </c>
      <c r="L397" s="119"/>
    </row>
    <row r="398" spans="2:39" hidden="1" outlineLevel="2" x14ac:dyDescent="0.2">
      <c r="C398" s="139" t="s">
        <v>122</v>
      </c>
      <c r="D398" s="151">
        <f t="shared" ref="D398:I398" si="314">IF(INDEX(SAChanged,$B392,7)&gt;0,ROUND(D396/INDEX(SAChanged,$B392,2),0),0)</f>
        <v>0</v>
      </c>
      <c r="E398" s="151">
        <f t="shared" si="314"/>
        <v>0</v>
      </c>
      <c r="F398" s="151">
        <f t="shared" si="314"/>
        <v>0</v>
      </c>
      <c r="G398" s="151">
        <f t="shared" si="314"/>
        <v>0</v>
      </c>
      <c r="H398" s="151">
        <f t="shared" si="314"/>
        <v>0</v>
      </c>
      <c r="I398" s="151">
        <f t="shared" si="314"/>
        <v>0</v>
      </c>
      <c r="L398" s="119"/>
    </row>
    <row r="399" spans="2:39" outlineLevel="1" collapsed="1" x14ac:dyDescent="0.2">
      <c r="C399" s="455"/>
      <c r="D399" s="480"/>
      <c r="E399" s="348"/>
      <c r="F399" s="348"/>
      <c r="G399" s="348"/>
      <c r="H399" s="348"/>
      <c r="I399" s="348"/>
      <c r="J399" s="348"/>
      <c r="K399" s="348"/>
    </row>
    <row r="400" spans="2:39" ht="15" outlineLevel="1" x14ac:dyDescent="0.2">
      <c r="B400" s="249">
        <v>6</v>
      </c>
      <c r="C400" s="129" t="str">
        <f>INDEX(PBSScriptsChanged,B400,1)</f>
        <v>** NOT USED **</v>
      </c>
      <c r="D400" s="123"/>
      <c r="E400" s="123"/>
      <c r="F400" s="123"/>
      <c r="G400" s="123"/>
      <c r="H400" s="123"/>
      <c r="I400" s="123"/>
      <c r="J400" s="123"/>
      <c r="K400" s="123"/>
      <c r="L400" s="117"/>
      <c r="M400" s="117"/>
      <c r="N400" s="117"/>
      <c r="O400" s="113"/>
      <c r="P400" s="113"/>
      <c r="Q400" s="113"/>
      <c r="R400" s="113"/>
      <c r="S400" s="113"/>
      <c r="T400" s="113"/>
      <c r="U400" s="113"/>
      <c r="V400" s="113"/>
      <c r="W400" s="113"/>
      <c r="X400" s="113"/>
      <c r="Y400" s="113"/>
      <c r="Z400" s="113"/>
      <c r="AA400" s="113"/>
      <c r="AB400" s="113"/>
      <c r="AC400" s="113"/>
      <c r="AD400" s="113"/>
      <c r="AE400" s="113"/>
      <c r="AF400" s="113"/>
      <c r="AG400" s="113"/>
      <c r="AH400" s="113"/>
      <c r="AI400" s="113"/>
      <c r="AJ400" s="113"/>
      <c r="AK400" s="113"/>
      <c r="AL400" s="113"/>
      <c r="AM400" s="113"/>
    </row>
    <row r="401" spans="2:39" hidden="1" outlineLevel="2" x14ac:dyDescent="0.2">
      <c r="D401" s="319">
        <v>2</v>
      </c>
      <c r="E401" s="319">
        <v>3</v>
      </c>
      <c r="F401" s="319">
        <v>4</v>
      </c>
      <c r="G401" s="319">
        <v>5</v>
      </c>
      <c r="H401" s="319">
        <v>6</v>
      </c>
      <c r="I401" s="319">
        <v>7</v>
      </c>
      <c r="J401" s="319"/>
    </row>
    <row r="402" spans="2:39" hidden="1" outlineLevel="2" x14ac:dyDescent="0.2">
      <c r="D402" s="74">
        <f>FirstYear</f>
        <v>2026</v>
      </c>
      <c r="E402" s="74">
        <f>D402+1</f>
        <v>2027</v>
      </c>
      <c r="F402" s="74">
        <f>E402+1</f>
        <v>2028</v>
      </c>
      <c r="G402" s="74">
        <f>F402+1</f>
        <v>2029</v>
      </c>
      <c r="H402" s="74">
        <f>G402+1</f>
        <v>2030</v>
      </c>
      <c r="I402" s="74">
        <f>H402+1</f>
        <v>2031</v>
      </c>
    </row>
    <row r="403" spans="2:39" hidden="1" outlineLevel="2" x14ac:dyDescent="0.2">
      <c r="C403" s="150" t="s">
        <v>119</v>
      </c>
      <c r="D403" s="151">
        <f t="shared" ref="D403:I403" si="315">INDEX(PBSScriptsChanged,$B400,D401)</f>
        <v>0</v>
      </c>
      <c r="E403" s="151">
        <f t="shared" si="315"/>
        <v>0</v>
      </c>
      <c r="F403" s="151">
        <f t="shared" si="315"/>
        <v>0</v>
      </c>
      <c r="G403" s="151">
        <f t="shared" si="315"/>
        <v>0</v>
      </c>
      <c r="H403" s="151">
        <f t="shared" si="315"/>
        <v>0</v>
      </c>
      <c r="I403" s="151">
        <f t="shared" si="315"/>
        <v>0</v>
      </c>
      <c r="N403" s="482"/>
    </row>
    <row r="404" spans="2:39" hidden="1" outlineLevel="2" x14ac:dyDescent="0.2">
      <c r="C404" s="150" t="s">
        <v>120</v>
      </c>
      <c r="D404" s="151">
        <f t="shared" ref="D404:I404" si="316">INDEX(RPBSScriptsChanged,$B400,D401)</f>
        <v>0</v>
      </c>
      <c r="E404" s="151">
        <f t="shared" si="316"/>
        <v>0</v>
      </c>
      <c r="F404" s="151">
        <f t="shared" si="316"/>
        <v>0</v>
      </c>
      <c r="G404" s="151">
        <f t="shared" si="316"/>
        <v>0</v>
      </c>
      <c r="H404" s="151">
        <f t="shared" si="316"/>
        <v>0</v>
      </c>
      <c r="I404" s="151">
        <f t="shared" si="316"/>
        <v>0</v>
      </c>
    </row>
    <row r="405" spans="2:39" hidden="1" outlineLevel="2" x14ac:dyDescent="0.2">
      <c r="C405" s="139" t="s">
        <v>121</v>
      </c>
      <c r="D405" s="151">
        <f t="shared" ref="D405:I405" si="317">IF(INDEX(SAChanged,$B400,7)&gt;0,ROUND(D403/INDEX(SAChanged,$B400,2),0),0)</f>
        <v>0</v>
      </c>
      <c r="E405" s="151">
        <f t="shared" si="317"/>
        <v>0</v>
      </c>
      <c r="F405" s="151">
        <f t="shared" si="317"/>
        <v>0</v>
      </c>
      <c r="G405" s="151">
        <f t="shared" si="317"/>
        <v>0</v>
      </c>
      <c r="H405" s="151">
        <f t="shared" si="317"/>
        <v>0</v>
      </c>
      <c r="I405" s="151">
        <f t="shared" si="317"/>
        <v>0</v>
      </c>
      <c r="L405" s="119"/>
    </row>
    <row r="406" spans="2:39" hidden="1" outlineLevel="2" x14ac:dyDescent="0.2">
      <c r="C406" s="139" t="s">
        <v>122</v>
      </c>
      <c r="D406" s="151">
        <f t="shared" ref="D406:I406" si="318">IF(INDEX(SAChanged,$B400,7)&gt;0,ROUND(D404/INDEX(SAChanged,$B400,2),0),0)</f>
        <v>0</v>
      </c>
      <c r="E406" s="151">
        <f t="shared" si="318"/>
        <v>0</v>
      </c>
      <c r="F406" s="151">
        <f t="shared" si="318"/>
        <v>0</v>
      </c>
      <c r="G406" s="151">
        <f t="shared" si="318"/>
        <v>0</v>
      </c>
      <c r="H406" s="151">
        <f t="shared" si="318"/>
        <v>0</v>
      </c>
      <c r="I406" s="151">
        <f t="shared" si="318"/>
        <v>0</v>
      </c>
      <c r="L406" s="119"/>
    </row>
    <row r="407" spans="2:39" outlineLevel="1" collapsed="1" x14ac:dyDescent="0.2">
      <c r="C407" s="455"/>
      <c r="D407" s="480"/>
      <c r="E407" s="348"/>
      <c r="F407" s="348"/>
      <c r="G407" s="348"/>
      <c r="H407" s="348"/>
      <c r="I407" s="348"/>
      <c r="J407" s="348"/>
      <c r="K407" s="348"/>
    </row>
    <row r="408" spans="2:39" ht="15" outlineLevel="1" x14ac:dyDescent="0.2">
      <c r="B408" s="249">
        <v>7</v>
      </c>
      <c r="C408" s="129" t="str">
        <f>INDEX(PBSScriptsChanged,B408,1)</f>
        <v>** NOT USED **</v>
      </c>
      <c r="D408" s="123"/>
      <c r="E408" s="123"/>
      <c r="F408" s="123"/>
      <c r="G408" s="123"/>
      <c r="H408" s="123"/>
      <c r="I408" s="123"/>
      <c r="J408" s="123"/>
      <c r="K408" s="123"/>
      <c r="L408" s="117"/>
      <c r="M408" s="117"/>
      <c r="N408" s="117"/>
      <c r="O408" s="113"/>
      <c r="P408" s="113"/>
      <c r="Q408" s="113"/>
      <c r="R408" s="113"/>
      <c r="S408" s="113"/>
      <c r="T408" s="113"/>
      <c r="U408" s="113"/>
      <c r="V408" s="113"/>
      <c r="W408" s="113"/>
      <c r="X408" s="113"/>
      <c r="Y408" s="113"/>
      <c r="Z408" s="113"/>
      <c r="AA408" s="113"/>
      <c r="AB408" s="113"/>
      <c r="AC408" s="113"/>
      <c r="AD408" s="113"/>
      <c r="AE408" s="113"/>
      <c r="AF408" s="113"/>
      <c r="AG408" s="113"/>
      <c r="AH408" s="113"/>
      <c r="AI408" s="113"/>
      <c r="AJ408" s="113"/>
      <c r="AK408" s="113"/>
      <c r="AL408" s="113"/>
      <c r="AM408" s="113"/>
    </row>
    <row r="409" spans="2:39" hidden="1" outlineLevel="2" x14ac:dyDescent="0.2">
      <c r="D409" s="319">
        <v>2</v>
      </c>
      <c r="E409" s="319">
        <v>3</v>
      </c>
      <c r="F409" s="319">
        <v>4</v>
      </c>
      <c r="G409" s="319">
        <v>5</v>
      </c>
      <c r="H409" s="319">
        <v>6</v>
      </c>
      <c r="I409" s="319">
        <v>7</v>
      </c>
      <c r="J409" s="319"/>
    </row>
    <row r="410" spans="2:39" hidden="1" outlineLevel="2" x14ac:dyDescent="0.2">
      <c r="D410" s="74">
        <f>FirstYear</f>
        <v>2026</v>
      </c>
      <c r="E410" s="74">
        <f>D410+1</f>
        <v>2027</v>
      </c>
      <c r="F410" s="74">
        <f>E410+1</f>
        <v>2028</v>
      </c>
      <c r="G410" s="74">
        <f>F410+1</f>
        <v>2029</v>
      </c>
      <c r="H410" s="74">
        <f>G410+1</f>
        <v>2030</v>
      </c>
      <c r="I410" s="74">
        <f>H410+1</f>
        <v>2031</v>
      </c>
    </row>
    <row r="411" spans="2:39" hidden="1" outlineLevel="2" x14ac:dyDescent="0.2">
      <c r="C411" s="150" t="s">
        <v>119</v>
      </c>
      <c r="D411" s="151">
        <f t="shared" ref="D411:I411" si="319">INDEX(PBSScriptsChanged,$B408,D409)</f>
        <v>0</v>
      </c>
      <c r="E411" s="151">
        <f t="shared" si="319"/>
        <v>0</v>
      </c>
      <c r="F411" s="151">
        <f t="shared" si="319"/>
        <v>0</v>
      </c>
      <c r="G411" s="151">
        <f t="shared" si="319"/>
        <v>0</v>
      </c>
      <c r="H411" s="151">
        <f t="shared" si="319"/>
        <v>0</v>
      </c>
      <c r="I411" s="151">
        <f t="shared" si="319"/>
        <v>0</v>
      </c>
      <c r="N411" s="482"/>
    </row>
    <row r="412" spans="2:39" hidden="1" outlineLevel="2" x14ac:dyDescent="0.2">
      <c r="C412" s="150" t="s">
        <v>120</v>
      </c>
      <c r="D412" s="151">
        <f t="shared" ref="D412:I412" si="320">INDEX(RPBSScriptsChanged,$B408,D409)</f>
        <v>0</v>
      </c>
      <c r="E412" s="151">
        <f t="shared" si="320"/>
        <v>0</v>
      </c>
      <c r="F412" s="151">
        <f t="shared" si="320"/>
        <v>0</v>
      </c>
      <c r="G412" s="151">
        <f t="shared" si="320"/>
        <v>0</v>
      </c>
      <c r="H412" s="151">
        <f t="shared" si="320"/>
        <v>0</v>
      </c>
      <c r="I412" s="151">
        <f t="shared" si="320"/>
        <v>0</v>
      </c>
    </row>
    <row r="413" spans="2:39" hidden="1" outlineLevel="2" x14ac:dyDescent="0.2">
      <c r="C413" s="139" t="s">
        <v>121</v>
      </c>
      <c r="D413" s="151">
        <f t="shared" ref="D413:I413" si="321">IF(INDEX(SAChanged,$B408,7)&gt;0,ROUND(D411/INDEX(SAChanged,$B408,2),0),0)</f>
        <v>0</v>
      </c>
      <c r="E413" s="151">
        <f t="shared" si="321"/>
        <v>0</v>
      </c>
      <c r="F413" s="151">
        <f t="shared" si="321"/>
        <v>0</v>
      </c>
      <c r="G413" s="151">
        <f t="shared" si="321"/>
        <v>0</v>
      </c>
      <c r="H413" s="151">
        <f t="shared" si="321"/>
        <v>0</v>
      </c>
      <c r="I413" s="151">
        <f t="shared" si="321"/>
        <v>0</v>
      </c>
      <c r="L413" s="119"/>
    </row>
    <row r="414" spans="2:39" hidden="1" outlineLevel="2" x14ac:dyDescent="0.2">
      <c r="C414" s="139" t="s">
        <v>122</v>
      </c>
      <c r="D414" s="151">
        <f t="shared" ref="D414:I414" si="322">IF(INDEX(SAChanged,$B408,7)&gt;0,ROUND(D412/INDEX(SAChanged,$B408,2),0),0)</f>
        <v>0</v>
      </c>
      <c r="E414" s="151">
        <f t="shared" si="322"/>
        <v>0</v>
      </c>
      <c r="F414" s="151">
        <f t="shared" si="322"/>
        <v>0</v>
      </c>
      <c r="G414" s="151">
        <f t="shared" si="322"/>
        <v>0</v>
      </c>
      <c r="H414" s="151">
        <f t="shared" si="322"/>
        <v>0</v>
      </c>
      <c r="I414" s="151">
        <f t="shared" si="322"/>
        <v>0</v>
      </c>
      <c r="L414" s="119"/>
    </row>
    <row r="415" spans="2:39" outlineLevel="1" collapsed="1" x14ac:dyDescent="0.2">
      <c r="C415" s="455"/>
      <c r="D415" s="480"/>
      <c r="E415" s="348"/>
      <c r="F415" s="348"/>
      <c r="G415" s="348"/>
      <c r="H415" s="348"/>
      <c r="I415" s="348"/>
      <c r="J415" s="348"/>
      <c r="K415" s="348"/>
    </row>
    <row r="416" spans="2:39" ht="15" outlineLevel="1" x14ac:dyDescent="0.2">
      <c r="B416" s="249">
        <v>8</v>
      </c>
      <c r="C416" s="129" t="str">
        <f>INDEX(PBSScriptsChanged,B416,1)</f>
        <v>** NOT USED **</v>
      </c>
      <c r="D416" s="123"/>
      <c r="E416" s="123"/>
      <c r="F416" s="123"/>
      <c r="G416" s="123"/>
      <c r="H416" s="123"/>
      <c r="I416" s="123"/>
      <c r="J416" s="123"/>
      <c r="K416" s="123"/>
      <c r="L416" s="117"/>
      <c r="M416" s="117"/>
      <c r="N416" s="117"/>
      <c r="O416" s="113"/>
      <c r="P416" s="113"/>
      <c r="Q416" s="113"/>
      <c r="R416" s="113"/>
      <c r="S416" s="113"/>
      <c r="T416" s="113"/>
      <c r="U416" s="113"/>
      <c r="V416" s="113"/>
      <c r="W416" s="113"/>
      <c r="X416" s="113"/>
      <c r="Y416" s="113"/>
      <c r="Z416" s="113"/>
      <c r="AA416" s="113"/>
      <c r="AB416" s="113"/>
      <c r="AC416" s="113"/>
      <c r="AD416" s="113"/>
      <c r="AE416" s="113"/>
      <c r="AF416" s="113"/>
      <c r="AG416" s="113"/>
      <c r="AH416" s="113"/>
      <c r="AI416" s="113"/>
      <c r="AJ416" s="113"/>
      <c r="AK416" s="113"/>
      <c r="AL416" s="113"/>
      <c r="AM416" s="113"/>
    </row>
    <row r="417" spans="2:39" hidden="1" outlineLevel="2" x14ac:dyDescent="0.2">
      <c r="D417" s="319">
        <v>2</v>
      </c>
      <c r="E417" s="319">
        <v>3</v>
      </c>
      <c r="F417" s="319">
        <v>4</v>
      </c>
      <c r="G417" s="319">
        <v>5</v>
      </c>
      <c r="H417" s="319">
        <v>6</v>
      </c>
      <c r="I417" s="319">
        <v>7</v>
      </c>
      <c r="J417" s="319"/>
    </row>
    <row r="418" spans="2:39" hidden="1" outlineLevel="2" x14ac:dyDescent="0.2">
      <c r="D418" s="74">
        <f>FirstYear</f>
        <v>2026</v>
      </c>
      <c r="E418" s="74">
        <f>D418+1</f>
        <v>2027</v>
      </c>
      <c r="F418" s="74">
        <f>E418+1</f>
        <v>2028</v>
      </c>
      <c r="G418" s="74">
        <f>F418+1</f>
        <v>2029</v>
      </c>
      <c r="H418" s="74">
        <f>G418+1</f>
        <v>2030</v>
      </c>
      <c r="I418" s="74">
        <f>H418+1</f>
        <v>2031</v>
      </c>
    </row>
    <row r="419" spans="2:39" hidden="1" outlineLevel="2" x14ac:dyDescent="0.2">
      <c r="C419" s="150" t="s">
        <v>119</v>
      </c>
      <c r="D419" s="151">
        <f t="shared" ref="D419:I419" si="323">INDEX(PBSScriptsChanged,$B416,D417)</f>
        <v>0</v>
      </c>
      <c r="E419" s="151">
        <f t="shared" si="323"/>
        <v>0</v>
      </c>
      <c r="F419" s="151">
        <f t="shared" si="323"/>
        <v>0</v>
      </c>
      <c r="G419" s="151">
        <f t="shared" si="323"/>
        <v>0</v>
      </c>
      <c r="H419" s="151">
        <f t="shared" si="323"/>
        <v>0</v>
      </c>
      <c r="I419" s="151">
        <f t="shared" si="323"/>
        <v>0</v>
      </c>
      <c r="N419" s="482"/>
    </row>
    <row r="420" spans="2:39" hidden="1" outlineLevel="2" x14ac:dyDescent="0.2">
      <c r="C420" s="150" t="s">
        <v>120</v>
      </c>
      <c r="D420" s="151">
        <f t="shared" ref="D420:I420" si="324">INDEX(RPBSScriptsChanged,$B416,D417)</f>
        <v>0</v>
      </c>
      <c r="E420" s="151">
        <f t="shared" si="324"/>
        <v>0</v>
      </c>
      <c r="F420" s="151">
        <f t="shared" si="324"/>
        <v>0</v>
      </c>
      <c r="G420" s="151">
        <f t="shared" si="324"/>
        <v>0</v>
      </c>
      <c r="H420" s="151">
        <f t="shared" si="324"/>
        <v>0</v>
      </c>
      <c r="I420" s="151">
        <f t="shared" si="324"/>
        <v>0</v>
      </c>
    </row>
    <row r="421" spans="2:39" hidden="1" outlineLevel="2" x14ac:dyDescent="0.2">
      <c r="C421" s="139" t="s">
        <v>121</v>
      </c>
      <c r="D421" s="151">
        <f t="shared" ref="D421:I421" si="325">IF(INDEX(SAChanged,$B416,7)&gt;0,ROUND(D419/INDEX(SAChanged,$B416,2),0),0)</f>
        <v>0</v>
      </c>
      <c r="E421" s="151">
        <f t="shared" si="325"/>
        <v>0</v>
      </c>
      <c r="F421" s="151">
        <f t="shared" si="325"/>
        <v>0</v>
      </c>
      <c r="G421" s="151">
        <f t="shared" si="325"/>
        <v>0</v>
      </c>
      <c r="H421" s="151">
        <f t="shared" si="325"/>
        <v>0</v>
      </c>
      <c r="I421" s="151">
        <f t="shared" si="325"/>
        <v>0</v>
      </c>
      <c r="L421" s="119"/>
    </row>
    <row r="422" spans="2:39" hidden="1" outlineLevel="2" x14ac:dyDescent="0.2">
      <c r="C422" s="139" t="s">
        <v>122</v>
      </c>
      <c r="D422" s="151">
        <f t="shared" ref="D422:I422" si="326">IF(INDEX(SAChanged,$B416,7)&gt;0,ROUND(D420/INDEX(SAChanged,$B416,2),0),0)</f>
        <v>0</v>
      </c>
      <c r="E422" s="151">
        <f t="shared" si="326"/>
        <v>0</v>
      </c>
      <c r="F422" s="151">
        <f t="shared" si="326"/>
        <v>0</v>
      </c>
      <c r="G422" s="151">
        <f t="shared" si="326"/>
        <v>0</v>
      </c>
      <c r="H422" s="151">
        <f t="shared" si="326"/>
        <v>0</v>
      </c>
      <c r="I422" s="151">
        <f t="shared" si="326"/>
        <v>0</v>
      </c>
      <c r="L422" s="119"/>
    </row>
    <row r="423" spans="2:39" outlineLevel="1" collapsed="1" x14ac:dyDescent="0.2">
      <c r="C423" s="455"/>
      <c r="D423" s="480"/>
      <c r="E423" s="348"/>
      <c r="F423" s="348"/>
      <c r="G423" s="348"/>
      <c r="H423" s="348"/>
      <c r="I423" s="348"/>
      <c r="J423" s="348"/>
      <c r="K423" s="348"/>
    </row>
    <row r="424" spans="2:39" ht="15" outlineLevel="1" x14ac:dyDescent="0.2">
      <c r="B424" s="249">
        <v>9</v>
      </c>
      <c r="C424" s="129" t="str">
        <f>INDEX(PBSScriptsChanged,B424,1)</f>
        <v>** NOT USED **</v>
      </c>
      <c r="D424" s="123"/>
      <c r="E424" s="123"/>
      <c r="F424" s="123"/>
      <c r="G424" s="123"/>
      <c r="H424" s="123"/>
      <c r="I424" s="123"/>
      <c r="J424" s="123"/>
      <c r="K424" s="123"/>
      <c r="L424" s="117"/>
      <c r="M424" s="117"/>
      <c r="N424" s="117"/>
      <c r="O424" s="113"/>
      <c r="P424" s="113"/>
      <c r="Q424" s="113"/>
      <c r="R424" s="113"/>
      <c r="S424" s="113"/>
      <c r="T424" s="113"/>
      <c r="U424" s="113"/>
      <c r="V424" s="113"/>
      <c r="W424" s="113"/>
      <c r="X424" s="113"/>
      <c r="Y424" s="113"/>
      <c r="Z424" s="113"/>
      <c r="AA424" s="113"/>
      <c r="AB424" s="113"/>
      <c r="AC424" s="113"/>
      <c r="AD424" s="113"/>
      <c r="AE424" s="113"/>
      <c r="AF424" s="113"/>
      <c r="AG424" s="113"/>
      <c r="AH424" s="113"/>
      <c r="AI424" s="113"/>
      <c r="AJ424" s="113"/>
      <c r="AK424" s="113"/>
      <c r="AL424" s="113"/>
      <c r="AM424" s="113"/>
    </row>
    <row r="425" spans="2:39" hidden="1" outlineLevel="2" x14ac:dyDescent="0.2">
      <c r="D425" s="319">
        <v>2</v>
      </c>
      <c r="E425" s="319">
        <v>3</v>
      </c>
      <c r="F425" s="319">
        <v>4</v>
      </c>
      <c r="G425" s="319">
        <v>5</v>
      </c>
      <c r="H425" s="319">
        <v>6</v>
      </c>
      <c r="I425" s="319">
        <v>7</v>
      </c>
      <c r="J425" s="319"/>
    </row>
    <row r="426" spans="2:39" hidden="1" outlineLevel="2" x14ac:dyDescent="0.2">
      <c r="D426" s="74">
        <f>FirstYear</f>
        <v>2026</v>
      </c>
      <c r="E426" s="74">
        <f>D426+1</f>
        <v>2027</v>
      </c>
      <c r="F426" s="74">
        <f>E426+1</f>
        <v>2028</v>
      </c>
      <c r="G426" s="74">
        <f>F426+1</f>
        <v>2029</v>
      </c>
      <c r="H426" s="74">
        <f>G426+1</f>
        <v>2030</v>
      </c>
      <c r="I426" s="74">
        <f>H426+1</f>
        <v>2031</v>
      </c>
    </row>
    <row r="427" spans="2:39" hidden="1" outlineLevel="2" x14ac:dyDescent="0.2">
      <c r="C427" s="150" t="s">
        <v>119</v>
      </c>
      <c r="D427" s="151">
        <f t="shared" ref="D427:I427" si="327">INDEX(PBSScriptsChanged,$B424,D425)</f>
        <v>0</v>
      </c>
      <c r="E427" s="151">
        <f t="shared" si="327"/>
        <v>0</v>
      </c>
      <c r="F427" s="151">
        <f t="shared" si="327"/>
        <v>0</v>
      </c>
      <c r="G427" s="151">
        <f t="shared" si="327"/>
        <v>0</v>
      </c>
      <c r="H427" s="151">
        <f t="shared" si="327"/>
        <v>0</v>
      </c>
      <c r="I427" s="151">
        <f t="shared" si="327"/>
        <v>0</v>
      </c>
      <c r="N427" s="482"/>
    </row>
    <row r="428" spans="2:39" hidden="1" outlineLevel="2" x14ac:dyDescent="0.2">
      <c r="C428" s="150" t="s">
        <v>120</v>
      </c>
      <c r="D428" s="151">
        <f t="shared" ref="D428:I428" si="328">INDEX(RPBSScriptsChanged,$B424,D425)</f>
        <v>0</v>
      </c>
      <c r="E428" s="151">
        <f t="shared" si="328"/>
        <v>0</v>
      </c>
      <c r="F428" s="151">
        <f t="shared" si="328"/>
        <v>0</v>
      </c>
      <c r="G428" s="151">
        <f t="shared" si="328"/>
        <v>0</v>
      </c>
      <c r="H428" s="151">
        <f t="shared" si="328"/>
        <v>0</v>
      </c>
      <c r="I428" s="151">
        <f t="shared" si="328"/>
        <v>0</v>
      </c>
    </row>
    <row r="429" spans="2:39" hidden="1" outlineLevel="2" x14ac:dyDescent="0.2">
      <c r="C429" s="139" t="s">
        <v>121</v>
      </c>
      <c r="D429" s="151">
        <f t="shared" ref="D429:I429" si="329">IF(INDEX(SAChanged,$B424,7)&gt;0,ROUND(D427/INDEX(SAChanged,$B424,2),0),0)</f>
        <v>0</v>
      </c>
      <c r="E429" s="151">
        <f t="shared" si="329"/>
        <v>0</v>
      </c>
      <c r="F429" s="151">
        <f t="shared" si="329"/>
        <v>0</v>
      </c>
      <c r="G429" s="151">
        <f t="shared" si="329"/>
        <v>0</v>
      </c>
      <c r="H429" s="151">
        <f t="shared" si="329"/>
        <v>0</v>
      </c>
      <c r="I429" s="151">
        <f t="shared" si="329"/>
        <v>0</v>
      </c>
      <c r="L429" s="119"/>
    </row>
    <row r="430" spans="2:39" hidden="1" outlineLevel="2" x14ac:dyDescent="0.2">
      <c r="C430" s="139" t="s">
        <v>122</v>
      </c>
      <c r="D430" s="151">
        <f t="shared" ref="D430:I430" si="330">IF(INDEX(SAChanged,$B424,7)&gt;0,ROUND(D428/INDEX(SAChanged,$B424,2),0),0)</f>
        <v>0</v>
      </c>
      <c r="E430" s="151">
        <f t="shared" si="330"/>
        <v>0</v>
      </c>
      <c r="F430" s="151">
        <f t="shared" si="330"/>
        <v>0</v>
      </c>
      <c r="G430" s="151">
        <f t="shared" si="330"/>
        <v>0</v>
      </c>
      <c r="H430" s="151">
        <f t="shared" si="330"/>
        <v>0</v>
      </c>
      <c r="I430" s="151">
        <f t="shared" si="330"/>
        <v>0</v>
      </c>
      <c r="L430" s="119"/>
    </row>
    <row r="431" spans="2:39" outlineLevel="1" collapsed="1" x14ac:dyDescent="0.2">
      <c r="C431" s="455"/>
      <c r="D431" s="480"/>
      <c r="E431" s="348"/>
      <c r="F431" s="348"/>
      <c r="G431" s="348"/>
      <c r="H431" s="348"/>
      <c r="I431" s="348"/>
      <c r="J431" s="348"/>
      <c r="K431" s="348"/>
    </row>
    <row r="432" spans="2:39" ht="15" outlineLevel="1" x14ac:dyDescent="0.2">
      <c r="B432" s="249">
        <v>10</v>
      </c>
      <c r="C432" s="129" t="str">
        <f>INDEX(PBSScriptsChanged,B432,1)</f>
        <v>** NOT USED **</v>
      </c>
      <c r="D432" s="123"/>
      <c r="E432" s="123"/>
      <c r="F432" s="123"/>
      <c r="G432" s="123"/>
      <c r="H432" s="123"/>
      <c r="I432" s="123"/>
      <c r="J432" s="123"/>
      <c r="K432" s="123"/>
      <c r="L432" s="117"/>
      <c r="M432" s="117"/>
      <c r="N432" s="117"/>
      <c r="O432" s="113"/>
      <c r="P432" s="113"/>
      <c r="Q432" s="113"/>
      <c r="R432" s="113"/>
      <c r="S432" s="113"/>
      <c r="T432" s="113"/>
      <c r="U432" s="113"/>
      <c r="V432" s="113"/>
      <c r="W432" s="113"/>
      <c r="X432" s="113"/>
      <c r="Y432" s="113"/>
      <c r="Z432" s="113"/>
      <c r="AA432" s="113"/>
      <c r="AB432" s="113"/>
      <c r="AC432" s="113"/>
      <c r="AD432" s="113"/>
      <c r="AE432" s="113"/>
      <c r="AF432" s="113"/>
      <c r="AG432" s="113"/>
      <c r="AH432" s="113"/>
      <c r="AI432" s="113"/>
      <c r="AJ432" s="113"/>
      <c r="AK432" s="113"/>
      <c r="AL432" s="113"/>
      <c r="AM432" s="113"/>
    </row>
    <row r="433" spans="2:39" hidden="1" outlineLevel="2" x14ac:dyDescent="0.2">
      <c r="D433" s="319">
        <v>2</v>
      </c>
      <c r="E433" s="319">
        <v>3</v>
      </c>
      <c r="F433" s="319">
        <v>4</v>
      </c>
      <c r="G433" s="319">
        <v>5</v>
      </c>
      <c r="H433" s="319">
        <v>6</v>
      </c>
      <c r="I433" s="319">
        <v>7</v>
      </c>
      <c r="J433" s="319"/>
    </row>
    <row r="434" spans="2:39" hidden="1" outlineLevel="2" x14ac:dyDescent="0.2">
      <c r="D434" s="74">
        <f>FirstYear</f>
        <v>2026</v>
      </c>
      <c r="E434" s="74">
        <f>D434+1</f>
        <v>2027</v>
      </c>
      <c r="F434" s="74">
        <f>E434+1</f>
        <v>2028</v>
      </c>
      <c r="G434" s="74">
        <f>F434+1</f>
        <v>2029</v>
      </c>
      <c r="H434" s="74">
        <f>G434+1</f>
        <v>2030</v>
      </c>
      <c r="I434" s="74">
        <f>H434+1</f>
        <v>2031</v>
      </c>
    </row>
    <row r="435" spans="2:39" hidden="1" outlineLevel="2" x14ac:dyDescent="0.2">
      <c r="C435" s="150" t="s">
        <v>119</v>
      </c>
      <c r="D435" s="151">
        <f t="shared" ref="D435:I435" si="331">INDEX(PBSScriptsChanged,$B432,D433)</f>
        <v>0</v>
      </c>
      <c r="E435" s="151">
        <f t="shared" si="331"/>
        <v>0</v>
      </c>
      <c r="F435" s="151">
        <f t="shared" si="331"/>
        <v>0</v>
      </c>
      <c r="G435" s="151">
        <f t="shared" si="331"/>
        <v>0</v>
      </c>
      <c r="H435" s="151">
        <f t="shared" si="331"/>
        <v>0</v>
      </c>
      <c r="I435" s="151">
        <f t="shared" si="331"/>
        <v>0</v>
      </c>
      <c r="N435" s="482"/>
    </row>
    <row r="436" spans="2:39" hidden="1" outlineLevel="2" x14ac:dyDescent="0.2">
      <c r="C436" s="150" t="s">
        <v>120</v>
      </c>
      <c r="D436" s="151">
        <f t="shared" ref="D436:I436" si="332">INDEX(RPBSScriptsChanged,$B432,D433)</f>
        <v>0</v>
      </c>
      <c r="E436" s="151">
        <f t="shared" si="332"/>
        <v>0</v>
      </c>
      <c r="F436" s="151">
        <f t="shared" si="332"/>
        <v>0</v>
      </c>
      <c r="G436" s="151">
        <f t="shared" si="332"/>
        <v>0</v>
      </c>
      <c r="H436" s="151">
        <f t="shared" si="332"/>
        <v>0</v>
      </c>
      <c r="I436" s="151">
        <f t="shared" si="332"/>
        <v>0</v>
      </c>
    </row>
    <row r="437" spans="2:39" hidden="1" outlineLevel="2" x14ac:dyDescent="0.2">
      <c r="C437" s="139" t="s">
        <v>121</v>
      </c>
      <c r="D437" s="151">
        <f t="shared" ref="D437:I437" si="333">IF(INDEX(SAChanged,$B432,7)&gt;0,ROUND(D435/INDEX(SAChanged,$B432,2),0),0)</f>
        <v>0</v>
      </c>
      <c r="E437" s="151">
        <f t="shared" si="333"/>
        <v>0</v>
      </c>
      <c r="F437" s="151">
        <f t="shared" si="333"/>
        <v>0</v>
      </c>
      <c r="G437" s="151">
        <f t="shared" si="333"/>
        <v>0</v>
      </c>
      <c r="H437" s="151">
        <f t="shared" si="333"/>
        <v>0</v>
      </c>
      <c r="I437" s="151">
        <f t="shared" si="333"/>
        <v>0</v>
      </c>
      <c r="L437" s="119"/>
    </row>
    <row r="438" spans="2:39" hidden="1" outlineLevel="2" x14ac:dyDescent="0.2">
      <c r="C438" s="139" t="s">
        <v>122</v>
      </c>
      <c r="D438" s="151">
        <f t="shared" ref="D438:I438" si="334">IF(INDEX(SAChanged,$B432,7)&gt;0,ROUND(D436/INDEX(SAChanged,$B432,2),0),0)</f>
        <v>0</v>
      </c>
      <c r="E438" s="151">
        <f t="shared" si="334"/>
        <v>0</v>
      </c>
      <c r="F438" s="151">
        <f t="shared" si="334"/>
        <v>0</v>
      </c>
      <c r="G438" s="151">
        <f t="shared" si="334"/>
        <v>0</v>
      </c>
      <c r="H438" s="151">
        <f t="shared" si="334"/>
        <v>0</v>
      </c>
      <c r="I438" s="151">
        <f t="shared" si="334"/>
        <v>0</v>
      </c>
      <c r="L438" s="119"/>
    </row>
    <row r="439" spans="2:39" outlineLevel="1" collapsed="1" x14ac:dyDescent="0.2">
      <c r="C439" s="455"/>
      <c r="D439" s="480"/>
      <c r="E439" s="348"/>
      <c r="F439" s="348"/>
      <c r="G439" s="348"/>
      <c r="H439" s="348"/>
      <c r="I439" s="348"/>
      <c r="J439" s="348"/>
      <c r="K439" s="348"/>
    </row>
    <row r="440" spans="2:39" ht="15" outlineLevel="1" x14ac:dyDescent="0.2">
      <c r="B440" s="249">
        <v>11</v>
      </c>
      <c r="C440" s="129" t="str">
        <f>INDEX(PBSScriptsChanged,B440,1)</f>
        <v>** NOT USED **</v>
      </c>
      <c r="D440" s="123"/>
      <c r="E440" s="123"/>
      <c r="F440" s="123"/>
      <c r="G440" s="123"/>
      <c r="H440" s="123"/>
      <c r="I440" s="123"/>
      <c r="J440" s="123"/>
      <c r="K440" s="123"/>
      <c r="L440" s="117"/>
      <c r="M440" s="117"/>
      <c r="N440" s="117"/>
      <c r="O440" s="113"/>
      <c r="P440" s="113"/>
      <c r="Q440" s="113"/>
      <c r="R440" s="113"/>
      <c r="S440" s="113"/>
      <c r="T440" s="113"/>
      <c r="U440" s="113"/>
      <c r="V440" s="113"/>
      <c r="W440" s="113"/>
      <c r="X440" s="113"/>
      <c r="Y440" s="113"/>
      <c r="Z440" s="113"/>
      <c r="AA440" s="113"/>
      <c r="AB440" s="113"/>
      <c r="AC440" s="113"/>
      <c r="AD440" s="113"/>
      <c r="AE440" s="113"/>
      <c r="AF440" s="113"/>
      <c r="AG440" s="113"/>
      <c r="AH440" s="113"/>
      <c r="AI440" s="113"/>
      <c r="AJ440" s="113"/>
      <c r="AK440" s="113"/>
      <c r="AL440" s="113"/>
      <c r="AM440" s="113"/>
    </row>
    <row r="441" spans="2:39" hidden="1" outlineLevel="2" x14ac:dyDescent="0.2">
      <c r="D441" s="319">
        <v>2</v>
      </c>
      <c r="E441" s="319">
        <v>3</v>
      </c>
      <c r="F441" s="319">
        <v>4</v>
      </c>
      <c r="G441" s="319">
        <v>5</v>
      </c>
      <c r="H441" s="319">
        <v>6</v>
      </c>
      <c r="I441" s="319">
        <v>7</v>
      </c>
      <c r="J441" s="319"/>
    </row>
    <row r="442" spans="2:39" hidden="1" outlineLevel="2" x14ac:dyDescent="0.2">
      <c r="D442" s="74">
        <f>FirstYear</f>
        <v>2026</v>
      </c>
      <c r="E442" s="74">
        <f>D442+1</f>
        <v>2027</v>
      </c>
      <c r="F442" s="74">
        <f>E442+1</f>
        <v>2028</v>
      </c>
      <c r="G442" s="74">
        <f>F442+1</f>
        <v>2029</v>
      </c>
      <c r="H442" s="74">
        <f>G442+1</f>
        <v>2030</v>
      </c>
      <c r="I442" s="74">
        <f>H442+1</f>
        <v>2031</v>
      </c>
    </row>
    <row r="443" spans="2:39" hidden="1" outlineLevel="2" x14ac:dyDescent="0.2">
      <c r="C443" s="150" t="s">
        <v>119</v>
      </c>
      <c r="D443" s="151">
        <f t="shared" ref="D443:I443" si="335">INDEX(PBSScriptsChanged,$B440,D441)</f>
        <v>0</v>
      </c>
      <c r="E443" s="151">
        <f t="shared" si="335"/>
        <v>0</v>
      </c>
      <c r="F443" s="151">
        <f t="shared" si="335"/>
        <v>0</v>
      </c>
      <c r="G443" s="151">
        <f t="shared" si="335"/>
        <v>0</v>
      </c>
      <c r="H443" s="151">
        <f t="shared" si="335"/>
        <v>0</v>
      </c>
      <c r="I443" s="151">
        <f t="shared" si="335"/>
        <v>0</v>
      </c>
      <c r="N443" s="482"/>
    </row>
    <row r="444" spans="2:39" hidden="1" outlineLevel="2" x14ac:dyDescent="0.2">
      <c r="C444" s="150" t="s">
        <v>120</v>
      </c>
      <c r="D444" s="151">
        <f t="shared" ref="D444:I444" si="336">INDEX(RPBSScriptsChanged,$B440,D441)</f>
        <v>0</v>
      </c>
      <c r="E444" s="151">
        <f t="shared" si="336"/>
        <v>0</v>
      </c>
      <c r="F444" s="151">
        <f t="shared" si="336"/>
        <v>0</v>
      </c>
      <c r="G444" s="151">
        <f t="shared" si="336"/>
        <v>0</v>
      </c>
      <c r="H444" s="151">
        <f t="shared" si="336"/>
        <v>0</v>
      </c>
      <c r="I444" s="151">
        <f t="shared" si="336"/>
        <v>0</v>
      </c>
    </row>
    <row r="445" spans="2:39" hidden="1" outlineLevel="2" x14ac:dyDescent="0.2">
      <c r="C445" s="139" t="s">
        <v>121</v>
      </c>
      <c r="D445" s="151">
        <f t="shared" ref="D445:I445" si="337">IF(INDEX(SAChanged,$B440,7)&gt;0,ROUND(D443/INDEX(SAChanged,$B440,2),0),0)</f>
        <v>0</v>
      </c>
      <c r="E445" s="151">
        <f t="shared" si="337"/>
        <v>0</v>
      </c>
      <c r="F445" s="151">
        <f t="shared" si="337"/>
        <v>0</v>
      </c>
      <c r="G445" s="151">
        <f t="shared" si="337"/>
        <v>0</v>
      </c>
      <c r="H445" s="151">
        <f t="shared" si="337"/>
        <v>0</v>
      </c>
      <c r="I445" s="151">
        <f t="shared" si="337"/>
        <v>0</v>
      </c>
      <c r="L445" s="119"/>
    </row>
    <row r="446" spans="2:39" hidden="1" outlineLevel="2" x14ac:dyDescent="0.2">
      <c r="C446" s="139" t="s">
        <v>122</v>
      </c>
      <c r="D446" s="151">
        <f t="shared" ref="D446:I446" si="338">IF(INDEX(SAChanged,$B440,7)&gt;0,ROUND(D444/INDEX(SAChanged,$B440,2),0),0)</f>
        <v>0</v>
      </c>
      <c r="E446" s="151">
        <f t="shared" si="338"/>
        <v>0</v>
      </c>
      <c r="F446" s="151">
        <f t="shared" si="338"/>
        <v>0</v>
      </c>
      <c r="G446" s="151">
        <f t="shared" si="338"/>
        <v>0</v>
      </c>
      <c r="H446" s="151">
        <f t="shared" si="338"/>
        <v>0</v>
      </c>
      <c r="I446" s="151">
        <f t="shared" si="338"/>
        <v>0</v>
      </c>
      <c r="L446" s="119"/>
    </row>
    <row r="447" spans="2:39" outlineLevel="1" collapsed="1" x14ac:dyDescent="0.2">
      <c r="C447" s="455"/>
      <c r="D447" s="480"/>
      <c r="E447" s="348"/>
      <c r="F447" s="348"/>
      <c r="G447" s="348"/>
      <c r="H447" s="348"/>
      <c r="I447" s="348"/>
      <c r="J447" s="348"/>
      <c r="K447" s="348"/>
    </row>
    <row r="448" spans="2:39" ht="15" outlineLevel="1" x14ac:dyDescent="0.2">
      <c r="B448" s="249">
        <v>12</v>
      </c>
      <c r="C448" s="129" t="str">
        <f>INDEX(PBSScriptsChanged,B448,1)</f>
        <v>** NOT USED **</v>
      </c>
      <c r="D448" s="123"/>
      <c r="E448" s="123"/>
      <c r="F448" s="123"/>
      <c r="G448" s="123"/>
      <c r="H448" s="123"/>
      <c r="I448" s="123"/>
      <c r="J448" s="123"/>
      <c r="K448" s="123"/>
      <c r="L448" s="117"/>
      <c r="M448" s="117"/>
      <c r="N448" s="117"/>
      <c r="O448" s="113"/>
      <c r="P448" s="113"/>
      <c r="Q448" s="113"/>
      <c r="R448" s="113"/>
      <c r="S448" s="113"/>
      <c r="T448" s="113"/>
      <c r="U448" s="113"/>
      <c r="V448" s="113"/>
      <c r="W448" s="113"/>
      <c r="X448" s="113"/>
      <c r="Y448" s="113"/>
      <c r="Z448" s="113"/>
      <c r="AA448" s="113"/>
      <c r="AB448" s="113"/>
      <c r="AC448" s="113"/>
      <c r="AD448" s="113"/>
      <c r="AE448" s="113"/>
      <c r="AF448" s="113"/>
      <c r="AG448" s="113"/>
      <c r="AH448" s="113"/>
      <c r="AI448" s="113"/>
      <c r="AJ448" s="113"/>
      <c r="AK448" s="113"/>
      <c r="AL448" s="113"/>
      <c r="AM448" s="113"/>
    </row>
    <row r="449" spans="2:39" hidden="1" outlineLevel="2" x14ac:dyDescent="0.2">
      <c r="D449" s="319">
        <v>2</v>
      </c>
      <c r="E449" s="319">
        <v>3</v>
      </c>
      <c r="F449" s="319">
        <v>4</v>
      </c>
      <c r="G449" s="319">
        <v>5</v>
      </c>
      <c r="H449" s="319">
        <v>6</v>
      </c>
      <c r="I449" s="319">
        <v>7</v>
      </c>
      <c r="J449" s="319"/>
    </row>
    <row r="450" spans="2:39" hidden="1" outlineLevel="2" x14ac:dyDescent="0.2">
      <c r="D450" s="74">
        <f>FirstYear</f>
        <v>2026</v>
      </c>
      <c r="E450" s="74">
        <f>D450+1</f>
        <v>2027</v>
      </c>
      <c r="F450" s="74">
        <f>E450+1</f>
        <v>2028</v>
      </c>
      <c r="G450" s="74">
        <f>F450+1</f>
        <v>2029</v>
      </c>
      <c r="H450" s="74">
        <f>G450+1</f>
        <v>2030</v>
      </c>
      <c r="I450" s="74">
        <f>H450+1</f>
        <v>2031</v>
      </c>
    </row>
    <row r="451" spans="2:39" hidden="1" outlineLevel="2" x14ac:dyDescent="0.2">
      <c r="C451" s="150" t="s">
        <v>119</v>
      </c>
      <c r="D451" s="151">
        <f t="shared" ref="D451:I451" si="339">INDEX(PBSScriptsChanged,$B448,D449)</f>
        <v>0</v>
      </c>
      <c r="E451" s="151">
        <f t="shared" si="339"/>
        <v>0</v>
      </c>
      <c r="F451" s="151">
        <f t="shared" si="339"/>
        <v>0</v>
      </c>
      <c r="G451" s="151">
        <f t="shared" si="339"/>
        <v>0</v>
      </c>
      <c r="H451" s="151">
        <f t="shared" si="339"/>
        <v>0</v>
      </c>
      <c r="I451" s="151">
        <f t="shared" si="339"/>
        <v>0</v>
      </c>
      <c r="N451" s="482"/>
    </row>
    <row r="452" spans="2:39" hidden="1" outlineLevel="2" x14ac:dyDescent="0.2">
      <c r="C452" s="150" t="s">
        <v>120</v>
      </c>
      <c r="D452" s="151">
        <f t="shared" ref="D452:I452" si="340">INDEX(RPBSScriptsChanged,$B448,D449)</f>
        <v>0</v>
      </c>
      <c r="E452" s="151">
        <f t="shared" si="340"/>
        <v>0</v>
      </c>
      <c r="F452" s="151">
        <f t="shared" si="340"/>
        <v>0</v>
      </c>
      <c r="G452" s="151">
        <f t="shared" si="340"/>
        <v>0</v>
      </c>
      <c r="H452" s="151">
        <f t="shared" si="340"/>
        <v>0</v>
      </c>
      <c r="I452" s="151">
        <f t="shared" si="340"/>
        <v>0</v>
      </c>
    </row>
    <row r="453" spans="2:39" hidden="1" outlineLevel="2" x14ac:dyDescent="0.2">
      <c r="C453" s="139" t="s">
        <v>121</v>
      </c>
      <c r="D453" s="151">
        <f t="shared" ref="D453:I453" si="341">IF(INDEX(SAChanged,$B448,7)&gt;0,ROUND(D451/INDEX(SAChanged,$B448,2),0),0)</f>
        <v>0</v>
      </c>
      <c r="E453" s="151">
        <f t="shared" si="341"/>
        <v>0</v>
      </c>
      <c r="F453" s="151">
        <f t="shared" si="341"/>
        <v>0</v>
      </c>
      <c r="G453" s="151">
        <f t="shared" si="341"/>
        <v>0</v>
      </c>
      <c r="H453" s="151">
        <f t="shared" si="341"/>
        <v>0</v>
      </c>
      <c r="I453" s="151">
        <f t="shared" si="341"/>
        <v>0</v>
      </c>
      <c r="L453" s="119"/>
    </row>
    <row r="454" spans="2:39" hidden="1" outlineLevel="2" x14ac:dyDescent="0.2">
      <c r="C454" s="139" t="s">
        <v>122</v>
      </c>
      <c r="D454" s="151">
        <f t="shared" ref="D454:I454" si="342">IF(INDEX(SAChanged,$B448,7)&gt;0,ROUND(D452/INDEX(SAChanged,$B448,2),0),0)</f>
        <v>0</v>
      </c>
      <c r="E454" s="151">
        <f t="shared" si="342"/>
        <v>0</v>
      </c>
      <c r="F454" s="151">
        <f t="shared" si="342"/>
        <v>0</v>
      </c>
      <c r="G454" s="151">
        <f t="shared" si="342"/>
        <v>0</v>
      </c>
      <c r="H454" s="151">
        <f t="shared" si="342"/>
        <v>0</v>
      </c>
      <c r="I454" s="151">
        <f t="shared" si="342"/>
        <v>0</v>
      </c>
      <c r="L454" s="119"/>
    </row>
    <row r="455" spans="2:39" outlineLevel="1" collapsed="1" x14ac:dyDescent="0.2">
      <c r="C455" s="455"/>
      <c r="D455" s="480"/>
      <c r="E455" s="348"/>
      <c r="F455" s="348"/>
      <c r="G455" s="348"/>
      <c r="H455" s="348"/>
      <c r="I455" s="348"/>
      <c r="J455" s="348"/>
      <c r="K455" s="348"/>
    </row>
    <row r="456" spans="2:39" ht="15" outlineLevel="1" x14ac:dyDescent="0.2">
      <c r="B456" s="249">
        <v>13</v>
      </c>
      <c r="C456" s="129" t="str">
        <f>INDEX(PBSScriptsChanged,B456,1)</f>
        <v>** NOT USED **</v>
      </c>
      <c r="D456" s="123"/>
      <c r="E456" s="123"/>
      <c r="F456" s="123"/>
      <c r="G456" s="123"/>
      <c r="H456" s="123"/>
      <c r="I456" s="123"/>
      <c r="J456" s="123"/>
      <c r="K456" s="123"/>
      <c r="L456" s="117"/>
      <c r="M456" s="117"/>
      <c r="N456" s="117"/>
      <c r="O456" s="113"/>
      <c r="P456" s="113"/>
      <c r="Q456" s="113"/>
      <c r="R456" s="113"/>
      <c r="S456" s="113"/>
      <c r="T456" s="113"/>
      <c r="U456" s="113"/>
      <c r="V456" s="113"/>
      <c r="W456" s="113"/>
      <c r="X456" s="113"/>
      <c r="Y456" s="113"/>
      <c r="Z456" s="113"/>
      <c r="AA456" s="113"/>
      <c r="AB456" s="113"/>
      <c r="AC456" s="113"/>
      <c r="AD456" s="113"/>
      <c r="AE456" s="113"/>
      <c r="AF456" s="113"/>
      <c r="AG456" s="113"/>
      <c r="AH456" s="113"/>
      <c r="AI456" s="113"/>
      <c r="AJ456" s="113"/>
      <c r="AK456" s="113"/>
      <c r="AL456" s="113"/>
      <c r="AM456" s="113"/>
    </row>
    <row r="457" spans="2:39" hidden="1" outlineLevel="2" x14ac:dyDescent="0.2">
      <c r="D457" s="319">
        <v>2</v>
      </c>
      <c r="E457" s="319">
        <v>3</v>
      </c>
      <c r="F457" s="319">
        <v>4</v>
      </c>
      <c r="G457" s="319">
        <v>5</v>
      </c>
      <c r="H457" s="319">
        <v>6</v>
      </c>
      <c r="I457" s="319">
        <v>7</v>
      </c>
      <c r="J457" s="319"/>
    </row>
    <row r="458" spans="2:39" hidden="1" outlineLevel="2" x14ac:dyDescent="0.2">
      <c r="D458" s="74">
        <f>FirstYear</f>
        <v>2026</v>
      </c>
      <c r="E458" s="74">
        <f>D458+1</f>
        <v>2027</v>
      </c>
      <c r="F458" s="74">
        <f>E458+1</f>
        <v>2028</v>
      </c>
      <c r="G458" s="74">
        <f>F458+1</f>
        <v>2029</v>
      </c>
      <c r="H458" s="74">
        <f>G458+1</f>
        <v>2030</v>
      </c>
      <c r="I458" s="74">
        <f>H458+1</f>
        <v>2031</v>
      </c>
    </row>
    <row r="459" spans="2:39" hidden="1" outlineLevel="2" x14ac:dyDescent="0.2">
      <c r="C459" s="150" t="s">
        <v>119</v>
      </c>
      <c r="D459" s="151">
        <f t="shared" ref="D459:I459" si="343">INDEX(PBSScriptsChanged,$B456,D457)</f>
        <v>0</v>
      </c>
      <c r="E459" s="151">
        <f t="shared" si="343"/>
        <v>0</v>
      </c>
      <c r="F459" s="151">
        <f t="shared" si="343"/>
        <v>0</v>
      </c>
      <c r="G459" s="151">
        <f t="shared" si="343"/>
        <v>0</v>
      </c>
      <c r="H459" s="151">
        <f t="shared" si="343"/>
        <v>0</v>
      </c>
      <c r="I459" s="151">
        <f t="shared" si="343"/>
        <v>0</v>
      </c>
      <c r="N459" s="482"/>
    </row>
    <row r="460" spans="2:39" hidden="1" outlineLevel="2" x14ac:dyDescent="0.2">
      <c r="C460" s="150" t="s">
        <v>120</v>
      </c>
      <c r="D460" s="151">
        <f t="shared" ref="D460:I460" si="344">INDEX(RPBSScriptsChanged,$B456,D457)</f>
        <v>0</v>
      </c>
      <c r="E460" s="151">
        <f t="shared" si="344"/>
        <v>0</v>
      </c>
      <c r="F460" s="151">
        <f t="shared" si="344"/>
        <v>0</v>
      </c>
      <c r="G460" s="151">
        <f t="shared" si="344"/>
        <v>0</v>
      </c>
      <c r="H460" s="151">
        <f t="shared" si="344"/>
        <v>0</v>
      </c>
      <c r="I460" s="151">
        <f t="shared" si="344"/>
        <v>0</v>
      </c>
    </row>
    <row r="461" spans="2:39" hidden="1" outlineLevel="2" x14ac:dyDescent="0.2">
      <c r="C461" s="139" t="s">
        <v>121</v>
      </c>
      <c r="D461" s="151">
        <f t="shared" ref="D461:I461" si="345">IF(INDEX(SAChanged,$B456,7)&gt;0,ROUND(D459/INDEX(SAChanged,$B456,2),0),0)</f>
        <v>0</v>
      </c>
      <c r="E461" s="151">
        <f t="shared" si="345"/>
        <v>0</v>
      </c>
      <c r="F461" s="151">
        <f t="shared" si="345"/>
        <v>0</v>
      </c>
      <c r="G461" s="151">
        <f t="shared" si="345"/>
        <v>0</v>
      </c>
      <c r="H461" s="151">
        <f t="shared" si="345"/>
        <v>0</v>
      </c>
      <c r="I461" s="151">
        <f t="shared" si="345"/>
        <v>0</v>
      </c>
      <c r="L461" s="119"/>
    </row>
    <row r="462" spans="2:39" hidden="1" outlineLevel="2" x14ac:dyDescent="0.2">
      <c r="C462" s="139" t="s">
        <v>122</v>
      </c>
      <c r="D462" s="151">
        <f t="shared" ref="D462:I462" si="346">IF(INDEX(SAChanged,$B456,7)&gt;0,ROUND(D460/INDEX(SAChanged,$B456,2),0),0)</f>
        <v>0</v>
      </c>
      <c r="E462" s="151">
        <f t="shared" si="346"/>
        <v>0</v>
      </c>
      <c r="F462" s="151">
        <f t="shared" si="346"/>
        <v>0</v>
      </c>
      <c r="G462" s="151">
        <f t="shared" si="346"/>
        <v>0</v>
      </c>
      <c r="H462" s="151">
        <f t="shared" si="346"/>
        <v>0</v>
      </c>
      <c r="I462" s="151">
        <f t="shared" si="346"/>
        <v>0</v>
      </c>
      <c r="L462" s="119"/>
    </row>
    <row r="463" spans="2:39" outlineLevel="1" collapsed="1" x14ac:dyDescent="0.2">
      <c r="C463" s="455"/>
      <c r="D463" s="480"/>
      <c r="E463" s="348"/>
      <c r="F463" s="348"/>
      <c r="G463" s="348"/>
      <c r="H463" s="348"/>
      <c r="I463" s="348"/>
      <c r="J463" s="348"/>
      <c r="K463" s="348"/>
    </row>
    <row r="464" spans="2:39" ht="15" outlineLevel="1" x14ac:dyDescent="0.2">
      <c r="B464" s="249">
        <v>14</v>
      </c>
      <c r="C464" s="129" t="str">
        <f>INDEX(PBSScriptsChanged,B464,1)</f>
        <v>** NOT USED **</v>
      </c>
      <c r="D464" s="123"/>
      <c r="E464" s="123"/>
      <c r="F464" s="123"/>
      <c r="G464" s="123"/>
      <c r="H464" s="123"/>
      <c r="I464" s="123"/>
      <c r="J464" s="123"/>
      <c r="K464" s="123"/>
      <c r="L464" s="117"/>
      <c r="M464" s="117"/>
      <c r="N464" s="117"/>
      <c r="O464" s="113"/>
      <c r="P464" s="113"/>
      <c r="Q464" s="113"/>
      <c r="R464" s="113"/>
      <c r="S464" s="113"/>
      <c r="T464" s="113"/>
      <c r="U464" s="113"/>
      <c r="V464" s="113"/>
      <c r="W464" s="113"/>
      <c r="X464" s="113"/>
      <c r="Y464" s="113"/>
      <c r="Z464" s="113"/>
      <c r="AA464" s="113"/>
      <c r="AB464" s="113"/>
      <c r="AC464" s="113"/>
      <c r="AD464" s="113"/>
      <c r="AE464" s="113"/>
      <c r="AF464" s="113"/>
      <c r="AG464" s="113"/>
      <c r="AH464" s="113"/>
      <c r="AI464" s="113"/>
      <c r="AJ464" s="113"/>
      <c r="AK464" s="113"/>
      <c r="AL464" s="113"/>
      <c r="AM464" s="113"/>
    </row>
    <row r="465" spans="2:39" hidden="1" outlineLevel="2" x14ac:dyDescent="0.2">
      <c r="D465" s="319">
        <v>2</v>
      </c>
      <c r="E465" s="319">
        <v>3</v>
      </c>
      <c r="F465" s="319">
        <v>4</v>
      </c>
      <c r="G465" s="319">
        <v>5</v>
      </c>
      <c r="H465" s="319">
        <v>6</v>
      </c>
      <c r="I465" s="319">
        <v>7</v>
      </c>
      <c r="J465" s="319"/>
    </row>
    <row r="466" spans="2:39" hidden="1" outlineLevel="2" x14ac:dyDescent="0.2">
      <c r="D466" s="74">
        <f>FirstYear</f>
        <v>2026</v>
      </c>
      <c r="E466" s="74">
        <f>D466+1</f>
        <v>2027</v>
      </c>
      <c r="F466" s="74">
        <f>E466+1</f>
        <v>2028</v>
      </c>
      <c r="G466" s="74">
        <f>F466+1</f>
        <v>2029</v>
      </c>
      <c r="H466" s="74">
        <f>G466+1</f>
        <v>2030</v>
      </c>
      <c r="I466" s="74">
        <f>H466+1</f>
        <v>2031</v>
      </c>
    </row>
    <row r="467" spans="2:39" hidden="1" outlineLevel="2" x14ac:dyDescent="0.2">
      <c r="C467" s="150" t="s">
        <v>119</v>
      </c>
      <c r="D467" s="151">
        <f t="shared" ref="D467:I467" si="347">INDEX(PBSScriptsChanged,$B464,D465)</f>
        <v>0</v>
      </c>
      <c r="E467" s="151">
        <f t="shared" si="347"/>
        <v>0</v>
      </c>
      <c r="F467" s="151">
        <f t="shared" si="347"/>
        <v>0</v>
      </c>
      <c r="G467" s="151">
        <f t="shared" si="347"/>
        <v>0</v>
      </c>
      <c r="H467" s="151">
        <f t="shared" si="347"/>
        <v>0</v>
      </c>
      <c r="I467" s="151">
        <f t="shared" si="347"/>
        <v>0</v>
      </c>
      <c r="N467" s="482"/>
    </row>
    <row r="468" spans="2:39" hidden="1" outlineLevel="2" x14ac:dyDescent="0.2">
      <c r="C468" s="150" t="s">
        <v>120</v>
      </c>
      <c r="D468" s="151">
        <f t="shared" ref="D468:I468" si="348">INDEX(RPBSScriptsChanged,$B464,D465)</f>
        <v>0</v>
      </c>
      <c r="E468" s="151">
        <f t="shared" si="348"/>
        <v>0</v>
      </c>
      <c r="F468" s="151">
        <f t="shared" si="348"/>
        <v>0</v>
      </c>
      <c r="G468" s="151">
        <f t="shared" si="348"/>
        <v>0</v>
      </c>
      <c r="H468" s="151">
        <f t="shared" si="348"/>
        <v>0</v>
      </c>
      <c r="I468" s="151">
        <f t="shared" si="348"/>
        <v>0</v>
      </c>
    </row>
    <row r="469" spans="2:39" hidden="1" outlineLevel="2" x14ac:dyDescent="0.2">
      <c r="C469" s="139" t="s">
        <v>121</v>
      </c>
      <c r="D469" s="151">
        <f t="shared" ref="D469:I469" si="349">IF(INDEX(SAChanged,$B464,7)&gt;0,ROUND(D467/INDEX(SAChanged,$B464,2),0),0)</f>
        <v>0</v>
      </c>
      <c r="E469" s="151">
        <f t="shared" si="349"/>
        <v>0</v>
      </c>
      <c r="F469" s="151">
        <f t="shared" si="349"/>
        <v>0</v>
      </c>
      <c r="G469" s="151">
        <f t="shared" si="349"/>
        <v>0</v>
      </c>
      <c r="H469" s="151">
        <f t="shared" si="349"/>
        <v>0</v>
      </c>
      <c r="I469" s="151">
        <f t="shared" si="349"/>
        <v>0</v>
      </c>
      <c r="L469" s="119"/>
    </row>
    <row r="470" spans="2:39" hidden="1" outlineLevel="2" x14ac:dyDescent="0.2">
      <c r="C470" s="139" t="s">
        <v>122</v>
      </c>
      <c r="D470" s="151">
        <f t="shared" ref="D470:I470" si="350">IF(INDEX(SAChanged,$B464,7)&gt;0,ROUND(D468/INDEX(SAChanged,$B464,2),0),0)</f>
        <v>0</v>
      </c>
      <c r="E470" s="151">
        <f t="shared" si="350"/>
        <v>0</v>
      </c>
      <c r="F470" s="151">
        <f t="shared" si="350"/>
        <v>0</v>
      </c>
      <c r="G470" s="151">
        <f t="shared" si="350"/>
        <v>0</v>
      </c>
      <c r="H470" s="151">
        <f t="shared" si="350"/>
        <v>0</v>
      </c>
      <c r="I470" s="151">
        <f t="shared" si="350"/>
        <v>0</v>
      </c>
      <c r="L470" s="119"/>
    </row>
    <row r="471" spans="2:39" outlineLevel="1" collapsed="1" x14ac:dyDescent="0.2">
      <c r="C471" s="455"/>
      <c r="D471" s="480"/>
      <c r="E471" s="348"/>
      <c r="F471" s="348"/>
      <c r="G471" s="348"/>
      <c r="H471" s="348"/>
      <c r="I471" s="348"/>
      <c r="J471" s="348"/>
      <c r="K471" s="348"/>
    </row>
    <row r="472" spans="2:39" ht="15" outlineLevel="1" x14ac:dyDescent="0.2">
      <c r="B472" s="249">
        <v>15</v>
      </c>
      <c r="C472" s="129" t="str">
        <f>INDEX(PBSScriptsChanged,B472,1)</f>
        <v>** NOT USED **</v>
      </c>
      <c r="D472" s="123"/>
      <c r="E472" s="123"/>
      <c r="F472" s="123"/>
      <c r="G472" s="123"/>
      <c r="H472" s="123"/>
      <c r="I472" s="123"/>
      <c r="J472" s="123"/>
      <c r="K472" s="123"/>
      <c r="L472" s="117"/>
      <c r="M472" s="117"/>
      <c r="N472" s="117"/>
      <c r="O472" s="113"/>
      <c r="P472" s="113"/>
      <c r="Q472" s="113"/>
      <c r="R472" s="113"/>
      <c r="S472" s="113"/>
      <c r="T472" s="113"/>
      <c r="U472" s="113"/>
      <c r="V472" s="113"/>
      <c r="W472" s="113"/>
      <c r="X472" s="113"/>
      <c r="Y472" s="113"/>
      <c r="Z472" s="113"/>
      <c r="AA472" s="113"/>
      <c r="AB472" s="113"/>
      <c r="AC472" s="113"/>
      <c r="AD472" s="113"/>
      <c r="AE472" s="113"/>
      <c r="AF472" s="113"/>
      <c r="AG472" s="113"/>
      <c r="AH472" s="113"/>
      <c r="AI472" s="113"/>
      <c r="AJ472" s="113"/>
      <c r="AK472" s="113"/>
      <c r="AL472" s="113"/>
      <c r="AM472" s="113"/>
    </row>
    <row r="473" spans="2:39" hidden="1" outlineLevel="2" x14ac:dyDescent="0.2">
      <c r="D473" s="319">
        <v>2</v>
      </c>
      <c r="E473" s="319">
        <v>3</v>
      </c>
      <c r="F473" s="319">
        <v>4</v>
      </c>
      <c r="G473" s="319">
        <v>5</v>
      </c>
      <c r="H473" s="319">
        <v>6</v>
      </c>
      <c r="I473" s="319">
        <v>7</v>
      </c>
      <c r="J473" s="319"/>
    </row>
    <row r="474" spans="2:39" hidden="1" outlineLevel="2" x14ac:dyDescent="0.2">
      <c r="D474" s="74">
        <f>FirstYear</f>
        <v>2026</v>
      </c>
      <c r="E474" s="74">
        <f>D474+1</f>
        <v>2027</v>
      </c>
      <c r="F474" s="74">
        <f>E474+1</f>
        <v>2028</v>
      </c>
      <c r="G474" s="74">
        <f>F474+1</f>
        <v>2029</v>
      </c>
      <c r="H474" s="74">
        <f>G474+1</f>
        <v>2030</v>
      </c>
      <c r="I474" s="74">
        <f>H474+1</f>
        <v>2031</v>
      </c>
    </row>
    <row r="475" spans="2:39" hidden="1" outlineLevel="2" x14ac:dyDescent="0.2">
      <c r="C475" s="150" t="s">
        <v>119</v>
      </c>
      <c r="D475" s="151">
        <f t="shared" ref="D475:I475" si="351">INDEX(PBSScriptsChanged,$B472,D473)</f>
        <v>0</v>
      </c>
      <c r="E475" s="151">
        <f t="shared" si="351"/>
        <v>0</v>
      </c>
      <c r="F475" s="151">
        <f t="shared" si="351"/>
        <v>0</v>
      </c>
      <c r="G475" s="151">
        <f t="shared" si="351"/>
        <v>0</v>
      </c>
      <c r="H475" s="151">
        <f t="shared" si="351"/>
        <v>0</v>
      </c>
      <c r="I475" s="151">
        <f t="shared" si="351"/>
        <v>0</v>
      </c>
      <c r="N475" s="482"/>
    </row>
    <row r="476" spans="2:39" hidden="1" outlineLevel="2" x14ac:dyDescent="0.2">
      <c r="C476" s="150" t="s">
        <v>120</v>
      </c>
      <c r="D476" s="151">
        <f t="shared" ref="D476:I476" si="352">INDEX(RPBSScriptsChanged,$B472,D473)</f>
        <v>0</v>
      </c>
      <c r="E476" s="151">
        <f t="shared" si="352"/>
        <v>0</v>
      </c>
      <c r="F476" s="151">
        <f t="shared" si="352"/>
        <v>0</v>
      </c>
      <c r="G476" s="151">
        <f t="shared" si="352"/>
        <v>0</v>
      </c>
      <c r="H476" s="151">
        <f t="shared" si="352"/>
        <v>0</v>
      </c>
      <c r="I476" s="151">
        <f t="shared" si="352"/>
        <v>0</v>
      </c>
    </row>
    <row r="477" spans="2:39" hidden="1" outlineLevel="2" x14ac:dyDescent="0.2">
      <c r="C477" s="139" t="s">
        <v>121</v>
      </c>
      <c r="D477" s="151">
        <f t="shared" ref="D477:I477" si="353">IF(INDEX(SAChanged,$B472,7)&gt;0,ROUND(D475/INDEX(SAChanged,$B472,2),0),0)</f>
        <v>0</v>
      </c>
      <c r="E477" s="151">
        <f t="shared" si="353"/>
        <v>0</v>
      </c>
      <c r="F477" s="151">
        <f t="shared" si="353"/>
        <v>0</v>
      </c>
      <c r="G477" s="151">
        <f t="shared" si="353"/>
        <v>0</v>
      </c>
      <c r="H477" s="151">
        <f t="shared" si="353"/>
        <v>0</v>
      </c>
      <c r="I477" s="151">
        <f t="shared" si="353"/>
        <v>0</v>
      </c>
      <c r="L477" s="119"/>
    </row>
    <row r="478" spans="2:39" hidden="1" outlineLevel="2" x14ac:dyDescent="0.2">
      <c r="C478" s="139" t="s">
        <v>122</v>
      </c>
      <c r="D478" s="151">
        <f t="shared" ref="D478:I478" si="354">IF(INDEX(SAChanged,$B472,7)&gt;0,ROUND(D476/INDEX(SAChanged,$B472,2),0),0)</f>
        <v>0</v>
      </c>
      <c r="E478" s="151">
        <f t="shared" si="354"/>
        <v>0</v>
      </c>
      <c r="F478" s="151">
        <f t="shared" si="354"/>
        <v>0</v>
      </c>
      <c r="G478" s="151">
        <f t="shared" si="354"/>
        <v>0</v>
      </c>
      <c r="H478" s="151">
        <f t="shared" si="354"/>
        <v>0</v>
      </c>
      <c r="I478" s="151">
        <f t="shared" si="354"/>
        <v>0</v>
      </c>
      <c r="L478" s="119"/>
    </row>
    <row r="479" spans="2:39" outlineLevel="1" collapsed="1" x14ac:dyDescent="0.2">
      <c r="C479" s="455"/>
      <c r="D479" s="480"/>
      <c r="E479" s="348"/>
      <c r="F479" s="348"/>
      <c r="G479" s="348"/>
      <c r="H479" s="348"/>
      <c r="I479" s="348"/>
      <c r="J479" s="348"/>
      <c r="K479" s="348"/>
    </row>
    <row r="480" spans="2:39" ht="15" outlineLevel="1" x14ac:dyDescent="0.2">
      <c r="B480" s="249">
        <v>16</v>
      </c>
      <c r="C480" s="129" t="str">
        <f>INDEX(PBSScriptsChanged,B480,1)</f>
        <v>** NOT USED **</v>
      </c>
      <c r="D480" s="123"/>
      <c r="E480" s="123"/>
      <c r="F480" s="123"/>
      <c r="G480" s="123"/>
      <c r="H480" s="123"/>
      <c r="I480" s="123"/>
      <c r="J480" s="123"/>
      <c r="K480" s="123"/>
      <c r="L480" s="117"/>
      <c r="M480" s="117"/>
      <c r="N480" s="117"/>
      <c r="O480" s="113"/>
      <c r="P480" s="113"/>
      <c r="Q480" s="113"/>
      <c r="R480" s="113"/>
      <c r="S480" s="113"/>
      <c r="T480" s="113"/>
      <c r="U480" s="113"/>
      <c r="V480" s="113"/>
      <c r="W480" s="113"/>
      <c r="X480" s="113"/>
      <c r="Y480" s="113"/>
      <c r="Z480" s="113"/>
      <c r="AA480" s="113"/>
      <c r="AB480" s="113"/>
      <c r="AC480" s="113"/>
      <c r="AD480" s="113"/>
      <c r="AE480" s="113"/>
      <c r="AF480" s="113"/>
      <c r="AG480" s="113"/>
      <c r="AH480" s="113"/>
      <c r="AI480" s="113"/>
      <c r="AJ480" s="113"/>
      <c r="AK480" s="113"/>
      <c r="AL480" s="113"/>
      <c r="AM480" s="113"/>
    </row>
    <row r="481" spans="2:39" hidden="1" outlineLevel="2" x14ac:dyDescent="0.2">
      <c r="D481" s="319">
        <v>2</v>
      </c>
      <c r="E481" s="319">
        <v>3</v>
      </c>
      <c r="F481" s="319">
        <v>4</v>
      </c>
      <c r="G481" s="319">
        <v>5</v>
      </c>
      <c r="H481" s="319">
        <v>6</v>
      </c>
      <c r="I481" s="319">
        <v>7</v>
      </c>
      <c r="J481" s="319"/>
    </row>
    <row r="482" spans="2:39" hidden="1" outlineLevel="2" x14ac:dyDescent="0.2">
      <c r="D482" s="74">
        <f>FirstYear</f>
        <v>2026</v>
      </c>
      <c r="E482" s="74">
        <f>D482+1</f>
        <v>2027</v>
      </c>
      <c r="F482" s="74">
        <f>E482+1</f>
        <v>2028</v>
      </c>
      <c r="G482" s="74">
        <f>F482+1</f>
        <v>2029</v>
      </c>
      <c r="H482" s="74">
        <f>G482+1</f>
        <v>2030</v>
      </c>
      <c r="I482" s="74">
        <f>H482+1</f>
        <v>2031</v>
      </c>
    </row>
    <row r="483" spans="2:39" hidden="1" outlineLevel="2" x14ac:dyDescent="0.2">
      <c r="C483" s="150" t="s">
        <v>119</v>
      </c>
      <c r="D483" s="151">
        <f t="shared" ref="D483:I483" si="355">INDEX(PBSScriptsChanged,$B480,D481)</f>
        <v>0</v>
      </c>
      <c r="E483" s="151">
        <f t="shared" si="355"/>
        <v>0</v>
      </c>
      <c r="F483" s="151">
        <f t="shared" si="355"/>
        <v>0</v>
      </c>
      <c r="G483" s="151">
        <f t="shared" si="355"/>
        <v>0</v>
      </c>
      <c r="H483" s="151">
        <f t="shared" si="355"/>
        <v>0</v>
      </c>
      <c r="I483" s="151">
        <f t="shared" si="355"/>
        <v>0</v>
      </c>
      <c r="N483" s="482"/>
    </row>
    <row r="484" spans="2:39" hidden="1" outlineLevel="2" x14ac:dyDescent="0.2">
      <c r="C484" s="150" t="s">
        <v>120</v>
      </c>
      <c r="D484" s="151">
        <f t="shared" ref="D484:I484" si="356">INDEX(RPBSScriptsChanged,$B480,D481)</f>
        <v>0</v>
      </c>
      <c r="E484" s="151">
        <f t="shared" si="356"/>
        <v>0</v>
      </c>
      <c r="F484" s="151">
        <f t="shared" si="356"/>
        <v>0</v>
      </c>
      <c r="G484" s="151">
        <f t="shared" si="356"/>
        <v>0</v>
      </c>
      <c r="H484" s="151">
        <f t="shared" si="356"/>
        <v>0</v>
      </c>
      <c r="I484" s="151">
        <f t="shared" si="356"/>
        <v>0</v>
      </c>
    </row>
    <row r="485" spans="2:39" hidden="1" outlineLevel="2" x14ac:dyDescent="0.2">
      <c r="C485" s="139" t="s">
        <v>121</v>
      </c>
      <c r="D485" s="151">
        <f t="shared" ref="D485:I485" si="357">IF(INDEX(SAChanged,$B480,7)&gt;0,ROUND(D483/INDEX(SAChanged,$B480,2),0),0)</f>
        <v>0</v>
      </c>
      <c r="E485" s="151">
        <f t="shared" si="357"/>
        <v>0</v>
      </c>
      <c r="F485" s="151">
        <f t="shared" si="357"/>
        <v>0</v>
      </c>
      <c r="G485" s="151">
        <f t="shared" si="357"/>
        <v>0</v>
      </c>
      <c r="H485" s="151">
        <f t="shared" si="357"/>
        <v>0</v>
      </c>
      <c r="I485" s="151">
        <f t="shared" si="357"/>
        <v>0</v>
      </c>
      <c r="L485" s="119"/>
    </row>
    <row r="486" spans="2:39" hidden="1" outlineLevel="2" x14ac:dyDescent="0.2">
      <c r="C486" s="139" t="s">
        <v>122</v>
      </c>
      <c r="D486" s="151">
        <f t="shared" ref="D486:I486" si="358">IF(INDEX(SAChanged,$B480,7)&gt;0,ROUND(D484/INDEX(SAChanged,$B480,2),0),0)</f>
        <v>0</v>
      </c>
      <c r="E486" s="151">
        <f t="shared" si="358"/>
        <v>0</v>
      </c>
      <c r="F486" s="151">
        <f t="shared" si="358"/>
        <v>0</v>
      </c>
      <c r="G486" s="151">
        <f t="shared" si="358"/>
        <v>0</v>
      </c>
      <c r="H486" s="151">
        <f t="shared" si="358"/>
        <v>0</v>
      </c>
      <c r="I486" s="151">
        <f t="shared" si="358"/>
        <v>0</v>
      </c>
      <c r="L486" s="119"/>
    </row>
    <row r="487" spans="2:39" outlineLevel="1" collapsed="1" x14ac:dyDescent="0.2">
      <c r="C487" s="455"/>
      <c r="D487" s="480"/>
      <c r="E487" s="348"/>
      <c r="F487" s="348"/>
      <c r="G487" s="348"/>
      <c r="H487" s="348"/>
      <c r="I487" s="348"/>
      <c r="J487" s="348"/>
      <c r="K487" s="348"/>
    </row>
    <row r="488" spans="2:39" ht="15" outlineLevel="1" x14ac:dyDescent="0.2">
      <c r="B488" s="249">
        <v>17</v>
      </c>
      <c r="C488" s="129" t="str">
        <f>INDEX(PBSScriptsChanged,B488,1)</f>
        <v>** NOT USED **</v>
      </c>
      <c r="D488" s="123"/>
      <c r="E488" s="123"/>
      <c r="F488" s="123"/>
      <c r="G488" s="123"/>
      <c r="H488" s="123"/>
      <c r="I488" s="123"/>
      <c r="J488" s="123"/>
      <c r="K488" s="123"/>
      <c r="L488" s="117"/>
      <c r="M488" s="117"/>
      <c r="N488" s="117"/>
      <c r="O488" s="113"/>
      <c r="P488" s="113"/>
      <c r="Q488" s="113"/>
      <c r="R488" s="113"/>
      <c r="S488" s="113"/>
      <c r="T488" s="113"/>
      <c r="U488" s="113"/>
      <c r="V488" s="113"/>
      <c r="W488" s="113"/>
      <c r="X488" s="113"/>
      <c r="Y488" s="113"/>
      <c r="Z488" s="113"/>
      <c r="AA488" s="113"/>
      <c r="AB488" s="113"/>
      <c r="AC488" s="113"/>
      <c r="AD488" s="113"/>
      <c r="AE488" s="113"/>
      <c r="AF488" s="113"/>
      <c r="AG488" s="113"/>
      <c r="AH488" s="113"/>
      <c r="AI488" s="113"/>
      <c r="AJ488" s="113"/>
      <c r="AK488" s="113"/>
      <c r="AL488" s="113"/>
      <c r="AM488" s="113"/>
    </row>
    <row r="489" spans="2:39" hidden="1" outlineLevel="2" x14ac:dyDescent="0.2">
      <c r="D489" s="319">
        <v>2</v>
      </c>
      <c r="E489" s="319">
        <v>3</v>
      </c>
      <c r="F489" s="319">
        <v>4</v>
      </c>
      <c r="G489" s="319">
        <v>5</v>
      </c>
      <c r="H489" s="319">
        <v>6</v>
      </c>
      <c r="I489" s="319">
        <v>7</v>
      </c>
      <c r="J489" s="319"/>
    </row>
    <row r="490" spans="2:39" hidden="1" outlineLevel="2" x14ac:dyDescent="0.2">
      <c r="D490" s="74">
        <f>FirstYear</f>
        <v>2026</v>
      </c>
      <c r="E490" s="74">
        <f>D490+1</f>
        <v>2027</v>
      </c>
      <c r="F490" s="74">
        <f>E490+1</f>
        <v>2028</v>
      </c>
      <c r="G490" s="74">
        <f>F490+1</f>
        <v>2029</v>
      </c>
      <c r="H490" s="74">
        <f>G490+1</f>
        <v>2030</v>
      </c>
      <c r="I490" s="74">
        <f>H490+1</f>
        <v>2031</v>
      </c>
    </row>
    <row r="491" spans="2:39" hidden="1" outlineLevel="2" x14ac:dyDescent="0.2">
      <c r="C491" s="150" t="s">
        <v>119</v>
      </c>
      <c r="D491" s="151">
        <f t="shared" ref="D491:I491" si="359">INDEX(PBSScriptsChanged,$B488,D489)</f>
        <v>0</v>
      </c>
      <c r="E491" s="151">
        <f t="shared" si="359"/>
        <v>0</v>
      </c>
      <c r="F491" s="151">
        <f t="shared" si="359"/>
        <v>0</v>
      </c>
      <c r="G491" s="151">
        <f t="shared" si="359"/>
        <v>0</v>
      </c>
      <c r="H491" s="151">
        <f t="shared" si="359"/>
        <v>0</v>
      </c>
      <c r="I491" s="151">
        <f t="shared" si="359"/>
        <v>0</v>
      </c>
      <c r="N491" s="482"/>
    </row>
    <row r="492" spans="2:39" hidden="1" outlineLevel="2" x14ac:dyDescent="0.2">
      <c r="C492" s="150" t="s">
        <v>120</v>
      </c>
      <c r="D492" s="151">
        <f t="shared" ref="D492:I492" si="360">INDEX(RPBSScriptsChanged,$B488,D489)</f>
        <v>0</v>
      </c>
      <c r="E492" s="151">
        <f t="shared" si="360"/>
        <v>0</v>
      </c>
      <c r="F492" s="151">
        <f t="shared" si="360"/>
        <v>0</v>
      </c>
      <c r="G492" s="151">
        <f t="shared" si="360"/>
        <v>0</v>
      </c>
      <c r="H492" s="151">
        <f t="shared" si="360"/>
        <v>0</v>
      </c>
      <c r="I492" s="151">
        <f t="shared" si="360"/>
        <v>0</v>
      </c>
    </row>
    <row r="493" spans="2:39" hidden="1" outlineLevel="2" x14ac:dyDescent="0.2">
      <c r="C493" s="139" t="s">
        <v>121</v>
      </c>
      <c r="D493" s="151">
        <f t="shared" ref="D493:I493" si="361">IF(INDEX(SAChanged,$B488,7)&gt;0,ROUND(D491/INDEX(SAChanged,$B488,2),0),0)</f>
        <v>0</v>
      </c>
      <c r="E493" s="151">
        <f t="shared" si="361"/>
        <v>0</v>
      </c>
      <c r="F493" s="151">
        <f t="shared" si="361"/>
        <v>0</v>
      </c>
      <c r="G493" s="151">
        <f t="shared" si="361"/>
        <v>0</v>
      </c>
      <c r="H493" s="151">
        <f t="shared" si="361"/>
        <v>0</v>
      </c>
      <c r="I493" s="151">
        <f t="shared" si="361"/>
        <v>0</v>
      </c>
      <c r="L493" s="119"/>
    </row>
    <row r="494" spans="2:39" hidden="1" outlineLevel="2" x14ac:dyDescent="0.2">
      <c r="C494" s="139" t="s">
        <v>122</v>
      </c>
      <c r="D494" s="151">
        <f t="shared" ref="D494:I494" si="362">IF(INDEX(SAChanged,$B488,7)&gt;0,ROUND(D492/INDEX(SAChanged,$B488,2),0),0)</f>
        <v>0</v>
      </c>
      <c r="E494" s="151">
        <f t="shared" si="362"/>
        <v>0</v>
      </c>
      <c r="F494" s="151">
        <f t="shared" si="362"/>
        <v>0</v>
      </c>
      <c r="G494" s="151">
        <f t="shared" si="362"/>
        <v>0</v>
      </c>
      <c r="H494" s="151">
        <f t="shared" si="362"/>
        <v>0</v>
      </c>
      <c r="I494" s="151">
        <f t="shared" si="362"/>
        <v>0</v>
      </c>
      <c r="L494" s="119"/>
    </row>
    <row r="495" spans="2:39" outlineLevel="1" collapsed="1" x14ac:dyDescent="0.2">
      <c r="C495" s="455"/>
      <c r="D495" s="480"/>
      <c r="E495" s="348"/>
      <c r="F495" s="348"/>
      <c r="G495" s="348"/>
      <c r="H495" s="348"/>
      <c r="I495" s="348"/>
      <c r="J495" s="348"/>
      <c r="K495" s="348"/>
    </row>
    <row r="496" spans="2:39" ht="15" outlineLevel="1" x14ac:dyDescent="0.2">
      <c r="B496" s="249">
        <v>18</v>
      </c>
      <c r="C496" s="129" t="str">
        <f>INDEX(PBSScriptsChanged,B496,1)</f>
        <v>** NOT USED **</v>
      </c>
      <c r="D496" s="123"/>
      <c r="E496" s="123"/>
      <c r="F496" s="123"/>
      <c r="G496" s="123"/>
      <c r="H496" s="123"/>
      <c r="I496" s="123"/>
      <c r="J496" s="123"/>
      <c r="K496" s="123"/>
      <c r="L496" s="117"/>
      <c r="M496" s="117"/>
      <c r="N496" s="117"/>
      <c r="O496" s="113"/>
      <c r="P496" s="113"/>
      <c r="Q496" s="113"/>
      <c r="R496" s="113"/>
      <c r="S496" s="113"/>
      <c r="T496" s="113"/>
      <c r="U496" s="113"/>
      <c r="V496" s="113"/>
      <c r="W496" s="113"/>
      <c r="X496" s="113"/>
      <c r="Y496" s="113"/>
      <c r="Z496" s="113"/>
      <c r="AA496" s="113"/>
      <c r="AB496" s="113"/>
      <c r="AC496" s="113"/>
      <c r="AD496" s="113"/>
      <c r="AE496" s="113"/>
      <c r="AF496" s="113"/>
      <c r="AG496" s="113"/>
      <c r="AH496" s="113"/>
      <c r="AI496" s="113"/>
      <c r="AJ496" s="113"/>
      <c r="AK496" s="113"/>
      <c r="AL496" s="113"/>
      <c r="AM496" s="113"/>
    </row>
    <row r="497" spans="2:39" hidden="1" outlineLevel="2" x14ac:dyDescent="0.2">
      <c r="D497" s="319">
        <v>2</v>
      </c>
      <c r="E497" s="319">
        <v>3</v>
      </c>
      <c r="F497" s="319">
        <v>4</v>
      </c>
      <c r="G497" s="319">
        <v>5</v>
      </c>
      <c r="H497" s="319">
        <v>6</v>
      </c>
      <c r="I497" s="319">
        <v>7</v>
      </c>
      <c r="J497" s="319"/>
    </row>
    <row r="498" spans="2:39" hidden="1" outlineLevel="2" x14ac:dyDescent="0.2">
      <c r="D498" s="74">
        <f>FirstYear</f>
        <v>2026</v>
      </c>
      <c r="E498" s="74">
        <f>D498+1</f>
        <v>2027</v>
      </c>
      <c r="F498" s="74">
        <f>E498+1</f>
        <v>2028</v>
      </c>
      <c r="G498" s="74">
        <f>F498+1</f>
        <v>2029</v>
      </c>
      <c r="H498" s="74">
        <f>G498+1</f>
        <v>2030</v>
      </c>
      <c r="I498" s="74">
        <f>H498+1</f>
        <v>2031</v>
      </c>
    </row>
    <row r="499" spans="2:39" hidden="1" outlineLevel="2" x14ac:dyDescent="0.2">
      <c r="C499" s="150" t="s">
        <v>119</v>
      </c>
      <c r="D499" s="151">
        <f t="shared" ref="D499:I499" si="363">INDEX(PBSScriptsChanged,$B496,D497)</f>
        <v>0</v>
      </c>
      <c r="E499" s="151">
        <f t="shared" si="363"/>
        <v>0</v>
      </c>
      <c r="F499" s="151">
        <f t="shared" si="363"/>
        <v>0</v>
      </c>
      <c r="G499" s="151">
        <f t="shared" si="363"/>
        <v>0</v>
      </c>
      <c r="H499" s="151">
        <f t="shared" si="363"/>
        <v>0</v>
      </c>
      <c r="I499" s="151">
        <f t="shared" si="363"/>
        <v>0</v>
      </c>
      <c r="N499" s="482"/>
    </row>
    <row r="500" spans="2:39" hidden="1" outlineLevel="2" x14ac:dyDescent="0.2">
      <c r="C500" s="150" t="s">
        <v>120</v>
      </c>
      <c r="D500" s="151">
        <f t="shared" ref="D500:I500" si="364">INDEX(RPBSScriptsChanged,$B496,D497)</f>
        <v>0</v>
      </c>
      <c r="E500" s="151">
        <f t="shared" si="364"/>
        <v>0</v>
      </c>
      <c r="F500" s="151">
        <f t="shared" si="364"/>
        <v>0</v>
      </c>
      <c r="G500" s="151">
        <f t="shared" si="364"/>
        <v>0</v>
      </c>
      <c r="H500" s="151">
        <f t="shared" si="364"/>
        <v>0</v>
      </c>
      <c r="I500" s="151">
        <f t="shared" si="364"/>
        <v>0</v>
      </c>
    </row>
    <row r="501" spans="2:39" hidden="1" outlineLevel="2" x14ac:dyDescent="0.2">
      <c r="C501" s="139" t="s">
        <v>121</v>
      </c>
      <c r="D501" s="151">
        <f t="shared" ref="D501:I501" si="365">IF(INDEX(SAChanged,$B496,7)&gt;0,ROUND(D499/INDEX(SAChanged,$B496,2),0),0)</f>
        <v>0</v>
      </c>
      <c r="E501" s="151">
        <f t="shared" si="365"/>
        <v>0</v>
      </c>
      <c r="F501" s="151">
        <f t="shared" si="365"/>
        <v>0</v>
      </c>
      <c r="G501" s="151">
        <f t="shared" si="365"/>
        <v>0</v>
      </c>
      <c r="H501" s="151">
        <f t="shared" si="365"/>
        <v>0</v>
      </c>
      <c r="I501" s="151">
        <f t="shared" si="365"/>
        <v>0</v>
      </c>
      <c r="L501" s="119"/>
    </row>
    <row r="502" spans="2:39" hidden="1" outlineLevel="2" x14ac:dyDescent="0.2">
      <c r="C502" s="139" t="s">
        <v>122</v>
      </c>
      <c r="D502" s="151">
        <f t="shared" ref="D502:I502" si="366">IF(INDEX(SAChanged,$B496,7)&gt;0,ROUND(D500/INDEX(SAChanged,$B496,2),0),0)</f>
        <v>0</v>
      </c>
      <c r="E502" s="151">
        <f t="shared" si="366"/>
        <v>0</v>
      </c>
      <c r="F502" s="151">
        <f t="shared" si="366"/>
        <v>0</v>
      </c>
      <c r="G502" s="151">
        <f t="shared" si="366"/>
        <v>0</v>
      </c>
      <c r="H502" s="151">
        <f t="shared" si="366"/>
        <v>0</v>
      </c>
      <c r="I502" s="151">
        <f t="shared" si="366"/>
        <v>0</v>
      </c>
      <c r="L502" s="119"/>
    </row>
    <row r="503" spans="2:39" outlineLevel="1" collapsed="1" x14ac:dyDescent="0.2">
      <c r="C503" s="455"/>
      <c r="D503" s="480"/>
      <c r="E503" s="348"/>
      <c r="F503" s="348"/>
      <c r="G503" s="348"/>
      <c r="H503" s="348"/>
      <c r="I503" s="348"/>
      <c r="J503" s="348"/>
      <c r="K503" s="348"/>
    </row>
    <row r="504" spans="2:39" ht="15" outlineLevel="1" x14ac:dyDescent="0.2">
      <c r="B504" s="249">
        <v>19</v>
      </c>
      <c r="C504" s="129" t="str">
        <f>INDEX(PBSScriptsChanged,B504,1)</f>
        <v>** NOT USED **</v>
      </c>
      <c r="D504" s="123"/>
      <c r="E504" s="123"/>
      <c r="F504" s="123"/>
      <c r="G504" s="123"/>
      <c r="H504" s="123"/>
      <c r="I504" s="123"/>
      <c r="J504" s="123"/>
      <c r="K504" s="123"/>
      <c r="L504" s="117"/>
      <c r="M504" s="117"/>
      <c r="N504" s="117"/>
      <c r="O504" s="113"/>
      <c r="P504" s="113"/>
      <c r="Q504" s="113"/>
      <c r="R504" s="113"/>
      <c r="S504" s="113"/>
      <c r="T504" s="113"/>
      <c r="U504" s="113"/>
      <c r="V504" s="113"/>
      <c r="W504" s="113"/>
      <c r="X504" s="113"/>
      <c r="Y504" s="113"/>
      <c r="Z504" s="113"/>
      <c r="AA504" s="113"/>
      <c r="AB504" s="113"/>
      <c r="AC504" s="113"/>
      <c r="AD504" s="113"/>
      <c r="AE504" s="113"/>
      <c r="AF504" s="113"/>
      <c r="AG504" s="113"/>
      <c r="AH504" s="113"/>
      <c r="AI504" s="113"/>
      <c r="AJ504" s="113"/>
      <c r="AK504" s="113"/>
      <c r="AL504" s="113"/>
      <c r="AM504" s="113"/>
    </row>
    <row r="505" spans="2:39" hidden="1" outlineLevel="2" x14ac:dyDescent="0.2">
      <c r="D505" s="319">
        <v>2</v>
      </c>
      <c r="E505" s="319">
        <v>3</v>
      </c>
      <c r="F505" s="319">
        <v>4</v>
      </c>
      <c r="G505" s="319">
        <v>5</v>
      </c>
      <c r="H505" s="319">
        <v>6</v>
      </c>
      <c r="I505" s="319">
        <v>7</v>
      </c>
      <c r="J505" s="319"/>
    </row>
    <row r="506" spans="2:39" hidden="1" outlineLevel="2" x14ac:dyDescent="0.2">
      <c r="D506" s="74">
        <f>FirstYear</f>
        <v>2026</v>
      </c>
      <c r="E506" s="74">
        <f>D506+1</f>
        <v>2027</v>
      </c>
      <c r="F506" s="74">
        <f>E506+1</f>
        <v>2028</v>
      </c>
      <c r="G506" s="74">
        <f>F506+1</f>
        <v>2029</v>
      </c>
      <c r="H506" s="74">
        <f>G506+1</f>
        <v>2030</v>
      </c>
      <c r="I506" s="74">
        <f>H506+1</f>
        <v>2031</v>
      </c>
    </row>
    <row r="507" spans="2:39" hidden="1" outlineLevel="2" x14ac:dyDescent="0.2">
      <c r="C507" s="150" t="s">
        <v>119</v>
      </c>
      <c r="D507" s="151">
        <f t="shared" ref="D507:I507" si="367">INDEX(PBSScriptsChanged,$B504,D505)</f>
        <v>0</v>
      </c>
      <c r="E507" s="151">
        <f t="shared" si="367"/>
        <v>0</v>
      </c>
      <c r="F507" s="151">
        <f t="shared" si="367"/>
        <v>0</v>
      </c>
      <c r="G507" s="151">
        <f t="shared" si="367"/>
        <v>0</v>
      </c>
      <c r="H507" s="151">
        <f t="shared" si="367"/>
        <v>0</v>
      </c>
      <c r="I507" s="151">
        <f t="shared" si="367"/>
        <v>0</v>
      </c>
      <c r="N507" s="482"/>
    </row>
    <row r="508" spans="2:39" hidden="1" outlineLevel="2" x14ac:dyDescent="0.2">
      <c r="C508" s="150" t="s">
        <v>120</v>
      </c>
      <c r="D508" s="151">
        <f t="shared" ref="D508:I508" si="368">INDEX(RPBSScriptsChanged,$B504,D505)</f>
        <v>0</v>
      </c>
      <c r="E508" s="151">
        <f t="shared" si="368"/>
        <v>0</v>
      </c>
      <c r="F508" s="151">
        <f t="shared" si="368"/>
        <v>0</v>
      </c>
      <c r="G508" s="151">
        <f t="shared" si="368"/>
        <v>0</v>
      </c>
      <c r="H508" s="151">
        <f t="shared" si="368"/>
        <v>0</v>
      </c>
      <c r="I508" s="151">
        <f t="shared" si="368"/>
        <v>0</v>
      </c>
    </row>
    <row r="509" spans="2:39" hidden="1" outlineLevel="2" x14ac:dyDescent="0.2">
      <c r="C509" s="139" t="s">
        <v>121</v>
      </c>
      <c r="D509" s="151">
        <f t="shared" ref="D509:I509" si="369">IF(INDEX(SAChanged,$B504,7)&gt;0,ROUND(D507/INDEX(SAChanged,$B504,2),0),0)</f>
        <v>0</v>
      </c>
      <c r="E509" s="151">
        <f t="shared" si="369"/>
        <v>0</v>
      </c>
      <c r="F509" s="151">
        <f t="shared" si="369"/>
        <v>0</v>
      </c>
      <c r="G509" s="151">
        <f t="shared" si="369"/>
        <v>0</v>
      </c>
      <c r="H509" s="151">
        <f t="shared" si="369"/>
        <v>0</v>
      </c>
      <c r="I509" s="151">
        <f t="shared" si="369"/>
        <v>0</v>
      </c>
      <c r="L509" s="119"/>
    </row>
    <row r="510" spans="2:39" hidden="1" outlineLevel="2" x14ac:dyDescent="0.2">
      <c r="C510" s="139" t="s">
        <v>122</v>
      </c>
      <c r="D510" s="151">
        <f t="shared" ref="D510:I510" si="370">IF(INDEX(SAChanged,$B504,7)&gt;0,ROUND(D508/INDEX(SAChanged,$B504,2),0),0)</f>
        <v>0</v>
      </c>
      <c r="E510" s="151">
        <f t="shared" si="370"/>
        <v>0</v>
      </c>
      <c r="F510" s="151">
        <f t="shared" si="370"/>
        <v>0</v>
      </c>
      <c r="G510" s="151">
        <f t="shared" si="370"/>
        <v>0</v>
      </c>
      <c r="H510" s="151">
        <f t="shared" si="370"/>
        <v>0</v>
      </c>
      <c r="I510" s="151">
        <f t="shared" si="370"/>
        <v>0</v>
      </c>
      <c r="L510" s="119"/>
    </row>
    <row r="511" spans="2:39" outlineLevel="1" collapsed="1" x14ac:dyDescent="0.2">
      <c r="C511" s="455"/>
      <c r="D511" s="480"/>
      <c r="E511" s="348"/>
      <c r="F511" s="348"/>
      <c r="G511" s="348"/>
      <c r="H511" s="348"/>
      <c r="I511" s="348"/>
      <c r="J511" s="348"/>
      <c r="K511" s="348"/>
    </row>
    <row r="512" spans="2:39" ht="15" outlineLevel="1" x14ac:dyDescent="0.2">
      <c r="B512" s="249">
        <v>20</v>
      </c>
      <c r="C512" s="129" t="str">
        <f>INDEX(PBSScriptsChanged,B512,1)</f>
        <v>** NOT USED **</v>
      </c>
      <c r="D512" s="123"/>
      <c r="E512" s="123"/>
      <c r="F512" s="123"/>
      <c r="G512" s="123"/>
      <c r="H512" s="123"/>
      <c r="I512" s="123"/>
      <c r="J512" s="123"/>
      <c r="K512" s="123"/>
      <c r="L512" s="117"/>
      <c r="M512" s="117"/>
      <c r="N512" s="117"/>
      <c r="O512" s="113"/>
      <c r="P512" s="113"/>
      <c r="Q512" s="113"/>
      <c r="R512" s="113"/>
      <c r="S512" s="113"/>
      <c r="T512" s="113"/>
      <c r="U512" s="113"/>
      <c r="V512" s="113"/>
      <c r="W512" s="113"/>
      <c r="X512" s="113"/>
      <c r="Y512" s="113"/>
      <c r="Z512" s="113"/>
      <c r="AA512" s="113"/>
      <c r="AB512" s="113"/>
      <c r="AC512" s="113"/>
      <c r="AD512" s="113"/>
      <c r="AE512" s="113"/>
      <c r="AF512" s="113"/>
      <c r="AG512" s="113"/>
      <c r="AH512" s="113"/>
      <c r="AI512" s="113"/>
      <c r="AJ512" s="113"/>
      <c r="AK512" s="113"/>
      <c r="AL512" s="113"/>
      <c r="AM512" s="113"/>
    </row>
    <row r="513" spans="3:39" hidden="1" outlineLevel="2" x14ac:dyDescent="0.2">
      <c r="D513" s="319">
        <v>2</v>
      </c>
      <c r="E513" s="319">
        <v>3</v>
      </c>
      <c r="F513" s="319">
        <v>4</v>
      </c>
      <c r="G513" s="319">
        <v>5</v>
      </c>
      <c r="H513" s="319">
        <v>6</v>
      </c>
      <c r="I513" s="319">
        <v>7</v>
      </c>
      <c r="J513" s="319"/>
    </row>
    <row r="514" spans="3:39" hidden="1" outlineLevel="2" x14ac:dyDescent="0.2">
      <c r="D514" s="74">
        <f>FirstYear</f>
        <v>2026</v>
      </c>
      <c r="E514" s="74">
        <f>D514+1</f>
        <v>2027</v>
      </c>
      <c r="F514" s="74">
        <f>E514+1</f>
        <v>2028</v>
      </c>
      <c r="G514" s="74">
        <f>F514+1</f>
        <v>2029</v>
      </c>
      <c r="H514" s="74">
        <f>G514+1</f>
        <v>2030</v>
      </c>
      <c r="I514" s="74">
        <f>H514+1</f>
        <v>2031</v>
      </c>
    </row>
    <row r="515" spans="3:39" hidden="1" outlineLevel="2" x14ac:dyDescent="0.2">
      <c r="C515" s="150" t="s">
        <v>119</v>
      </c>
      <c r="D515" s="151">
        <f t="shared" ref="D515:I515" si="371">INDEX(PBSScriptsChanged,$B512,D513)</f>
        <v>0</v>
      </c>
      <c r="E515" s="151">
        <f t="shared" si="371"/>
        <v>0</v>
      </c>
      <c r="F515" s="151">
        <f t="shared" si="371"/>
        <v>0</v>
      </c>
      <c r="G515" s="151">
        <f t="shared" si="371"/>
        <v>0</v>
      </c>
      <c r="H515" s="151">
        <f t="shared" si="371"/>
        <v>0</v>
      </c>
      <c r="I515" s="151">
        <f t="shared" si="371"/>
        <v>0</v>
      </c>
      <c r="N515" s="482"/>
    </row>
    <row r="516" spans="3:39" hidden="1" outlineLevel="2" x14ac:dyDescent="0.2">
      <c r="C516" s="150" t="s">
        <v>120</v>
      </c>
      <c r="D516" s="151">
        <f t="shared" ref="D516:I516" si="372">INDEX(RPBSScriptsChanged,$B512,D513)</f>
        <v>0</v>
      </c>
      <c r="E516" s="151">
        <f t="shared" si="372"/>
        <v>0</v>
      </c>
      <c r="F516" s="151">
        <f t="shared" si="372"/>
        <v>0</v>
      </c>
      <c r="G516" s="151">
        <f t="shared" si="372"/>
        <v>0</v>
      </c>
      <c r="H516" s="151">
        <f t="shared" si="372"/>
        <v>0</v>
      </c>
      <c r="I516" s="151">
        <f t="shared" si="372"/>
        <v>0</v>
      </c>
    </row>
    <row r="517" spans="3:39" hidden="1" outlineLevel="2" x14ac:dyDescent="0.2">
      <c r="C517" s="139" t="s">
        <v>121</v>
      </c>
      <c r="D517" s="151">
        <f t="shared" ref="D517:I517" si="373">IF(INDEX(SAChanged,$B512,7)&gt;0,ROUND(D515/INDEX(SAChanged,$B512,2),0),0)</f>
        <v>0</v>
      </c>
      <c r="E517" s="151">
        <f t="shared" si="373"/>
        <v>0</v>
      </c>
      <c r="F517" s="151">
        <f t="shared" si="373"/>
        <v>0</v>
      </c>
      <c r="G517" s="151">
        <f t="shared" si="373"/>
        <v>0</v>
      </c>
      <c r="H517" s="151">
        <f t="shared" si="373"/>
        <v>0</v>
      </c>
      <c r="I517" s="151">
        <f t="shared" si="373"/>
        <v>0</v>
      </c>
      <c r="L517" s="119"/>
    </row>
    <row r="518" spans="3:39" hidden="1" outlineLevel="2" x14ac:dyDescent="0.2">
      <c r="C518" s="139" t="s">
        <v>122</v>
      </c>
      <c r="D518" s="151">
        <f t="shared" ref="D518:I518" si="374">IF(INDEX(SAChanged,$B512,7)&gt;0,ROUND(D516/INDEX(SAChanged,$B512,2),0),0)</f>
        <v>0</v>
      </c>
      <c r="E518" s="151">
        <f t="shared" si="374"/>
        <v>0</v>
      </c>
      <c r="F518" s="151">
        <f t="shared" si="374"/>
        <v>0</v>
      </c>
      <c r="G518" s="151">
        <f t="shared" si="374"/>
        <v>0</v>
      </c>
      <c r="H518" s="151">
        <f t="shared" si="374"/>
        <v>0</v>
      </c>
      <c r="I518" s="151">
        <f t="shared" si="374"/>
        <v>0</v>
      </c>
      <c r="L518" s="119"/>
    </row>
    <row r="519" spans="3:39" hidden="1" outlineLevel="2" x14ac:dyDescent="0.2">
      <c r="C519" s="455"/>
      <c r="D519" s="480"/>
      <c r="E519" s="348"/>
      <c r="F519" s="348"/>
      <c r="G519" s="348"/>
      <c r="H519" s="348"/>
      <c r="I519" s="348"/>
      <c r="J519" s="348"/>
      <c r="K519" s="348"/>
    </row>
    <row r="520" spans="3:39" outlineLevel="1" collapsed="1" x14ac:dyDescent="0.2"/>
    <row r="521" spans="3:39" x14ac:dyDescent="0.2">
      <c r="D521" s="455"/>
    </row>
    <row r="522" spans="3:39" ht="15.75" x14ac:dyDescent="0.2">
      <c r="C522" s="111" t="s">
        <v>855</v>
      </c>
      <c r="D522" s="113"/>
      <c r="E522" s="113"/>
      <c r="F522" s="113"/>
      <c r="G522" s="113"/>
      <c r="H522" s="113"/>
      <c r="I522" s="113"/>
      <c r="J522" s="113"/>
      <c r="K522" s="113"/>
      <c r="L522" s="113"/>
      <c r="M522" s="113"/>
      <c r="N522" s="113"/>
      <c r="O522" s="113"/>
      <c r="P522" s="113"/>
      <c r="Q522" s="113"/>
      <c r="R522" s="113"/>
      <c r="S522" s="113"/>
      <c r="T522" s="113"/>
      <c r="U522" s="113"/>
      <c r="V522" s="113"/>
      <c r="W522" s="113"/>
      <c r="X522" s="113"/>
      <c r="Y522" s="113"/>
      <c r="Z522" s="113"/>
      <c r="AA522" s="113"/>
      <c r="AB522" s="113"/>
      <c r="AC522" s="113"/>
      <c r="AD522" s="113"/>
      <c r="AE522" s="113"/>
      <c r="AF522" s="113"/>
      <c r="AG522" s="113"/>
      <c r="AH522" s="113"/>
      <c r="AI522" s="113"/>
      <c r="AJ522" s="113"/>
      <c r="AK522" s="113"/>
      <c r="AL522" s="113"/>
      <c r="AM522" s="113"/>
    </row>
    <row r="523" spans="3:39" x14ac:dyDescent="0.2"/>
    <row r="524" spans="3:39" x14ac:dyDescent="0.2">
      <c r="C524" t="s">
        <v>24</v>
      </c>
    </row>
  </sheetData>
  <mergeCells count="54">
    <mergeCell ref="C353:E353"/>
    <mergeCell ref="C354:E354"/>
    <mergeCell ref="C355:E355"/>
    <mergeCell ref="C356:E356"/>
    <mergeCell ref="C357:E357"/>
    <mergeCell ref="C348:E348"/>
    <mergeCell ref="C349:E349"/>
    <mergeCell ref="C350:E350"/>
    <mergeCell ref="C351:E351"/>
    <mergeCell ref="C352:E352"/>
    <mergeCell ref="C113:E113"/>
    <mergeCell ref="C108:E108"/>
    <mergeCell ref="C109:E109"/>
    <mergeCell ref="C110:E110"/>
    <mergeCell ref="C111:E111"/>
    <mergeCell ref="C112:E112"/>
    <mergeCell ref="C103:E103"/>
    <mergeCell ref="C104:E104"/>
    <mergeCell ref="C347:E347"/>
    <mergeCell ref="C342:E342"/>
    <mergeCell ref="C343:E343"/>
    <mergeCell ref="C344:E344"/>
    <mergeCell ref="C345:E345"/>
    <mergeCell ref="C346:E346"/>
    <mergeCell ref="C337:E337"/>
    <mergeCell ref="C338:E338"/>
    <mergeCell ref="C339:E339"/>
    <mergeCell ref="C340:E340"/>
    <mergeCell ref="C341:E341"/>
    <mergeCell ref="C105:E105"/>
    <mergeCell ref="C106:E106"/>
    <mergeCell ref="C107:E107"/>
    <mergeCell ref="C114:E114"/>
    <mergeCell ref="C115:E115"/>
    <mergeCell ref="C116:E116"/>
    <mergeCell ref="C117:E117"/>
    <mergeCell ref="C118:E118"/>
    <mergeCell ref="C119:E119"/>
    <mergeCell ref="C120:E120"/>
    <mergeCell ref="C121:E121"/>
    <mergeCell ref="C122:E122"/>
    <mergeCell ref="C123:E123"/>
    <mergeCell ref="AB336:AG336"/>
    <mergeCell ref="AH336:AM336"/>
    <mergeCell ref="AB102:AG102"/>
    <mergeCell ref="AH102:AM102"/>
    <mergeCell ref="N101:Y101"/>
    <mergeCell ref="AB101:AM101"/>
    <mergeCell ref="N335:Y335"/>
    <mergeCell ref="AB335:AM335"/>
    <mergeCell ref="N102:S102"/>
    <mergeCell ref="T102:Y102"/>
    <mergeCell ref="N336:S336"/>
    <mergeCell ref="T336:Y336"/>
  </mergeCells>
  <conditionalFormatting sqref="F104:J123">
    <cfRule type="expression" dxfId="31" priority="3">
      <formula>$C104=MsgNotUsed</formula>
    </cfRule>
  </conditionalFormatting>
  <conditionalFormatting sqref="F338:J357">
    <cfRule type="expression" dxfId="30" priority="1">
      <formula>$C338=MsgNotUsed</formula>
    </cfRule>
  </conditionalFormatting>
  <conditionalFormatting sqref="I104:I123">
    <cfRule type="expression" dxfId="29" priority="4">
      <formula>$L104&lt;2</formula>
    </cfRule>
  </conditionalFormatting>
  <conditionalFormatting sqref="I338:I357">
    <cfRule type="expression" dxfId="28" priority="2">
      <formula>$L338&lt;2</formula>
    </cfRule>
  </conditionalFormatting>
  <dataValidations count="2">
    <dataValidation type="list" allowBlank="1" showInputMessage="1" showErrorMessage="1" sqref="H338:H357 H104:H123" xr:uid="{00000000-0002-0000-0E00-000000000000}">
      <formula1>Authority</formula1>
    </dataValidation>
    <dataValidation type="list" allowBlank="1" showInputMessage="1" showErrorMessage="1" sqref="I338:J357 I104:J123" xr:uid="{00000000-0002-0000-0E00-000001000000}">
      <formula1>Switch</formula1>
    </dataValidation>
  </dataValidations>
  <pageMargins left="0.11811023622047245" right="0.11811023622047245" top="0.19685039370078741" bottom="0.15748031496062992" header="0.31496062992125984" footer="0.31496062992125984"/>
  <pageSetup paperSize="9" scale="38" orientation="landscape" horizontalDpi="300" verticalDpi="300" r:id="rId1"/>
  <headerFooter>
    <oddHeader>&amp;C&amp;"Calibri"&amp;12&amp;KFF0000 OFFICIAL&amp;1#_x000D_</oddHeader>
    <oddFooter>&amp;C_x000D_&amp;1#&amp;"Calibri"&amp;12&amp;KFF0000 OFFICIAL</oddFooter>
  </headerFooter>
  <ignoredErrors>
    <ignoredError sqref="T103 T337" formula="1"/>
  </ignoredError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8">
    <tabColor theme="4"/>
    <pageSetUpPr fitToPage="1"/>
  </sheetPr>
  <dimension ref="A1:BB851"/>
  <sheetViews>
    <sheetView showGridLines="0" zoomScale="85" zoomScaleNormal="85" workbookViewId="0"/>
  </sheetViews>
  <sheetFormatPr defaultRowHeight="12.75" outlineLevelRow="2" x14ac:dyDescent="0.2"/>
  <cols>
    <col min="1" max="1" width="3.7109375" style="103" customWidth="1"/>
    <col min="2" max="3" width="3.7109375" style="103" hidden="1" customWidth="1"/>
    <col min="4" max="4" width="15.7109375" style="103" customWidth="1"/>
    <col min="5" max="5" width="35.7109375" style="103" customWidth="1"/>
    <col min="6" max="22" width="15.7109375" style="103" customWidth="1"/>
    <col min="23" max="23" width="3.7109375" style="103" customWidth="1"/>
    <col min="24" max="27" width="9.140625" style="103" customWidth="1"/>
    <col min="28" max="28" width="50.7109375" style="103" customWidth="1"/>
    <col min="29" max="54" width="10.7109375" style="103" customWidth="1"/>
    <col min="55" max="16384" width="9.140625" style="103"/>
  </cols>
  <sheetData>
    <row r="1" spans="1:54" ht="23.25" x14ac:dyDescent="0.2">
      <c r="A1" s="284">
        <f>IF(SUM(F26:K26),2,0)</f>
        <v>0</v>
      </c>
      <c r="B1" s="279"/>
      <c r="C1" s="287"/>
      <c r="D1" s="288" t="s">
        <v>927</v>
      </c>
      <c r="E1" s="288"/>
      <c r="F1" s="287"/>
      <c r="G1" s="287"/>
      <c r="H1" s="287"/>
      <c r="I1" s="287"/>
      <c r="J1" s="288"/>
      <c r="K1" s="288" t="str">
        <f>"Source: " &amp; '0. Title'!E39</f>
        <v xml:space="preserve">Source: </v>
      </c>
      <c r="L1" s="288"/>
      <c r="M1" s="287"/>
      <c r="N1" s="287"/>
      <c r="O1" s="287"/>
      <c r="P1" s="287"/>
      <c r="Q1" s="287"/>
      <c r="R1" s="286"/>
      <c r="S1" s="286"/>
      <c r="T1" s="286"/>
      <c r="U1" s="354" t="s">
        <v>302</v>
      </c>
      <c r="V1" s="286" t="str">
        <f>IF(Y24=0,"Nil",IF(Y24&lt;0,"Save",IF(Y24&gt;0,"Cost",MsgError)))</f>
        <v>Nil</v>
      </c>
      <c r="W1" s="286"/>
      <c r="X1" s="286"/>
      <c r="Y1" s="286"/>
      <c r="Z1" s="286"/>
      <c r="AA1" s="286"/>
      <c r="AB1" s="286"/>
      <c r="AC1" s="286"/>
      <c r="AD1" s="286"/>
      <c r="AE1" s="286"/>
      <c r="AF1" s="286"/>
      <c r="AG1" s="286"/>
      <c r="AH1" s="286"/>
      <c r="AI1" s="286"/>
      <c r="AJ1" s="286"/>
      <c r="AK1" s="286"/>
      <c r="AL1" s="286"/>
      <c r="AM1" s="286"/>
      <c r="AN1" s="286"/>
      <c r="AO1" s="286"/>
      <c r="AP1" s="286"/>
      <c r="AQ1" s="286"/>
      <c r="AR1" s="286"/>
      <c r="AS1" s="286"/>
      <c r="AT1" s="286"/>
      <c r="AU1" s="286"/>
      <c r="AV1" s="286"/>
      <c r="AW1" s="286"/>
      <c r="AX1" s="286"/>
      <c r="AY1" s="286"/>
      <c r="AZ1" s="286"/>
      <c r="BA1" s="286"/>
      <c r="BB1" s="286"/>
    </row>
    <row r="2" spans="1:54" ht="15.75" x14ac:dyDescent="0.2">
      <c r="A2" s="287"/>
      <c r="B2" s="287"/>
      <c r="C2" s="287"/>
      <c r="D2" s="282" t="str">
        <f>CONCATENATE("Name of medicine: ", MedicineBrand)</f>
        <v xml:space="preserve">Name of medicine: </v>
      </c>
      <c r="E2" s="282"/>
      <c r="F2" s="287"/>
      <c r="G2" s="287"/>
      <c r="H2" s="287"/>
      <c r="I2" s="287"/>
      <c r="J2" s="287"/>
      <c r="K2" s="287"/>
      <c r="L2" s="287"/>
      <c r="M2" s="287"/>
      <c r="N2" s="287"/>
      <c r="O2" s="287"/>
      <c r="P2" s="287"/>
      <c r="Q2" s="287"/>
      <c r="R2" s="287"/>
      <c r="S2" s="287"/>
      <c r="T2" s="287"/>
      <c r="U2" s="287"/>
      <c r="V2" s="287"/>
      <c r="W2" s="287"/>
      <c r="X2" s="287"/>
      <c r="Y2" s="287"/>
      <c r="Z2" s="287"/>
      <c r="AA2" s="287"/>
      <c r="AB2" s="287"/>
      <c r="AC2" s="287"/>
      <c r="AD2" s="287"/>
      <c r="AE2" s="287"/>
      <c r="AF2" s="287"/>
      <c r="AG2" s="287"/>
      <c r="AH2" s="287"/>
      <c r="AI2" s="287"/>
      <c r="AJ2" s="287"/>
      <c r="AK2" s="287"/>
      <c r="AL2" s="287"/>
      <c r="AM2" s="287"/>
      <c r="AN2" s="287"/>
      <c r="AO2" s="287"/>
      <c r="AP2" s="287"/>
      <c r="AQ2" s="287"/>
      <c r="AR2" s="287"/>
      <c r="AS2" s="287"/>
      <c r="AT2" s="287"/>
      <c r="AU2" s="287"/>
      <c r="AV2" s="287"/>
      <c r="AW2" s="287"/>
      <c r="AX2" s="287"/>
      <c r="AY2" s="287"/>
      <c r="AZ2" s="287"/>
      <c r="BA2" s="287"/>
      <c r="BB2" s="287"/>
    </row>
    <row r="3" spans="1:54" ht="15.75" x14ac:dyDescent="0.2">
      <c r="A3" s="287"/>
      <c r="B3" s="287"/>
      <c r="C3" s="287"/>
      <c r="D3" s="282" t="str">
        <f>CONCATENATE("Indication: ",Indication)</f>
        <v xml:space="preserve">Indication: </v>
      </c>
      <c r="E3" s="282"/>
      <c r="F3" s="287"/>
      <c r="G3" s="287"/>
      <c r="H3" s="287"/>
      <c r="I3" s="287"/>
      <c r="J3" s="287"/>
      <c r="K3" s="287"/>
      <c r="L3" s="287"/>
      <c r="M3" s="287"/>
      <c r="N3" s="287"/>
      <c r="O3" s="287"/>
      <c r="P3" s="287"/>
      <c r="Q3" s="287"/>
      <c r="R3" s="287"/>
      <c r="S3" s="287"/>
      <c r="T3" s="287"/>
      <c r="U3" s="287"/>
      <c r="V3" s="287"/>
      <c r="W3" s="287"/>
      <c r="X3" s="287"/>
      <c r="Y3" s="287"/>
      <c r="Z3" s="287"/>
      <c r="AA3" s="287"/>
      <c r="AB3" s="287"/>
      <c r="AC3" s="287"/>
      <c r="AD3" s="287"/>
      <c r="AE3" s="287"/>
      <c r="AF3" s="287"/>
      <c r="AG3" s="287"/>
      <c r="AH3" s="287"/>
      <c r="AI3" s="287"/>
      <c r="AJ3" s="287"/>
      <c r="AK3" s="287"/>
      <c r="AL3" s="287"/>
      <c r="AM3" s="287"/>
      <c r="AN3" s="287"/>
      <c r="AO3" s="287"/>
      <c r="AP3" s="287"/>
      <c r="AQ3" s="287"/>
      <c r="AR3" s="287"/>
      <c r="AS3" s="287"/>
      <c r="AT3" s="287"/>
      <c r="AU3" s="287"/>
      <c r="AV3" s="287"/>
      <c r="AW3" s="287"/>
      <c r="AX3" s="287"/>
      <c r="AY3" s="287"/>
      <c r="AZ3" s="287"/>
      <c r="BA3" s="287"/>
      <c r="BB3" s="287"/>
    </row>
    <row r="5" spans="1:54" ht="15.75" x14ac:dyDescent="0.2">
      <c r="D5" s="72" t="s">
        <v>2</v>
      </c>
      <c r="E5" s="72"/>
      <c r="F5" s="105"/>
      <c r="G5" s="105"/>
      <c r="H5" s="105"/>
      <c r="I5" s="105"/>
      <c r="J5" s="105"/>
      <c r="K5" s="105"/>
      <c r="L5" s="105"/>
      <c r="M5" s="105"/>
      <c r="N5" s="105"/>
      <c r="O5" s="105"/>
      <c r="P5" s="105"/>
      <c r="Q5" s="105"/>
      <c r="R5" s="105"/>
      <c r="S5" s="105"/>
      <c r="T5" s="105"/>
      <c r="U5" s="105"/>
      <c r="V5" s="105"/>
    </row>
    <row r="7" spans="1:54" x14ac:dyDescent="0.2">
      <c r="D7" s="103" t="s">
        <v>81</v>
      </c>
    </row>
    <row r="10" spans="1:54" ht="15.75" x14ac:dyDescent="0.2">
      <c r="D10" s="72" t="s">
        <v>856</v>
      </c>
      <c r="E10" s="72"/>
      <c r="F10" s="105"/>
      <c r="G10" s="105"/>
      <c r="H10" s="105"/>
      <c r="I10" s="105"/>
      <c r="J10" s="105"/>
      <c r="K10" s="105"/>
      <c r="L10" s="105"/>
      <c r="M10" s="105"/>
      <c r="N10" s="105"/>
      <c r="O10" s="105"/>
      <c r="P10" s="105"/>
      <c r="Q10" s="105"/>
      <c r="R10" s="105"/>
      <c r="S10" s="105"/>
      <c r="T10" s="105"/>
      <c r="U10" s="105"/>
      <c r="V10" s="105"/>
    </row>
    <row r="12" spans="1:54" x14ac:dyDescent="0.2">
      <c r="D12" s="103" t="s">
        <v>226</v>
      </c>
    </row>
    <row r="15" spans="1:54" ht="15" x14ac:dyDescent="0.2">
      <c r="D15" s="462" t="s">
        <v>0</v>
      </c>
      <c r="E15" s="464"/>
      <c r="F15" s="74">
        <f>FirstYear</f>
        <v>2026</v>
      </c>
      <c r="G15" s="74">
        <f>F15+1</f>
        <v>2027</v>
      </c>
      <c r="H15" s="74">
        <f>G15+1</f>
        <v>2028</v>
      </c>
      <c r="I15" s="74">
        <f>H15+1</f>
        <v>2029</v>
      </c>
      <c r="J15" s="74">
        <f>I15+1</f>
        <v>2030</v>
      </c>
      <c r="K15" s="74">
        <f>J15+1</f>
        <v>2031</v>
      </c>
      <c r="N15"/>
      <c r="O15"/>
    </row>
    <row r="16" spans="1:54" x14ac:dyDescent="0.2">
      <c r="D16" s="460"/>
      <c r="E16" s="213" t="s">
        <v>361</v>
      </c>
      <c r="F16" s="239">
        <f t="shared" ref="F16:K16" si="0">F114+F131+F148+F165+F182+F199+F216+F233+F250+F267</f>
        <v>0</v>
      </c>
      <c r="G16" s="239">
        <f t="shared" si="0"/>
        <v>0</v>
      </c>
      <c r="H16" s="239">
        <f t="shared" si="0"/>
        <v>0</v>
      </c>
      <c r="I16" s="239">
        <f t="shared" si="0"/>
        <v>0</v>
      </c>
      <c r="J16" s="239">
        <f t="shared" si="0"/>
        <v>0</v>
      </c>
      <c r="K16" s="239">
        <f t="shared" si="0"/>
        <v>0</v>
      </c>
      <c r="N16"/>
      <c r="O16"/>
    </row>
    <row r="17" spans="4:54" x14ac:dyDescent="0.2">
      <c r="D17" s="460"/>
      <c r="E17" s="213" t="s">
        <v>362</v>
      </c>
      <c r="F17" s="239">
        <f t="shared" ref="F17:K17" si="1">F509+F526+F543+F560+F577+F594+F611+F628+F645+F662</f>
        <v>0</v>
      </c>
      <c r="G17" s="239">
        <f t="shared" si="1"/>
        <v>0</v>
      </c>
      <c r="H17" s="239">
        <f t="shared" si="1"/>
        <v>0</v>
      </c>
      <c r="I17" s="239">
        <f t="shared" si="1"/>
        <v>0</v>
      </c>
      <c r="J17" s="239">
        <f t="shared" si="1"/>
        <v>0</v>
      </c>
      <c r="K17" s="239">
        <f t="shared" si="1"/>
        <v>0</v>
      </c>
      <c r="N17"/>
      <c r="O17"/>
    </row>
    <row r="18" spans="4:54" x14ac:dyDescent="0.2">
      <c r="E18" s="53" t="s">
        <v>363</v>
      </c>
      <c r="F18" s="240">
        <f t="shared" ref="F18:K18" si="2">F16+F17</f>
        <v>0</v>
      </c>
      <c r="G18" s="240">
        <f t="shared" si="2"/>
        <v>0</v>
      </c>
      <c r="H18" s="240">
        <f t="shared" si="2"/>
        <v>0</v>
      </c>
      <c r="I18" s="240">
        <f t="shared" si="2"/>
        <v>0</v>
      </c>
      <c r="J18" s="240">
        <f t="shared" si="2"/>
        <v>0</v>
      </c>
      <c r="K18" s="240">
        <f t="shared" si="2"/>
        <v>0</v>
      </c>
      <c r="N18"/>
      <c r="O18"/>
    </row>
    <row r="19" spans="4:54" x14ac:dyDescent="0.2">
      <c r="N19"/>
      <c r="O19"/>
      <c r="Q19" s="465"/>
      <c r="R19" s="465"/>
      <c r="S19" s="465"/>
      <c r="T19" s="465"/>
      <c r="U19" s="465"/>
      <c r="V19" s="465"/>
      <c r="X19" s="503"/>
      <c r="Y19" s="375">
        <f>SUM(F18:J18)</f>
        <v>0</v>
      </c>
    </row>
    <row r="20" spans="4:54" x14ac:dyDescent="0.2">
      <c r="D20" s="463"/>
      <c r="E20" s="463"/>
      <c r="F20" s="463"/>
      <c r="G20" s="463"/>
      <c r="H20" s="460"/>
      <c r="I20" s="460"/>
      <c r="J20" s="460"/>
      <c r="K20" s="460"/>
      <c r="N20"/>
      <c r="O20"/>
    </row>
    <row r="21" spans="4:54" ht="15" x14ac:dyDescent="0.2">
      <c r="D21" s="462" t="s">
        <v>1</v>
      </c>
      <c r="E21" s="464"/>
      <c r="F21" s="74">
        <f>FirstYear</f>
        <v>2026</v>
      </c>
      <c r="G21" s="74">
        <f>F21+1</f>
        <v>2027</v>
      </c>
      <c r="H21" s="74">
        <f>G21+1</f>
        <v>2028</v>
      </c>
      <c r="I21" s="74">
        <f>H21+1</f>
        <v>2029</v>
      </c>
      <c r="J21" s="74">
        <f>I21+1</f>
        <v>2030</v>
      </c>
      <c r="K21" s="74">
        <f>J21+1</f>
        <v>2031</v>
      </c>
      <c r="N21"/>
      <c r="O21"/>
    </row>
    <row r="22" spans="4:54" x14ac:dyDescent="0.2">
      <c r="D22" s="460"/>
      <c r="E22" s="213" t="s">
        <v>361</v>
      </c>
      <c r="F22" s="238">
        <f t="shared" ref="F22:K22" si="3">F122+F139+F156+F173+F190+F207+F224+F241+F258+F275</f>
        <v>0</v>
      </c>
      <c r="G22" s="238">
        <f t="shared" si="3"/>
        <v>0</v>
      </c>
      <c r="H22" s="238">
        <f t="shared" si="3"/>
        <v>0</v>
      </c>
      <c r="I22" s="238">
        <f t="shared" si="3"/>
        <v>0</v>
      </c>
      <c r="J22" s="238">
        <f t="shared" si="3"/>
        <v>0</v>
      </c>
      <c r="K22" s="238">
        <f t="shared" si="3"/>
        <v>0</v>
      </c>
      <c r="N22"/>
      <c r="O22"/>
    </row>
    <row r="23" spans="4:54" x14ac:dyDescent="0.2">
      <c r="D23" s="460"/>
      <c r="E23" s="213" t="s">
        <v>362</v>
      </c>
      <c r="F23" s="239">
        <f t="shared" ref="F23:K23" si="4">F517+F534+F551+F568+F585+F602+F619+F636+F653+F670</f>
        <v>0</v>
      </c>
      <c r="G23" s="239">
        <f t="shared" si="4"/>
        <v>0</v>
      </c>
      <c r="H23" s="239">
        <f t="shared" si="4"/>
        <v>0</v>
      </c>
      <c r="I23" s="239">
        <f t="shared" si="4"/>
        <v>0</v>
      </c>
      <c r="J23" s="239">
        <f t="shared" si="4"/>
        <v>0</v>
      </c>
      <c r="K23" s="239">
        <f t="shared" si="4"/>
        <v>0</v>
      </c>
      <c r="M23" s="364" t="s">
        <v>885</v>
      </c>
      <c r="N23"/>
      <c r="O23"/>
      <c r="X23" s="503"/>
      <c r="Y23" s="375">
        <f>SUM(F24:J24)</f>
        <v>0</v>
      </c>
    </row>
    <row r="24" spans="4:54" x14ac:dyDescent="0.2">
      <c r="E24" s="53" t="s">
        <v>363</v>
      </c>
      <c r="F24" s="240">
        <f t="shared" ref="F24:K24" si="5">F23+F22</f>
        <v>0</v>
      </c>
      <c r="G24" s="240">
        <f t="shared" si="5"/>
        <v>0</v>
      </c>
      <c r="H24" s="240">
        <f t="shared" si="5"/>
        <v>0</v>
      </c>
      <c r="I24" s="240">
        <f t="shared" si="5"/>
        <v>0</v>
      </c>
      <c r="J24" s="240">
        <f t="shared" si="5"/>
        <v>0</v>
      </c>
      <c r="K24" s="240">
        <f t="shared" si="5"/>
        <v>0</v>
      </c>
      <c r="M24" s="365">
        <f>MBSRebateRate</f>
        <v>0.8</v>
      </c>
      <c r="N24"/>
      <c r="O24"/>
      <c r="S24" s="465"/>
      <c r="T24" s="465"/>
      <c r="U24" s="465"/>
      <c r="V24" s="465"/>
      <c r="X24" s="503"/>
      <c r="Y24" s="375">
        <f>Y23+Y19</f>
        <v>0</v>
      </c>
    </row>
    <row r="25" spans="4:54" x14ac:dyDescent="0.2">
      <c r="G25"/>
      <c r="H25"/>
      <c r="I25"/>
      <c r="J25"/>
      <c r="K25"/>
      <c r="S25" s="465"/>
      <c r="T25" s="465"/>
      <c r="U25" s="465"/>
      <c r="V25" s="465"/>
    </row>
    <row r="26" spans="4:54" x14ac:dyDescent="0.2">
      <c r="E26" s="233" t="s">
        <v>832</v>
      </c>
      <c r="F26" s="240">
        <f t="shared" ref="F26:K26" si="6">F24+F18</f>
        <v>0</v>
      </c>
      <c r="G26" s="240">
        <f t="shared" si="6"/>
        <v>0</v>
      </c>
      <c r="H26" s="240">
        <f t="shared" si="6"/>
        <v>0</v>
      </c>
      <c r="I26" s="240">
        <f t="shared" si="6"/>
        <v>0</v>
      </c>
      <c r="J26" s="240">
        <f t="shared" si="6"/>
        <v>0</v>
      </c>
      <c r="K26" s="240">
        <f t="shared" si="6"/>
        <v>0</v>
      </c>
      <c r="Q26" s="465"/>
      <c r="R26" s="465"/>
      <c r="S26" s="465"/>
      <c r="T26" s="465"/>
      <c r="U26" s="465"/>
      <c r="V26" s="465"/>
    </row>
    <row r="27" spans="4:54" x14ac:dyDescent="0.2">
      <c r="E27" s="260"/>
      <c r="Q27" s="465"/>
      <c r="R27" s="465"/>
      <c r="S27" s="465"/>
      <c r="T27" s="465"/>
      <c r="U27" s="465"/>
      <c r="V27" s="465"/>
    </row>
    <row r="28" spans="4:54" x14ac:dyDescent="0.2">
      <c r="Q28" s="465"/>
      <c r="R28" s="465"/>
      <c r="S28" s="465"/>
      <c r="T28" s="465"/>
      <c r="U28" s="465"/>
      <c r="V28" s="465"/>
      <c r="X28" s="465"/>
      <c r="Y28" s="465"/>
    </row>
    <row r="29" spans="4:54" hidden="1" x14ac:dyDescent="0.2">
      <c r="D29" s="463" t="s">
        <v>0</v>
      </c>
      <c r="E29" s="504" t="s">
        <v>301</v>
      </c>
      <c r="F29" s="504">
        <f>FirstYear</f>
        <v>2026</v>
      </c>
      <c r="G29" s="504">
        <f>F29+1</f>
        <v>2027</v>
      </c>
      <c r="H29" s="504">
        <f>G29+1</f>
        <v>2028</v>
      </c>
      <c r="I29" s="504">
        <f>H29+1</f>
        <v>2029</v>
      </c>
      <c r="J29" s="504">
        <f>I29+1</f>
        <v>2030</v>
      </c>
      <c r="K29" s="504">
        <f>J29+1</f>
        <v>2031</v>
      </c>
      <c r="O29" s="463" t="s">
        <v>1</v>
      </c>
      <c r="Q29" s="504" t="s">
        <v>301</v>
      </c>
      <c r="R29" s="504">
        <f>FirstYear</f>
        <v>2026</v>
      </c>
      <c r="S29" s="504">
        <f>R29+1</f>
        <v>2027</v>
      </c>
      <c r="T29" s="504">
        <f>S29+1</f>
        <v>2028</v>
      </c>
      <c r="U29" s="504">
        <f>T29+1</f>
        <v>2029</v>
      </c>
      <c r="V29" s="504">
        <f>U29+1</f>
        <v>2030</v>
      </c>
      <c r="X29" s="465"/>
      <c r="Y29" s="465"/>
      <c r="AH29"/>
      <c r="AI29"/>
      <c r="AJ29"/>
      <c r="AK29"/>
      <c r="AL29"/>
      <c r="AM29"/>
      <c r="AN29"/>
      <c r="AO29"/>
      <c r="AP29"/>
      <c r="AQ29"/>
      <c r="AR29"/>
      <c r="AS29"/>
      <c r="AT29"/>
      <c r="AU29"/>
      <c r="AV29"/>
      <c r="AW29"/>
      <c r="AX29"/>
      <c r="AY29"/>
      <c r="AZ29"/>
      <c r="BA29"/>
      <c r="BB29"/>
    </row>
    <row r="30" spans="4:54" hidden="1" x14ac:dyDescent="0.2">
      <c r="E30" s="505" t="str">
        <f>References!AU7</f>
        <v/>
      </c>
      <c r="F30" s="506">
        <f t="shared" ref="F30:K39" si="7">SUMIFS($Z$114:$Z$442,$Y$114:$Y$442,F$29,$X$114:$X$442,$E30)+SUMIFS($Z$509:$Z$837,$Y$509:$Y$837,F$29,$X$509:$X$837,$E30)</f>
        <v>0</v>
      </c>
      <c r="G30" s="506">
        <f t="shared" si="7"/>
        <v>0</v>
      </c>
      <c r="H30" s="506">
        <f t="shared" si="7"/>
        <v>0</v>
      </c>
      <c r="I30" s="506">
        <f t="shared" si="7"/>
        <v>0</v>
      </c>
      <c r="J30" s="506">
        <f t="shared" si="7"/>
        <v>0</v>
      </c>
      <c r="K30" s="506">
        <f t="shared" si="7"/>
        <v>0</v>
      </c>
      <c r="Q30" s="505" t="str">
        <f t="shared" ref="Q30:Q49" si="8">E30</f>
        <v/>
      </c>
      <c r="R30" s="506">
        <f t="shared" ref="R30:V39" si="9">SUMIFS($AA$114:$AA$442,$Y$114:$Y$442,R$29,$X$114:$X$442,$Q30)+SUMIFS($AA$509:$AA$837,$Y$509:$Y$837,R$29,$X$509:$X$837,$E30)</f>
        <v>0</v>
      </c>
      <c r="S30" s="506">
        <f t="shared" si="9"/>
        <v>0</v>
      </c>
      <c r="T30" s="506">
        <f t="shared" si="9"/>
        <v>0</v>
      </c>
      <c r="U30" s="506">
        <f t="shared" si="9"/>
        <v>0</v>
      </c>
      <c r="V30" s="506">
        <f t="shared" si="9"/>
        <v>0</v>
      </c>
      <c r="X30" s="465"/>
      <c r="Y30" s="465"/>
      <c r="AH30"/>
      <c r="AI30"/>
      <c r="AJ30"/>
      <c r="AK30"/>
      <c r="AL30"/>
      <c r="AM30"/>
      <c r="AN30"/>
      <c r="AO30"/>
      <c r="AP30"/>
      <c r="AQ30"/>
      <c r="AR30"/>
      <c r="AS30"/>
      <c r="AT30"/>
      <c r="AU30"/>
      <c r="AV30"/>
      <c r="AW30"/>
      <c r="AX30"/>
      <c r="AY30"/>
      <c r="AZ30"/>
      <c r="BA30"/>
      <c r="BB30"/>
    </row>
    <row r="31" spans="4:54" hidden="1" x14ac:dyDescent="0.2">
      <c r="E31" s="505" t="str">
        <f>References!AU8</f>
        <v/>
      </c>
      <c r="F31" s="506">
        <f t="shared" si="7"/>
        <v>0</v>
      </c>
      <c r="G31" s="506">
        <f t="shared" si="7"/>
        <v>0</v>
      </c>
      <c r="H31" s="506">
        <f t="shared" si="7"/>
        <v>0</v>
      </c>
      <c r="I31" s="506">
        <f t="shared" si="7"/>
        <v>0</v>
      </c>
      <c r="J31" s="506">
        <f t="shared" si="7"/>
        <v>0</v>
      </c>
      <c r="K31" s="506">
        <f t="shared" si="7"/>
        <v>0</v>
      </c>
      <c r="Q31" s="505" t="str">
        <f t="shared" si="8"/>
        <v/>
      </c>
      <c r="R31" s="506">
        <f t="shared" si="9"/>
        <v>0</v>
      </c>
      <c r="S31" s="506">
        <f t="shared" si="9"/>
        <v>0</v>
      </c>
      <c r="T31" s="506">
        <f t="shared" si="9"/>
        <v>0</v>
      </c>
      <c r="U31" s="506">
        <f t="shared" si="9"/>
        <v>0</v>
      </c>
      <c r="V31" s="506">
        <f t="shared" si="9"/>
        <v>0</v>
      </c>
      <c r="X31" s="465"/>
      <c r="Y31" s="465"/>
      <c r="AH31"/>
      <c r="AI31"/>
      <c r="AJ31"/>
      <c r="AK31"/>
      <c r="AL31"/>
      <c r="AM31"/>
      <c r="AN31"/>
      <c r="AO31"/>
      <c r="AP31"/>
      <c r="AQ31"/>
      <c r="AR31"/>
      <c r="AS31"/>
      <c r="AT31"/>
      <c r="AU31"/>
      <c r="AV31"/>
      <c r="AW31"/>
      <c r="AX31"/>
      <c r="AY31"/>
      <c r="AZ31"/>
      <c r="BA31"/>
      <c r="BB31"/>
    </row>
    <row r="32" spans="4:54" hidden="1" x14ac:dyDescent="0.2">
      <c r="E32" s="505" t="str">
        <f>References!AU9</f>
        <v/>
      </c>
      <c r="F32" s="506">
        <f t="shared" si="7"/>
        <v>0</v>
      </c>
      <c r="G32" s="506">
        <f t="shared" si="7"/>
        <v>0</v>
      </c>
      <c r="H32" s="506">
        <f t="shared" si="7"/>
        <v>0</v>
      </c>
      <c r="I32" s="506">
        <f t="shared" si="7"/>
        <v>0</v>
      </c>
      <c r="J32" s="506">
        <f t="shared" si="7"/>
        <v>0</v>
      </c>
      <c r="K32" s="506">
        <f t="shared" si="7"/>
        <v>0</v>
      </c>
      <c r="Q32" s="505" t="str">
        <f t="shared" si="8"/>
        <v/>
      </c>
      <c r="R32" s="506">
        <f t="shared" si="9"/>
        <v>0</v>
      </c>
      <c r="S32" s="506">
        <f t="shared" si="9"/>
        <v>0</v>
      </c>
      <c r="T32" s="506">
        <f t="shared" si="9"/>
        <v>0</v>
      </c>
      <c r="U32" s="506">
        <f t="shared" si="9"/>
        <v>0</v>
      </c>
      <c r="V32" s="506">
        <f t="shared" si="9"/>
        <v>0</v>
      </c>
      <c r="X32" s="465"/>
      <c r="Y32" s="465"/>
      <c r="AH32"/>
      <c r="AI32"/>
      <c r="AJ32"/>
      <c r="AK32"/>
      <c r="AL32"/>
      <c r="AM32"/>
      <c r="AN32"/>
      <c r="AO32"/>
      <c r="AP32"/>
      <c r="AQ32"/>
      <c r="AR32"/>
      <c r="AS32"/>
      <c r="AT32"/>
      <c r="AU32"/>
      <c r="AV32"/>
      <c r="AW32"/>
      <c r="AX32"/>
      <c r="AY32"/>
      <c r="AZ32"/>
      <c r="BA32"/>
      <c r="BB32"/>
    </row>
    <row r="33" spans="5:54" hidden="1" x14ac:dyDescent="0.2">
      <c r="E33" s="505" t="str">
        <f>References!AU10</f>
        <v/>
      </c>
      <c r="F33" s="506">
        <f t="shared" si="7"/>
        <v>0</v>
      </c>
      <c r="G33" s="506">
        <f t="shared" si="7"/>
        <v>0</v>
      </c>
      <c r="H33" s="506">
        <f t="shared" si="7"/>
        <v>0</v>
      </c>
      <c r="I33" s="506">
        <f t="shared" si="7"/>
        <v>0</v>
      </c>
      <c r="J33" s="506">
        <f t="shared" si="7"/>
        <v>0</v>
      </c>
      <c r="K33" s="506">
        <f t="shared" si="7"/>
        <v>0</v>
      </c>
      <c r="Q33" s="505" t="str">
        <f t="shared" si="8"/>
        <v/>
      </c>
      <c r="R33" s="506">
        <f t="shared" si="9"/>
        <v>0</v>
      </c>
      <c r="S33" s="506">
        <f t="shared" si="9"/>
        <v>0</v>
      </c>
      <c r="T33" s="506">
        <f t="shared" si="9"/>
        <v>0</v>
      </c>
      <c r="U33" s="506">
        <f t="shared" si="9"/>
        <v>0</v>
      </c>
      <c r="V33" s="506">
        <f t="shared" si="9"/>
        <v>0</v>
      </c>
      <c r="X33" s="465"/>
      <c r="Y33" s="465"/>
      <c r="AH33"/>
      <c r="AI33"/>
      <c r="AJ33"/>
      <c r="AK33"/>
      <c r="AL33"/>
      <c r="AM33"/>
      <c r="AN33"/>
      <c r="AO33"/>
      <c r="AP33"/>
      <c r="AQ33"/>
      <c r="AR33"/>
      <c r="AS33"/>
      <c r="AT33"/>
      <c r="AU33"/>
      <c r="AV33"/>
      <c r="AW33"/>
      <c r="AX33"/>
      <c r="AY33"/>
      <c r="AZ33"/>
      <c r="BA33"/>
      <c r="BB33"/>
    </row>
    <row r="34" spans="5:54" hidden="1" x14ac:dyDescent="0.2">
      <c r="E34" s="505" t="str">
        <f>References!AU11</f>
        <v/>
      </c>
      <c r="F34" s="506">
        <f t="shared" si="7"/>
        <v>0</v>
      </c>
      <c r="G34" s="506">
        <f t="shared" si="7"/>
        <v>0</v>
      </c>
      <c r="H34" s="506">
        <f t="shared" si="7"/>
        <v>0</v>
      </c>
      <c r="I34" s="506">
        <f t="shared" si="7"/>
        <v>0</v>
      </c>
      <c r="J34" s="506">
        <f t="shared" si="7"/>
        <v>0</v>
      </c>
      <c r="K34" s="506">
        <f t="shared" si="7"/>
        <v>0</v>
      </c>
      <c r="Q34" s="505" t="str">
        <f t="shared" si="8"/>
        <v/>
      </c>
      <c r="R34" s="506">
        <f t="shared" si="9"/>
        <v>0</v>
      </c>
      <c r="S34" s="506">
        <f t="shared" si="9"/>
        <v>0</v>
      </c>
      <c r="T34" s="506">
        <f t="shared" si="9"/>
        <v>0</v>
      </c>
      <c r="U34" s="506">
        <f t="shared" si="9"/>
        <v>0</v>
      </c>
      <c r="V34" s="506">
        <f t="shared" si="9"/>
        <v>0</v>
      </c>
      <c r="X34" s="465"/>
      <c r="Y34" s="465"/>
      <c r="AH34"/>
      <c r="AI34"/>
      <c r="AJ34"/>
      <c r="AK34"/>
      <c r="AL34"/>
      <c r="AM34"/>
      <c r="AN34"/>
      <c r="AO34"/>
      <c r="AP34"/>
      <c r="AQ34"/>
      <c r="AR34"/>
      <c r="AS34"/>
      <c r="AT34"/>
      <c r="AU34"/>
      <c r="AV34"/>
      <c r="AW34"/>
      <c r="AX34"/>
      <c r="AY34"/>
      <c r="AZ34"/>
      <c r="BA34"/>
      <c r="BB34"/>
    </row>
    <row r="35" spans="5:54" hidden="1" x14ac:dyDescent="0.2">
      <c r="E35" s="505" t="str">
        <f>References!AU12</f>
        <v/>
      </c>
      <c r="F35" s="506">
        <f t="shared" si="7"/>
        <v>0</v>
      </c>
      <c r="G35" s="506">
        <f t="shared" si="7"/>
        <v>0</v>
      </c>
      <c r="H35" s="506">
        <f t="shared" si="7"/>
        <v>0</v>
      </c>
      <c r="I35" s="506">
        <f t="shared" si="7"/>
        <v>0</v>
      </c>
      <c r="J35" s="506">
        <f t="shared" si="7"/>
        <v>0</v>
      </c>
      <c r="K35" s="506">
        <f t="shared" si="7"/>
        <v>0</v>
      </c>
      <c r="Q35" s="505" t="str">
        <f t="shared" si="8"/>
        <v/>
      </c>
      <c r="R35" s="506">
        <f t="shared" si="9"/>
        <v>0</v>
      </c>
      <c r="S35" s="506">
        <f t="shared" si="9"/>
        <v>0</v>
      </c>
      <c r="T35" s="506">
        <f t="shared" si="9"/>
        <v>0</v>
      </c>
      <c r="U35" s="506">
        <f t="shared" si="9"/>
        <v>0</v>
      </c>
      <c r="V35" s="506">
        <f t="shared" si="9"/>
        <v>0</v>
      </c>
      <c r="X35" s="465"/>
      <c r="Y35" s="465"/>
      <c r="AH35"/>
      <c r="AI35"/>
      <c r="AJ35"/>
      <c r="AK35"/>
      <c r="AL35"/>
      <c r="AM35"/>
      <c r="AN35"/>
      <c r="AO35"/>
      <c r="AP35"/>
      <c r="AQ35"/>
      <c r="AR35"/>
      <c r="AS35"/>
      <c r="AT35"/>
      <c r="AU35"/>
      <c r="AV35"/>
      <c r="AW35"/>
      <c r="AX35"/>
      <c r="AY35"/>
      <c r="AZ35"/>
      <c r="BA35"/>
      <c r="BB35"/>
    </row>
    <row r="36" spans="5:54" hidden="1" x14ac:dyDescent="0.2">
      <c r="E36" s="505" t="str">
        <f>References!AU13</f>
        <v/>
      </c>
      <c r="F36" s="506">
        <f t="shared" si="7"/>
        <v>0</v>
      </c>
      <c r="G36" s="506">
        <f t="shared" si="7"/>
        <v>0</v>
      </c>
      <c r="H36" s="506">
        <f t="shared" si="7"/>
        <v>0</v>
      </c>
      <c r="I36" s="506">
        <f t="shared" si="7"/>
        <v>0</v>
      </c>
      <c r="J36" s="506">
        <f t="shared" si="7"/>
        <v>0</v>
      </c>
      <c r="K36" s="506">
        <f t="shared" si="7"/>
        <v>0</v>
      </c>
      <c r="Q36" s="505" t="str">
        <f t="shared" si="8"/>
        <v/>
      </c>
      <c r="R36" s="506">
        <f t="shared" si="9"/>
        <v>0</v>
      </c>
      <c r="S36" s="506">
        <f t="shared" si="9"/>
        <v>0</v>
      </c>
      <c r="T36" s="506">
        <f t="shared" si="9"/>
        <v>0</v>
      </c>
      <c r="U36" s="506">
        <f t="shared" si="9"/>
        <v>0</v>
      </c>
      <c r="V36" s="506">
        <f t="shared" si="9"/>
        <v>0</v>
      </c>
      <c r="X36" s="465"/>
      <c r="Y36" s="465"/>
      <c r="AH36"/>
      <c r="AI36"/>
      <c r="AJ36"/>
      <c r="AK36"/>
      <c r="AL36"/>
      <c r="AM36"/>
      <c r="AN36"/>
      <c r="AO36"/>
      <c r="AP36"/>
      <c r="AQ36"/>
      <c r="AR36"/>
      <c r="AS36"/>
      <c r="AT36"/>
      <c r="AU36"/>
      <c r="AV36"/>
      <c r="AW36"/>
      <c r="AX36"/>
      <c r="AY36"/>
      <c r="AZ36"/>
      <c r="BA36"/>
      <c r="BB36"/>
    </row>
    <row r="37" spans="5:54" hidden="1" x14ac:dyDescent="0.2">
      <c r="E37" s="505" t="str">
        <f>References!AU14</f>
        <v/>
      </c>
      <c r="F37" s="506">
        <f t="shared" si="7"/>
        <v>0</v>
      </c>
      <c r="G37" s="506">
        <f t="shared" si="7"/>
        <v>0</v>
      </c>
      <c r="H37" s="506">
        <f t="shared" si="7"/>
        <v>0</v>
      </c>
      <c r="I37" s="506">
        <f t="shared" si="7"/>
        <v>0</v>
      </c>
      <c r="J37" s="506">
        <f t="shared" si="7"/>
        <v>0</v>
      </c>
      <c r="K37" s="506">
        <f t="shared" si="7"/>
        <v>0</v>
      </c>
      <c r="Q37" s="505" t="str">
        <f t="shared" si="8"/>
        <v/>
      </c>
      <c r="R37" s="506">
        <f t="shared" si="9"/>
        <v>0</v>
      </c>
      <c r="S37" s="506">
        <f t="shared" si="9"/>
        <v>0</v>
      </c>
      <c r="T37" s="506">
        <f t="shared" si="9"/>
        <v>0</v>
      </c>
      <c r="U37" s="506">
        <f t="shared" si="9"/>
        <v>0</v>
      </c>
      <c r="V37" s="506">
        <f t="shared" si="9"/>
        <v>0</v>
      </c>
      <c r="X37" s="465"/>
      <c r="Y37" s="465"/>
      <c r="AH37"/>
      <c r="AI37"/>
      <c r="AJ37"/>
      <c r="AK37"/>
      <c r="AL37"/>
      <c r="AM37"/>
      <c r="AN37"/>
      <c r="AO37"/>
      <c r="AP37"/>
      <c r="AQ37"/>
      <c r="AR37"/>
      <c r="AS37"/>
      <c r="AT37"/>
      <c r="AU37"/>
      <c r="AV37"/>
      <c r="AW37"/>
      <c r="AX37"/>
      <c r="AY37"/>
      <c r="AZ37"/>
      <c r="BA37"/>
      <c r="BB37"/>
    </row>
    <row r="38" spans="5:54" hidden="1" x14ac:dyDescent="0.2">
      <c r="E38" s="505" t="str">
        <f>References!AU15</f>
        <v/>
      </c>
      <c r="F38" s="506">
        <f t="shared" si="7"/>
        <v>0</v>
      </c>
      <c r="G38" s="506">
        <f t="shared" si="7"/>
        <v>0</v>
      </c>
      <c r="H38" s="506">
        <f t="shared" si="7"/>
        <v>0</v>
      </c>
      <c r="I38" s="506">
        <f t="shared" si="7"/>
        <v>0</v>
      </c>
      <c r="J38" s="506">
        <f t="shared" si="7"/>
        <v>0</v>
      </c>
      <c r="K38" s="506">
        <f t="shared" si="7"/>
        <v>0</v>
      </c>
      <c r="Q38" s="505" t="str">
        <f t="shared" si="8"/>
        <v/>
      </c>
      <c r="R38" s="506">
        <f t="shared" si="9"/>
        <v>0</v>
      </c>
      <c r="S38" s="506">
        <f t="shared" si="9"/>
        <v>0</v>
      </c>
      <c r="T38" s="506">
        <f t="shared" si="9"/>
        <v>0</v>
      </c>
      <c r="U38" s="506">
        <f t="shared" si="9"/>
        <v>0</v>
      </c>
      <c r="V38" s="506">
        <f t="shared" si="9"/>
        <v>0</v>
      </c>
      <c r="X38" s="465"/>
      <c r="Y38" s="465"/>
      <c r="AH38"/>
      <c r="AI38"/>
      <c r="AJ38"/>
      <c r="AK38"/>
      <c r="AL38"/>
      <c r="AM38"/>
      <c r="AN38"/>
      <c r="AO38"/>
      <c r="AP38"/>
      <c r="AQ38"/>
      <c r="AR38"/>
      <c r="AS38"/>
      <c r="AT38"/>
      <c r="AU38"/>
      <c r="AV38"/>
      <c r="AW38"/>
      <c r="AX38"/>
      <c r="AY38"/>
      <c r="AZ38"/>
      <c r="BA38"/>
      <c r="BB38"/>
    </row>
    <row r="39" spans="5:54" hidden="1" x14ac:dyDescent="0.2">
      <c r="E39" s="505" t="str">
        <f>References!AU16</f>
        <v/>
      </c>
      <c r="F39" s="506">
        <f t="shared" si="7"/>
        <v>0</v>
      </c>
      <c r="G39" s="506">
        <f t="shared" si="7"/>
        <v>0</v>
      </c>
      <c r="H39" s="506">
        <f t="shared" si="7"/>
        <v>0</v>
      </c>
      <c r="I39" s="506">
        <f t="shared" si="7"/>
        <v>0</v>
      </c>
      <c r="J39" s="506">
        <f t="shared" si="7"/>
        <v>0</v>
      </c>
      <c r="K39" s="506">
        <f t="shared" si="7"/>
        <v>0</v>
      </c>
      <c r="Q39" s="505" t="str">
        <f t="shared" si="8"/>
        <v/>
      </c>
      <c r="R39" s="506">
        <f t="shared" si="9"/>
        <v>0</v>
      </c>
      <c r="S39" s="506">
        <f t="shared" si="9"/>
        <v>0</v>
      </c>
      <c r="T39" s="506">
        <f t="shared" si="9"/>
        <v>0</v>
      </c>
      <c r="U39" s="506">
        <f t="shared" si="9"/>
        <v>0</v>
      </c>
      <c r="V39" s="506">
        <f t="shared" si="9"/>
        <v>0</v>
      </c>
      <c r="X39" s="465"/>
      <c r="Y39" s="465"/>
      <c r="AH39"/>
      <c r="AI39"/>
      <c r="AJ39"/>
      <c r="AK39"/>
      <c r="AL39"/>
      <c r="AM39"/>
      <c r="AN39"/>
      <c r="AO39"/>
      <c r="AP39"/>
      <c r="AQ39"/>
      <c r="AR39"/>
      <c r="AS39"/>
      <c r="AT39"/>
      <c r="AU39"/>
      <c r="AV39"/>
      <c r="AW39"/>
      <c r="AX39"/>
      <c r="AY39"/>
      <c r="AZ39"/>
      <c r="BA39"/>
      <c r="BB39"/>
    </row>
    <row r="40" spans="5:54" hidden="1" x14ac:dyDescent="0.2">
      <c r="E40" s="505" t="str">
        <f>References!AU17</f>
        <v/>
      </c>
      <c r="F40" s="506">
        <f t="shared" ref="F40:K49" si="10">SUMIFS($Z$114:$Z$442,$Y$114:$Y$442,F$29,$X$114:$X$442,$E40)+SUMIFS($Z$509:$Z$837,$Y$509:$Y$837,F$29,$X$509:$X$837,$E40)</f>
        <v>0</v>
      </c>
      <c r="G40" s="506">
        <f t="shared" si="10"/>
        <v>0</v>
      </c>
      <c r="H40" s="506">
        <f t="shared" si="10"/>
        <v>0</v>
      </c>
      <c r="I40" s="506">
        <f t="shared" si="10"/>
        <v>0</v>
      </c>
      <c r="J40" s="506">
        <f t="shared" si="10"/>
        <v>0</v>
      </c>
      <c r="K40" s="506">
        <f t="shared" si="10"/>
        <v>0</v>
      </c>
      <c r="Q40" s="505" t="str">
        <f t="shared" si="8"/>
        <v/>
      </c>
      <c r="R40" s="506">
        <f t="shared" ref="R40:V49" si="11">SUMIFS($AA$114:$AA$442,$Y$114:$Y$442,R$29,$X$114:$X$442,$Q40)+SUMIFS($AA$509:$AA$837,$Y$509:$Y$837,R$29,$X$509:$X$837,$E40)</f>
        <v>0</v>
      </c>
      <c r="S40" s="506">
        <f t="shared" si="11"/>
        <v>0</v>
      </c>
      <c r="T40" s="506">
        <f t="shared" si="11"/>
        <v>0</v>
      </c>
      <c r="U40" s="506">
        <f t="shared" si="11"/>
        <v>0</v>
      </c>
      <c r="V40" s="506">
        <f t="shared" si="11"/>
        <v>0</v>
      </c>
      <c r="X40" s="465"/>
      <c r="Y40" s="465"/>
      <c r="AH40"/>
      <c r="AI40"/>
      <c r="AJ40"/>
      <c r="AK40"/>
      <c r="AL40"/>
      <c r="AM40"/>
      <c r="AN40"/>
      <c r="AO40"/>
      <c r="AP40"/>
      <c r="AQ40"/>
      <c r="AR40"/>
      <c r="AS40"/>
      <c r="AT40"/>
      <c r="AU40"/>
      <c r="AV40"/>
      <c r="AW40"/>
      <c r="AX40"/>
      <c r="AY40"/>
      <c r="AZ40"/>
      <c r="BA40"/>
      <c r="BB40"/>
    </row>
    <row r="41" spans="5:54" hidden="1" x14ac:dyDescent="0.2">
      <c r="E41" s="505" t="str">
        <f>References!AU18</f>
        <v/>
      </c>
      <c r="F41" s="506">
        <f t="shared" si="10"/>
        <v>0</v>
      </c>
      <c r="G41" s="506">
        <f t="shared" si="10"/>
        <v>0</v>
      </c>
      <c r="H41" s="506">
        <f t="shared" si="10"/>
        <v>0</v>
      </c>
      <c r="I41" s="506">
        <f t="shared" si="10"/>
        <v>0</v>
      </c>
      <c r="J41" s="506">
        <f t="shared" si="10"/>
        <v>0</v>
      </c>
      <c r="K41" s="506">
        <f t="shared" si="10"/>
        <v>0</v>
      </c>
      <c r="Q41" s="505" t="str">
        <f t="shared" si="8"/>
        <v/>
      </c>
      <c r="R41" s="506">
        <f t="shared" si="11"/>
        <v>0</v>
      </c>
      <c r="S41" s="506">
        <f t="shared" si="11"/>
        <v>0</v>
      </c>
      <c r="T41" s="506">
        <f t="shared" si="11"/>
        <v>0</v>
      </c>
      <c r="U41" s="506">
        <f t="shared" si="11"/>
        <v>0</v>
      </c>
      <c r="V41" s="506">
        <f t="shared" si="11"/>
        <v>0</v>
      </c>
      <c r="X41" s="465"/>
      <c r="Y41" s="465"/>
      <c r="AH41"/>
      <c r="AI41"/>
      <c r="AJ41"/>
      <c r="AK41"/>
      <c r="AL41"/>
      <c r="AM41"/>
      <c r="AN41"/>
      <c r="AO41"/>
      <c r="AP41"/>
      <c r="AQ41"/>
      <c r="AR41"/>
      <c r="AS41"/>
      <c r="AT41"/>
      <c r="AU41"/>
      <c r="AV41"/>
      <c r="AW41"/>
      <c r="AX41"/>
      <c r="AY41"/>
      <c r="AZ41"/>
      <c r="BA41"/>
      <c r="BB41"/>
    </row>
    <row r="42" spans="5:54" hidden="1" x14ac:dyDescent="0.2">
      <c r="E42" s="505" t="str">
        <f>References!AU19</f>
        <v/>
      </c>
      <c r="F42" s="506">
        <f t="shared" si="10"/>
        <v>0</v>
      </c>
      <c r="G42" s="506">
        <f t="shared" si="10"/>
        <v>0</v>
      </c>
      <c r="H42" s="506">
        <f t="shared" si="10"/>
        <v>0</v>
      </c>
      <c r="I42" s="506">
        <f t="shared" si="10"/>
        <v>0</v>
      </c>
      <c r="J42" s="506">
        <f t="shared" si="10"/>
        <v>0</v>
      </c>
      <c r="K42" s="506">
        <f t="shared" si="10"/>
        <v>0</v>
      </c>
      <c r="Q42" s="505" t="str">
        <f t="shared" si="8"/>
        <v/>
      </c>
      <c r="R42" s="506">
        <f t="shared" si="11"/>
        <v>0</v>
      </c>
      <c r="S42" s="506">
        <f t="shared" si="11"/>
        <v>0</v>
      </c>
      <c r="T42" s="506">
        <f t="shared" si="11"/>
        <v>0</v>
      </c>
      <c r="U42" s="506">
        <f t="shared" si="11"/>
        <v>0</v>
      </c>
      <c r="V42" s="506">
        <f t="shared" si="11"/>
        <v>0</v>
      </c>
      <c r="X42" s="465"/>
      <c r="Y42" s="465"/>
      <c r="AH42"/>
      <c r="AI42"/>
      <c r="AJ42"/>
      <c r="AK42"/>
      <c r="AL42"/>
      <c r="AM42"/>
      <c r="AN42"/>
      <c r="AO42"/>
      <c r="AP42"/>
      <c r="AQ42"/>
      <c r="AR42"/>
      <c r="AS42"/>
      <c r="AT42"/>
      <c r="AU42"/>
      <c r="AV42"/>
      <c r="AW42"/>
      <c r="AX42"/>
      <c r="AY42"/>
      <c r="AZ42"/>
      <c r="BA42"/>
      <c r="BB42"/>
    </row>
    <row r="43" spans="5:54" hidden="1" x14ac:dyDescent="0.2">
      <c r="E43" s="505" t="str">
        <f>References!AU20</f>
        <v/>
      </c>
      <c r="F43" s="506">
        <f t="shared" si="10"/>
        <v>0</v>
      </c>
      <c r="G43" s="506">
        <f t="shared" si="10"/>
        <v>0</v>
      </c>
      <c r="H43" s="506">
        <f t="shared" si="10"/>
        <v>0</v>
      </c>
      <c r="I43" s="506">
        <f t="shared" si="10"/>
        <v>0</v>
      </c>
      <c r="J43" s="506">
        <f t="shared" si="10"/>
        <v>0</v>
      </c>
      <c r="K43" s="506">
        <f t="shared" si="10"/>
        <v>0</v>
      </c>
      <c r="Q43" s="505" t="str">
        <f t="shared" si="8"/>
        <v/>
      </c>
      <c r="R43" s="506">
        <f t="shared" si="11"/>
        <v>0</v>
      </c>
      <c r="S43" s="506">
        <f t="shared" si="11"/>
        <v>0</v>
      </c>
      <c r="T43" s="506">
        <f t="shared" si="11"/>
        <v>0</v>
      </c>
      <c r="U43" s="506">
        <f t="shared" si="11"/>
        <v>0</v>
      </c>
      <c r="V43" s="506">
        <f t="shared" si="11"/>
        <v>0</v>
      </c>
      <c r="X43" s="465"/>
      <c r="Y43" s="465"/>
      <c r="AH43"/>
      <c r="AI43"/>
      <c r="AJ43"/>
      <c r="AK43"/>
      <c r="AL43"/>
      <c r="AM43"/>
      <c r="AN43"/>
      <c r="AO43"/>
      <c r="AP43"/>
      <c r="AQ43"/>
      <c r="AR43"/>
      <c r="AS43"/>
      <c r="AT43"/>
      <c r="AU43"/>
      <c r="AV43"/>
      <c r="AW43"/>
      <c r="AX43"/>
      <c r="AY43"/>
      <c r="AZ43"/>
      <c r="BA43"/>
      <c r="BB43"/>
    </row>
    <row r="44" spans="5:54" hidden="1" x14ac:dyDescent="0.2">
      <c r="E44" s="505" t="str">
        <f>References!AU21</f>
        <v/>
      </c>
      <c r="F44" s="506">
        <f t="shared" si="10"/>
        <v>0</v>
      </c>
      <c r="G44" s="506">
        <f t="shared" si="10"/>
        <v>0</v>
      </c>
      <c r="H44" s="506">
        <f t="shared" si="10"/>
        <v>0</v>
      </c>
      <c r="I44" s="506">
        <f t="shared" si="10"/>
        <v>0</v>
      </c>
      <c r="J44" s="506">
        <f t="shared" si="10"/>
        <v>0</v>
      </c>
      <c r="K44" s="506">
        <f t="shared" si="10"/>
        <v>0</v>
      </c>
      <c r="Q44" s="505" t="str">
        <f t="shared" si="8"/>
        <v/>
      </c>
      <c r="R44" s="506">
        <f t="shared" si="11"/>
        <v>0</v>
      </c>
      <c r="S44" s="506">
        <f t="shared" si="11"/>
        <v>0</v>
      </c>
      <c r="T44" s="506">
        <f t="shared" si="11"/>
        <v>0</v>
      </c>
      <c r="U44" s="506">
        <f t="shared" si="11"/>
        <v>0</v>
      </c>
      <c r="V44" s="506">
        <f t="shared" si="11"/>
        <v>0</v>
      </c>
      <c r="X44" s="465"/>
      <c r="Y44" s="465"/>
      <c r="AH44"/>
      <c r="AI44"/>
      <c r="AJ44"/>
      <c r="AK44"/>
      <c r="AL44"/>
      <c r="AM44"/>
      <c r="AN44"/>
      <c r="AO44"/>
      <c r="AP44"/>
      <c r="AQ44"/>
      <c r="AR44"/>
      <c r="AS44"/>
      <c r="AT44"/>
      <c r="AU44"/>
      <c r="AV44"/>
      <c r="AW44"/>
      <c r="AX44"/>
      <c r="AY44"/>
      <c r="AZ44"/>
      <c r="BA44"/>
      <c r="BB44"/>
    </row>
    <row r="45" spans="5:54" hidden="1" x14ac:dyDescent="0.2">
      <c r="E45" s="505" t="str">
        <f>References!AU22</f>
        <v/>
      </c>
      <c r="F45" s="506">
        <f t="shared" si="10"/>
        <v>0</v>
      </c>
      <c r="G45" s="506">
        <f t="shared" si="10"/>
        <v>0</v>
      </c>
      <c r="H45" s="506">
        <f t="shared" si="10"/>
        <v>0</v>
      </c>
      <c r="I45" s="506">
        <f t="shared" si="10"/>
        <v>0</v>
      </c>
      <c r="J45" s="506">
        <f t="shared" si="10"/>
        <v>0</v>
      </c>
      <c r="K45" s="506">
        <f t="shared" si="10"/>
        <v>0</v>
      </c>
      <c r="Q45" s="505" t="str">
        <f t="shared" si="8"/>
        <v/>
      </c>
      <c r="R45" s="506">
        <f t="shared" si="11"/>
        <v>0</v>
      </c>
      <c r="S45" s="506">
        <f t="shared" si="11"/>
        <v>0</v>
      </c>
      <c r="T45" s="506">
        <f t="shared" si="11"/>
        <v>0</v>
      </c>
      <c r="U45" s="506">
        <f t="shared" si="11"/>
        <v>0</v>
      </c>
      <c r="V45" s="506">
        <f t="shared" si="11"/>
        <v>0</v>
      </c>
      <c r="X45" s="465"/>
      <c r="Y45" s="465"/>
      <c r="AH45"/>
      <c r="AI45"/>
      <c r="AJ45"/>
      <c r="AK45"/>
      <c r="AL45"/>
      <c r="AM45"/>
      <c r="AN45"/>
      <c r="AO45"/>
      <c r="AP45"/>
      <c r="AQ45"/>
      <c r="AR45"/>
      <c r="AS45"/>
      <c r="AT45"/>
      <c r="AU45"/>
      <c r="AV45"/>
      <c r="AW45"/>
      <c r="AX45"/>
      <c r="AY45"/>
      <c r="AZ45"/>
      <c r="BA45"/>
      <c r="BB45"/>
    </row>
    <row r="46" spans="5:54" hidden="1" x14ac:dyDescent="0.2">
      <c r="E46" s="505" t="str">
        <f>References!AU23</f>
        <v/>
      </c>
      <c r="F46" s="506">
        <f t="shared" si="10"/>
        <v>0</v>
      </c>
      <c r="G46" s="506">
        <f t="shared" si="10"/>
        <v>0</v>
      </c>
      <c r="H46" s="506">
        <f t="shared" si="10"/>
        <v>0</v>
      </c>
      <c r="I46" s="506">
        <f t="shared" si="10"/>
        <v>0</v>
      </c>
      <c r="J46" s="506">
        <f t="shared" si="10"/>
        <v>0</v>
      </c>
      <c r="K46" s="506">
        <f t="shared" si="10"/>
        <v>0</v>
      </c>
      <c r="Q46" s="505" t="str">
        <f t="shared" si="8"/>
        <v/>
      </c>
      <c r="R46" s="506">
        <f t="shared" si="11"/>
        <v>0</v>
      </c>
      <c r="S46" s="506">
        <f t="shared" si="11"/>
        <v>0</v>
      </c>
      <c r="T46" s="506">
        <f t="shared" si="11"/>
        <v>0</v>
      </c>
      <c r="U46" s="506">
        <f t="shared" si="11"/>
        <v>0</v>
      </c>
      <c r="V46" s="506">
        <f t="shared" si="11"/>
        <v>0</v>
      </c>
      <c r="X46" s="465"/>
      <c r="Y46" s="465"/>
      <c r="AH46"/>
      <c r="AI46"/>
      <c r="AJ46"/>
      <c r="AK46"/>
      <c r="AL46"/>
      <c r="AM46"/>
      <c r="AN46"/>
      <c r="AO46"/>
      <c r="AP46"/>
      <c r="AQ46"/>
      <c r="AR46"/>
      <c r="AS46"/>
      <c r="AT46"/>
      <c r="AU46"/>
      <c r="AV46"/>
      <c r="AW46"/>
      <c r="AX46"/>
      <c r="AY46"/>
      <c r="AZ46"/>
      <c r="BA46"/>
      <c r="BB46"/>
    </row>
    <row r="47" spans="5:54" hidden="1" x14ac:dyDescent="0.2">
      <c r="E47" s="505" t="str">
        <f>References!AU24</f>
        <v/>
      </c>
      <c r="F47" s="506">
        <f t="shared" si="10"/>
        <v>0</v>
      </c>
      <c r="G47" s="506">
        <f t="shared" si="10"/>
        <v>0</v>
      </c>
      <c r="H47" s="506">
        <f t="shared" si="10"/>
        <v>0</v>
      </c>
      <c r="I47" s="506">
        <f t="shared" si="10"/>
        <v>0</v>
      </c>
      <c r="J47" s="506">
        <f t="shared" si="10"/>
        <v>0</v>
      </c>
      <c r="K47" s="506">
        <f t="shared" si="10"/>
        <v>0</v>
      </c>
      <c r="Q47" s="505" t="str">
        <f t="shared" si="8"/>
        <v/>
      </c>
      <c r="R47" s="506">
        <f t="shared" si="11"/>
        <v>0</v>
      </c>
      <c r="S47" s="506">
        <f t="shared" si="11"/>
        <v>0</v>
      </c>
      <c r="T47" s="506">
        <f t="shared" si="11"/>
        <v>0</v>
      </c>
      <c r="U47" s="506">
        <f t="shared" si="11"/>
        <v>0</v>
      </c>
      <c r="V47" s="506">
        <f t="shared" si="11"/>
        <v>0</v>
      </c>
      <c r="X47" s="465"/>
      <c r="Y47" s="465"/>
      <c r="AH47"/>
      <c r="AI47"/>
      <c r="AJ47"/>
      <c r="AK47"/>
      <c r="AL47"/>
      <c r="AM47"/>
      <c r="AN47"/>
      <c r="AO47"/>
      <c r="AP47"/>
      <c r="AQ47"/>
      <c r="AR47"/>
      <c r="AS47"/>
      <c r="AT47"/>
      <c r="AU47"/>
      <c r="AV47"/>
      <c r="AW47"/>
      <c r="AX47"/>
      <c r="AY47"/>
      <c r="AZ47"/>
      <c r="BA47"/>
      <c r="BB47"/>
    </row>
    <row r="48" spans="5:54" hidden="1" x14ac:dyDescent="0.2">
      <c r="E48" s="505" t="str">
        <f>References!AU25</f>
        <v/>
      </c>
      <c r="F48" s="506">
        <f t="shared" si="10"/>
        <v>0</v>
      </c>
      <c r="G48" s="506">
        <f t="shared" si="10"/>
        <v>0</v>
      </c>
      <c r="H48" s="506">
        <f t="shared" si="10"/>
        <v>0</v>
      </c>
      <c r="I48" s="506">
        <f t="shared" si="10"/>
        <v>0</v>
      </c>
      <c r="J48" s="506">
        <f t="shared" si="10"/>
        <v>0</v>
      </c>
      <c r="K48" s="506">
        <f t="shared" si="10"/>
        <v>0</v>
      </c>
      <c r="Q48" s="505" t="str">
        <f t="shared" si="8"/>
        <v/>
      </c>
      <c r="R48" s="506">
        <f t="shared" si="11"/>
        <v>0</v>
      </c>
      <c r="S48" s="506">
        <f t="shared" si="11"/>
        <v>0</v>
      </c>
      <c r="T48" s="506">
        <f t="shared" si="11"/>
        <v>0</v>
      </c>
      <c r="U48" s="506">
        <f t="shared" si="11"/>
        <v>0</v>
      </c>
      <c r="V48" s="506">
        <f t="shared" si="11"/>
        <v>0</v>
      </c>
      <c r="X48" s="465"/>
      <c r="Y48" s="465"/>
      <c r="AH48"/>
      <c r="AI48"/>
      <c r="AJ48"/>
      <c r="AK48"/>
      <c r="AL48"/>
      <c r="AM48"/>
      <c r="AN48"/>
      <c r="AO48"/>
      <c r="AP48"/>
      <c r="AQ48"/>
      <c r="AR48"/>
      <c r="AS48"/>
      <c r="AT48"/>
      <c r="AU48"/>
      <c r="AV48"/>
      <c r="AW48"/>
      <c r="AX48"/>
      <c r="AY48"/>
      <c r="AZ48"/>
      <c r="BA48"/>
      <c r="BB48"/>
    </row>
    <row r="49" spans="3:54" hidden="1" x14ac:dyDescent="0.2">
      <c r="E49" s="505" t="str">
        <f>References!AU26</f>
        <v/>
      </c>
      <c r="F49" s="506">
        <f t="shared" si="10"/>
        <v>0</v>
      </c>
      <c r="G49" s="506">
        <f t="shared" si="10"/>
        <v>0</v>
      </c>
      <c r="H49" s="506">
        <f t="shared" si="10"/>
        <v>0</v>
      </c>
      <c r="I49" s="506">
        <f t="shared" si="10"/>
        <v>0</v>
      </c>
      <c r="J49" s="506">
        <f t="shared" si="10"/>
        <v>0</v>
      </c>
      <c r="K49" s="506">
        <f t="shared" si="10"/>
        <v>0</v>
      </c>
      <c r="Q49" s="505" t="str">
        <f t="shared" si="8"/>
        <v/>
      </c>
      <c r="R49" s="506">
        <f t="shared" si="11"/>
        <v>0</v>
      </c>
      <c r="S49" s="506">
        <f t="shared" si="11"/>
        <v>0</v>
      </c>
      <c r="T49" s="506">
        <f t="shared" si="11"/>
        <v>0</v>
      </c>
      <c r="U49" s="506">
        <f t="shared" si="11"/>
        <v>0</v>
      </c>
      <c r="V49" s="506">
        <f t="shared" si="11"/>
        <v>0</v>
      </c>
      <c r="X49" s="465"/>
      <c r="Y49" s="465"/>
      <c r="AH49"/>
      <c r="AI49"/>
      <c r="AJ49"/>
      <c r="AK49"/>
      <c r="AL49"/>
      <c r="AM49"/>
      <c r="AN49"/>
      <c r="AO49"/>
      <c r="AP49"/>
      <c r="AQ49"/>
      <c r="AR49"/>
      <c r="AS49"/>
      <c r="AT49"/>
      <c r="AU49"/>
      <c r="AV49"/>
      <c r="AW49"/>
      <c r="AX49"/>
      <c r="AY49"/>
      <c r="AZ49"/>
      <c r="BA49"/>
      <c r="BB49"/>
    </row>
    <row r="50" spans="3:54" hidden="1" x14ac:dyDescent="0.2">
      <c r="Q50" s="465"/>
      <c r="R50" s="465"/>
      <c r="S50" s="465"/>
      <c r="T50" s="465"/>
      <c r="U50" s="465"/>
      <c r="V50" s="465"/>
      <c r="X50" s="465"/>
      <c r="Y50" s="465"/>
      <c r="AH50"/>
      <c r="AI50"/>
      <c r="AJ50"/>
      <c r="AK50"/>
      <c r="AL50"/>
      <c r="AM50"/>
      <c r="AN50"/>
      <c r="AO50"/>
      <c r="AP50"/>
      <c r="AQ50"/>
      <c r="AR50"/>
      <c r="AS50"/>
      <c r="AT50"/>
      <c r="AU50"/>
      <c r="AV50"/>
      <c r="AW50"/>
      <c r="AX50"/>
      <c r="AY50"/>
      <c r="AZ50"/>
      <c r="BA50"/>
      <c r="BB50"/>
    </row>
    <row r="51" spans="3:54" hidden="1" x14ac:dyDescent="0.2">
      <c r="D51" s="463" t="s">
        <v>73</v>
      </c>
      <c r="F51" s="504">
        <f>FirstYear</f>
        <v>2026</v>
      </c>
      <c r="G51" s="504">
        <f>F51+1</f>
        <v>2027</v>
      </c>
      <c r="H51" s="504">
        <f>G51+1</f>
        <v>2028</v>
      </c>
      <c r="I51" s="504">
        <f>H51+1</f>
        <v>2029</v>
      </c>
      <c r="J51" s="504">
        <f>I51+1</f>
        <v>2030</v>
      </c>
      <c r="K51" s="504">
        <f>J51+1</f>
        <v>2031</v>
      </c>
      <c r="Q51" s="465"/>
      <c r="R51" s="465"/>
      <c r="S51" s="465"/>
      <c r="T51" s="465"/>
      <c r="U51" s="465"/>
      <c r="V51" s="465"/>
      <c r="X51" s="465"/>
      <c r="Y51" s="465"/>
      <c r="AH51"/>
      <c r="AI51"/>
      <c r="AJ51"/>
      <c r="AK51"/>
      <c r="AL51"/>
      <c r="AM51"/>
      <c r="AN51"/>
      <c r="AO51"/>
      <c r="AP51"/>
      <c r="AQ51"/>
      <c r="AR51"/>
      <c r="AS51"/>
      <c r="AT51"/>
      <c r="AU51"/>
      <c r="AV51"/>
      <c r="AW51"/>
      <c r="AX51"/>
      <c r="AY51"/>
      <c r="AZ51"/>
      <c r="BA51"/>
      <c r="BB51"/>
    </row>
    <row r="52" spans="3:54" hidden="1" x14ac:dyDescent="0.2">
      <c r="E52" s="507" t="s">
        <v>333</v>
      </c>
      <c r="F52" s="506">
        <f t="shared" ref="F52:K52" si="12">SUMIF($Y$114:$Y$442,F51,$Z$114:$Z$442)</f>
        <v>0</v>
      </c>
      <c r="G52" s="506">
        <f t="shared" si="12"/>
        <v>0</v>
      </c>
      <c r="H52" s="506">
        <f t="shared" si="12"/>
        <v>0</v>
      </c>
      <c r="I52" s="506">
        <f t="shared" si="12"/>
        <v>0</v>
      </c>
      <c r="J52" s="506">
        <f t="shared" si="12"/>
        <v>0</v>
      </c>
      <c r="K52" s="506">
        <f t="shared" si="12"/>
        <v>0</v>
      </c>
      <c r="Q52" s="465"/>
      <c r="R52" s="465"/>
      <c r="S52" s="465"/>
      <c r="T52" s="465"/>
      <c r="U52" s="465"/>
      <c r="V52" s="465"/>
      <c r="X52" s="465"/>
      <c r="Y52" s="465"/>
      <c r="AH52"/>
      <c r="AI52"/>
      <c r="AJ52"/>
      <c r="AK52"/>
      <c r="AL52"/>
      <c r="AM52"/>
      <c r="AN52"/>
      <c r="AO52"/>
      <c r="AP52"/>
      <c r="AQ52"/>
      <c r="AR52"/>
      <c r="AS52"/>
      <c r="AT52"/>
      <c r="AU52"/>
      <c r="AV52"/>
      <c r="AW52"/>
      <c r="AX52"/>
      <c r="AY52"/>
      <c r="AZ52"/>
      <c r="BA52"/>
      <c r="BB52"/>
    </row>
    <row r="53" spans="3:54" hidden="1" x14ac:dyDescent="0.2">
      <c r="E53" s="507" t="s">
        <v>334</v>
      </c>
      <c r="F53" s="506">
        <f t="shared" ref="F53:K53" si="13">SUMIF($Y$509:$Y$837,F51,$Z$509:$Z$837)</f>
        <v>0</v>
      </c>
      <c r="G53" s="506">
        <f t="shared" si="13"/>
        <v>0</v>
      </c>
      <c r="H53" s="506">
        <f t="shared" si="13"/>
        <v>0</v>
      </c>
      <c r="I53" s="506">
        <f t="shared" si="13"/>
        <v>0</v>
      </c>
      <c r="J53" s="506">
        <f t="shared" si="13"/>
        <v>0</v>
      </c>
      <c r="K53" s="506">
        <f t="shared" si="13"/>
        <v>0</v>
      </c>
      <c r="Q53" s="465"/>
      <c r="R53" s="465"/>
      <c r="S53" s="465"/>
      <c r="T53" s="465"/>
      <c r="U53" s="465"/>
      <c r="V53" s="465"/>
      <c r="X53" s="465"/>
      <c r="Y53" s="465"/>
      <c r="AH53"/>
      <c r="AI53"/>
      <c r="AJ53"/>
      <c r="AK53"/>
      <c r="AL53"/>
      <c r="AM53"/>
      <c r="AN53"/>
      <c r="AO53"/>
      <c r="AP53"/>
      <c r="AQ53"/>
      <c r="AR53"/>
      <c r="AS53"/>
      <c r="AT53"/>
      <c r="AU53"/>
      <c r="AV53"/>
      <c r="AW53"/>
      <c r="AX53"/>
      <c r="AY53"/>
      <c r="AZ53"/>
      <c r="BA53"/>
      <c r="BB53"/>
    </row>
    <row r="54" spans="3:54" hidden="1" x14ac:dyDescent="0.2">
      <c r="E54" s="507" t="s">
        <v>335</v>
      </c>
      <c r="F54" s="506">
        <f t="shared" ref="F54:K54" si="14">F53+F52</f>
        <v>0</v>
      </c>
      <c r="G54" s="506">
        <f t="shared" si="14"/>
        <v>0</v>
      </c>
      <c r="H54" s="506">
        <f t="shared" si="14"/>
        <v>0</v>
      </c>
      <c r="I54" s="506">
        <f t="shared" si="14"/>
        <v>0</v>
      </c>
      <c r="J54" s="506">
        <f t="shared" si="14"/>
        <v>0</v>
      </c>
      <c r="K54" s="506">
        <f t="shared" si="14"/>
        <v>0</v>
      </c>
      <c r="Q54" s="465"/>
      <c r="R54" s="465"/>
      <c r="S54" s="465"/>
      <c r="T54" s="465"/>
      <c r="U54" s="465"/>
      <c r="V54" s="465"/>
      <c r="X54" s="465"/>
      <c r="Y54" s="465"/>
      <c r="AH54"/>
      <c r="AI54"/>
      <c r="AJ54"/>
      <c r="AK54"/>
      <c r="AL54"/>
      <c r="AM54"/>
      <c r="AN54"/>
      <c r="AO54"/>
      <c r="AP54"/>
      <c r="AQ54"/>
      <c r="AR54"/>
      <c r="AS54"/>
      <c r="AT54"/>
      <c r="AU54"/>
      <c r="AV54"/>
      <c r="AW54"/>
      <c r="AX54"/>
      <c r="AY54"/>
      <c r="AZ54"/>
      <c r="BA54"/>
      <c r="BB54"/>
    </row>
    <row r="55" spans="3:54" hidden="1" x14ac:dyDescent="0.2">
      <c r="Q55" s="465"/>
      <c r="R55" s="465"/>
      <c r="S55" s="465"/>
      <c r="T55" s="465"/>
      <c r="U55" s="465"/>
      <c r="V55" s="465"/>
      <c r="X55" s="465"/>
      <c r="Y55" s="465"/>
      <c r="AH55"/>
      <c r="AI55"/>
      <c r="AJ55"/>
      <c r="AK55"/>
      <c r="AL55"/>
      <c r="AM55"/>
      <c r="AN55"/>
      <c r="AO55"/>
      <c r="AP55"/>
      <c r="AQ55"/>
      <c r="AR55"/>
      <c r="AS55"/>
      <c r="AT55"/>
      <c r="AU55"/>
      <c r="AV55"/>
      <c r="AW55"/>
      <c r="AX55"/>
      <c r="AY55"/>
      <c r="AZ55"/>
      <c r="BA55"/>
      <c r="BB55"/>
    </row>
    <row r="56" spans="3:54" hidden="1" x14ac:dyDescent="0.2">
      <c r="Q56" s="465"/>
      <c r="R56" s="465"/>
      <c r="S56" s="465"/>
      <c r="T56" s="465"/>
      <c r="U56" s="465"/>
      <c r="V56" s="465"/>
      <c r="X56" s="465"/>
      <c r="Y56" s="465"/>
      <c r="AH56"/>
      <c r="AI56"/>
      <c r="AJ56"/>
      <c r="AK56"/>
      <c r="AL56"/>
      <c r="AM56"/>
      <c r="AN56"/>
      <c r="AO56"/>
      <c r="AP56"/>
      <c r="AQ56"/>
      <c r="AR56"/>
      <c r="AS56"/>
      <c r="AT56"/>
      <c r="AU56"/>
      <c r="AV56"/>
      <c r="AW56"/>
      <c r="AX56"/>
      <c r="AY56"/>
      <c r="AZ56"/>
      <c r="BA56"/>
      <c r="BB56"/>
    </row>
    <row r="57" spans="3:54" ht="15.75" x14ac:dyDescent="0.2">
      <c r="D57" s="72" t="s">
        <v>862</v>
      </c>
      <c r="E57" s="72"/>
      <c r="F57" s="105"/>
      <c r="G57" s="105"/>
      <c r="H57" s="105"/>
      <c r="I57" s="105"/>
      <c r="J57" s="105"/>
      <c r="K57" s="105"/>
      <c r="L57" s="105"/>
      <c r="M57" s="105"/>
      <c r="N57" s="105"/>
      <c r="O57" s="105"/>
      <c r="P57" s="105"/>
      <c r="Q57" s="105"/>
      <c r="R57" s="105"/>
      <c r="S57" s="105"/>
      <c r="T57" s="105"/>
      <c r="U57" s="105"/>
      <c r="V57" s="105"/>
    </row>
    <row r="58" spans="3:54" ht="15.75" outlineLevel="1" x14ac:dyDescent="0.2">
      <c r="D58" s="466"/>
      <c r="E58" s="466"/>
      <c r="F58" s="467"/>
    </row>
    <row r="59" spans="3:54" outlineLevel="1" x14ac:dyDescent="0.2">
      <c r="D59" s="103" t="s">
        <v>838</v>
      </c>
      <c r="F59" s="467"/>
    </row>
    <row r="60" spans="3:54" outlineLevel="1" x14ac:dyDescent="0.2">
      <c r="D60" s="103" t="s">
        <v>224</v>
      </c>
      <c r="F60" s="467"/>
      <c r="AI60" s="209">
        <v>1</v>
      </c>
      <c r="AJ60" s="209">
        <v>2</v>
      </c>
      <c r="AK60" s="209">
        <v>3</v>
      </c>
      <c r="AL60" s="209">
        <v>4</v>
      </c>
      <c r="AM60" s="209">
        <v>5</v>
      </c>
      <c r="AN60" s="209">
        <v>6</v>
      </c>
      <c r="AP60" s="209">
        <v>1</v>
      </c>
      <c r="AQ60" s="209">
        <v>2</v>
      </c>
      <c r="AR60" s="209">
        <v>3</v>
      </c>
      <c r="AS60" s="209">
        <v>4</v>
      </c>
      <c r="AT60" s="209">
        <v>5</v>
      </c>
      <c r="AU60" s="209">
        <v>6</v>
      </c>
    </row>
    <row r="61" spans="3:54" outlineLevel="1" x14ac:dyDescent="0.2">
      <c r="F61" s="467"/>
      <c r="AI61" s="617" t="str">
        <f>AH112</f>
        <v/>
      </c>
      <c r="AJ61" s="617"/>
      <c r="AK61" s="617"/>
      <c r="AL61" s="617"/>
      <c r="AM61" s="617"/>
      <c r="AN61" s="617"/>
      <c r="AP61" s="617" t="str">
        <f>AO112</f>
        <v/>
      </c>
      <c r="AQ61" s="617"/>
      <c r="AR61" s="617"/>
      <c r="AS61" s="617"/>
      <c r="AT61" s="617"/>
      <c r="AU61" s="617"/>
    </row>
    <row r="62" spans="3:54" ht="38.25" outlineLevel="1" x14ac:dyDescent="0.2">
      <c r="D62" s="61" t="s">
        <v>297</v>
      </c>
      <c r="E62" s="656" t="s">
        <v>797</v>
      </c>
      <c r="F62" s="656"/>
      <c r="G62" s="61" t="s">
        <v>34</v>
      </c>
      <c r="H62" s="61" t="s">
        <v>75</v>
      </c>
      <c r="I62" s="61" t="s">
        <v>421</v>
      </c>
      <c r="J62" s="61" t="s">
        <v>76</v>
      </c>
      <c r="K62" s="61" t="s">
        <v>743</v>
      </c>
      <c r="L62" s="61" t="s">
        <v>1241</v>
      </c>
      <c r="M62" s="61" t="str">
        <f>"Number of services / patient / " &amp; IF(TxDuration=3,"course","year")</f>
        <v>Number of services / patient / year</v>
      </c>
      <c r="N62" s="61" t="s">
        <v>1242</v>
      </c>
      <c r="O62" s="61" t="s">
        <v>225</v>
      </c>
      <c r="P62" s="61" t="s">
        <v>56</v>
      </c>
      <c r="Q62" s="61" t="s">
        <v>354</v>
      </c>
      <c r="R62" s="656" t="s">
        <v>1178</v>
      </c>
      <c r="S62" s="656"/>
      <c r="T62" s="656"/>
      <c r="U62" s="656"/>
      <c r="V62" s="656"/>
      <c r="AB62" s="204" t="s">
        <v>300</v>
      </c>
      <c r="AC62" s="204" t="s">
        <v>298</v>
      </c>
      <c r="AD62" s="204" t="s">
        <v>299</v>
      </c>
      <c r="AE62" s="204" t="s">
        <v>282</v>
      </c>
      <c r="AF62" s="204" t="s">
        <v>936</v>
      </c>
      <c r="AG62" s="355" t="s">
        <v>1179</v>
      </c>
      <c r="AI62" s="204">
        <f>FirstYear</f>
        <v>2026</v>
      </c>
      <c r="AJ62" s="204">
        <f>AI62+1</f>
        <v>2027</v>
      </c>
      <c r="AK62" s="204">
        <f>AJ62+1</f>
        <v>2028</v>
      </c>
      <c r="AL62" s="204">
        <f>AK62+1</f>
        <v>2029</v>
      </c>
      <c r="AM62" s="204">
        <f>AL62+1</f>
        <v>2030</v>
      </c>
      <c r="AN62" s="204">
        <f>AM62+1</f>
        <v>2031</v>
      </c>
      <c r="AP62" s="204">
        <f>FirstYear</f>
        <v>2026</v>
      </c>
      <c r="AQ62" s="204">
        <f>AP62+1</f>
        <v>2027</v>
      </c>
      <c r="AR62" s="204">
        <f>AQ62+1</f>
        <v>2028</v>
      </c>
      <c r="AS62" s="204">
        <f>AR62+1</f>
        <v>2029</v>
      </c>
      <c r="AT62" s="204">
        <f>AS62+1</f>
        <v>2030</v>
      </c>
      <c r="AU62" s="204">
        <f>AT62+1</f>
        <v>2031</v>
      </c>
    </row>
    <row r="63" spans="3:54" outlineLevel="1" x14ac:dyDescent="0.2">
      <c r="C63" s="209">
        <v>1</v>
      </c>
      <c r="D63" s="79"/>
      <c r="E63" s="599"/>
      <c r="F63" s="576"/>
      <c r="G63" s="45" t="str">
        <f t="shared" ref="G63:G72" si="15">IFERROR(INDEX(ServiceSplitPublic,K63),"")</f>
        <v/>
      </c>
      <c r="H63" s="45" t="str">
        <f t="shared" ref="H63:H72" si="16">IFERROR(INDEX(ServiceSplitPrivate,K63),"")</f>
        <v/>
      </c>
      <c r="I63" s="133"/>
      <c r="J63" s="45" t="str">
        <f t="shared" ref="J63:J72" si="17">IF(I63&lt;&gt;"",1-I63,"")</f>
        <v/>
      </c>
      <c r="K63" s="70"/>
      <c r="L63" s="70"/>
      <c r="M63" s="51"/>
      <c r="N63" s="51"/>
      <c r="O63" s="361"/>
      <c r="P63" s="227"/>
      <c r="Q63" s="210"/>
      <c r="R63" s="611"/>
      <c r="S63" s="611"/>
      <c r="T63" s="611"/>
      <c r="U63" s="611"/>
      <c r="V63" s="611"/>
      <c r="AB63" s="65" t="str">
        <f t="shared" ref="AB63:AB82" si="18">IF(INDEX(MBSIncItems,C63,1)&lt;&gt;"",INDEX(MBSIncItems,C63,1) &amp; " - " &amp; INDEX(MBSIncItems,C63,2),MsgNotUsed)</f>
        <v>** NOT USED **</v>
      </c>
      <c r="AC63" s="209">
        <v>1</v>
      </c>
      <c r="AD63" s="209">
        <f t="shared" ref="AD63:AD82" si="19">IF(L63="Per patient",1,IF(L63="Per script",2,0))</f>
        <v>0</v>
      </c>
      <c r="AE63" s="346">
        <f t="shared" ref="AE63:AE82" si="20">IFERROR(VLOOKUP(P63,TPShortCode,2,FALSE)-1,0)</f>
        <v>0</v>
      </c>
      <c r="AF63" s="346">
        <f t="shared" ref="AF63:AF82" si="21">CHOOSE(AD63+1,0,M63,N63)</f>
        <v>0</v>
      </c>
      <c r="AG63" s="347">
        <f t="shared" ref="AG63:AG82" ca="1" si="22">IFERROR(MATCH(R63,DTGPops,0),0)</f>
        <v>0</v>
      </c>
      <c r="AI63" s="369">
        <f t="shared" ref="AI63:AN78" ca="1" si="23">IF($AG63&lt;&gt;0,INDEX(PxTxPhase1Adj,$AG63,AI$60),0)</f>
        <v>0</v>
      </c>
      <c r="AJ63" s="369">
        <f t="shared" ca="1" si="23"/>
        <v>0</v>
      </c>
      <c r="AK63" s="369">
        <f t="shared" ca="1" si="23"/>
        <v>0</v>
      </c>
      <c r="AL63" s="369">
        <f t="shared" ca="1" si="23"/>
        <v>0</v>
      </c>
      <c r="AM63" s="369">
        <f t="shared" ca="1" si="23"/>
        <v>0</v>
      </c>
      <c r="AN63" s="369">
        <f t="shared" ca="1" si="23"/>
        <v>0</v>
      </c>
      <c r="AP63" s="369">
        <f t="shared" ref="AP63:AU78" ca="1" si="24">IF($AG63&lt;&gt;0,INDEX(PxTxPhase2Adj,$AG63,AP$60),0)</f>
        <v>0</v>
      </c>
      <c r="AQ63" s="369">
        <f t="shared" ca="1" si="24"/>
        <v>0</v>
      </c>
      <c r="AR63" s="369">
        <f t="shared" ca="1" si="24"/>
        <v>0</v>
      </c>
      <c r="AS63" s="369">
        <f t="shared" ca="1" si="24"/>
        <v>0</v>
      </c>
      <c r="AT63" s="369">
        <f t="shared" ca="1" si="24"/>
        <v>0</v>
      </c>
      <c r="AU63" s="369">
        <f t="shared" ca="1" si="24"/>
        <v>0</v>
      </c>
    </row>
    <row r="64" spans="3:54" outlineLevel="1" x14ac:dyDescent="0.2">
      <c r="C64" s="209">
        <v>2</v>
      </c>
      <c r="D64" s="79"/>
      <c r="E64" s="603"/>
      <c r="F64" s="612"/>
      <c r="G64" s="45" t="str">
        <f t="shared" si="15"/>
        <v/>
      </c>
      <c r="H64" s="45" t="str">
        <f t="shared" si="16"/>
        <v/>
      </c>
      <c r="I64" s="133"/>
      <c r="J64" s="45" t="str">
        <f t="shared" si="17"/>
        <v/>
      </c>
      <c r="K64" s="70"/>
      <c r="L64" s="70"/>
      <c r="M64" s="51"/>
      <c r="N64" s="51"/>
      <c r="O64" s="361"/>
      <c r="P64" s="227"/>
      <c r="Q64" s="210"/>
      <c r="R64" s="611"/>
      <c r="S64" s="611"/>
      <c r="T64" s="611"/>
      <c r="U64" s="611"/>
      <c r="V64" s="611"/>
      <c r="AB64" s="65" t="str">
        <f t="shared" si="18"/>
        <v>** NOT USED **</v>
      </c>
      <c r="AC64" s="209">
        <f>AC63</f>
        <v>1</v>
      </c>
      <c r="AD64" s="209">
        <f t="shared" si="19"/>
        <v>0</v>
      </c>
      <c r="AE64" s="346">
        <f t="shared" si="20"/>
        <v>0</v>
      </c>
      <c r="AF64" s="346">
        <f t="shared" si="21"/>
        <v>0</v>
      </c>
      <c r="AG64" s="347">
        <f t="shared" ca="1" si="22"/>
        <v>0</v>
      </c>
      <c r="AI64" s="369">
        <f t="shared" ca="1" si="23"/>
        <v>0</v>
      </c>
      <c r="AJ64" s="369">
        <f t="shared" ca="1" si="23"/>
        <v>0</v>
      </c>
      <c r="AK64" s="369">
        <f t="shared" ca="1" si="23"/>
        <v>0</v>
      </c>
      <c r="AL64" s="369">
        <f t="shared" ca="1" si="23"/>
        <v>0</v>
      </c>
      <c r="AM64" s="369">
        <f t="shared" ca="1" si="23"/>
        <v>0</v>
      </c>
      <c r="AN64" s="369">
        <f t="shared" ca="1" si="23"/>
        <v>0</v>
      </c>
      <c r="AP64" s="369">
        <f t="shared" ca="1" si="24"/>
        <v>0</v>
      </c>
      <c r="AQ64" s="369">
        <f t="shared" ca="1" si="24"/>
        <v>0</v>
      </c>
      <c r="AR64" s="369">
        <f t="shared" ca="1" si="24"/>
        <v>0</v>
      </c>
      <c r="AS64" s="369">
        <f t="shared" ca="1" si="24"/>
        <v>0</v>
      </c>
      <c r="AT64" s="369">
        <f t="shared" ca="1" si="24"/>
        <v>0</v>
      </c>
      <c r="AU64" s="369">
        <f t="shared" ca="1" si="24"/>
        <v>0</v>
      </c>
    </row>
    <row r="65" spans="3:47" outlineLevel="1" x14ac:dyDescent="0.2">
      <c r="C65" s="209">
        <v>3</v>
      </c>
      <c r="D65" s="79"/>
      <c r="E65" s="603"/>
      <c r="F65" s="603"/>
      <c r="G65" s="45" t="str">
        <f t="shared" si="15"/>
        <v/>
      </c>
      <c r="H65" s="45" t="str">
        <f t="shared" si="16"/>
        <v/>
      </c>
      <c r="I65" s="133"/>
      <c r="J65" s="45" t="str">
        <f t="shared" si="17"/>
        <v/>
      </c>
      <c r="K65" s="70"/>
      <c r="L65" s="70"/>
      <c r="M65" s="51"/>
      <c r="N65" s="51"/>
      <c r="O65" s="361"/>
      <c r="P65" s="227"/>
      <c r="Q65" s="210"/>
      <c r="R65" s="611"/>
      <c r="S65" s="611"/>
      <c r="T65" s="611"/>
      <c r="U65" s="611"/>
      <c r="V65" s="611"/>
      <c r="AB65" s="65" t="str">
        <f t="shared" si="18"/>
        <v>** NOT USED **</v>
      </c>
      <c r="AC65" s="209">
        <f t="shared" ref="AC65:AC82" si="25">AC64</f>
        <v>1</v>
      </c>
      <c r="AD65" s="209">
        <f t="shared" si="19"/>
        <v>0</v>
      </c>
      <c r="AE65" s="346">
        <f t="shared" si="20"/>
        <v>0</v>
      </c>
      <c r="AF65" s="346">
        <f t="shared" si="21"/>
        <v>0</v>
      </c>
      <c r="AG65" s="347">
        <f t="shared" ca="1" si="22"/>
        <v>0</v>
      </c>
      <c r="AI65" s="369">
        <f t="shared" ca="1" si="23"/>
        <v>0</v>
      </c>
      <c r="AJ65" s="369">
        <f t="shared" ca="1" si="23"/>
        <v>0</v>
      </c>
      <c r="AK65" s="369">
        <f t="shared" ca="1" si="23"/>
        <v>0</v>
      </c>
      <c r="AL65" s="369">
        <f t="shared" ca="1" si="23"/>
        <v>0</v>
      </c>
      <c r="AM65" s="369">
        <f t="shared" ca="1" si="23"/>
        <v>0</v>
      </c>
      <c r="AN65" s="369">
        <f t="shared" ca="1" si="23"/>
        <v>0</v>
      </c>
      <c r="AP65" s="369">
        <f t="shared" ca="1" si="24"/>
        <v>0</v>
      </c>
      <c r="AQ65" s="369">
        <f t="shared" ca="1" si="24"/>
        <v>0</v>
      </c>
      <c r="AR65" s="369">
        <f t="shared" ca="1" si="24"/>
        <v>0</v>
      </c>
      <c r="AS65" s="369">
        <f t="shared" ca="1" si="24"/>
        <v>0</v>
      </c>
      <c r="AT65" s="369">
        <f t="shared" ca="1" si="24"/>
        <v>0</v>
      </c>
      <c r="AU65" s="369">
        <f t="shared" ca="1" si="24"/>
        <v>0</v>
      </c>
    </row>
    <row r="66" spans="3:47" outlineLevel="1" x14ac:dyDescent="0.2">
      <c r="C66" s="209">
        <v>4</v>
      </c>
      <c r="D66" s="79"/>
      <c r="E66" s="603"/>
      <c r="F66" s="603"/>
      <c r="G66" s="45" t="str">
        <f t="shared" si="15"/>
        <v/>
      </c>
      <c r="H66" s="45" t="str">
        <f t="shared" si="16"/>
        <v/>
      </c>
      <c r="I66" s="133"/>
      <c r="J66" s="45" t="str">
        <f t="shared" si="17"/>
        <v/>
      </c>
      <c r="K66" s="70"/>
      <c r="L66" s="70"/>
      <c r="M66" s="51"/>
      <c r="N66" s="51"/>
      <c r="O66" s="361"/>
      <c r="P66" s="227"/>
      <c r="Q66" s="210"/>
      <c r="R66" s="611"/>
      <c r="S66" s="611"/>
      <c r="T66" s="611"/>
      <c r="U66" s="611"/>
      <c r="V66" s="611"/>
      <c r="AB66" s="65" t="str">
        <f t="shared" si="18"/>
        <v>** NOT USED **</v>
      </c>
      <c r="AC66" s="209">
        <f t="shared" si="25"/>
        <v>1</v>
      </c>
      <c r="AD66" s="209">
        <f t="shared" si="19"/>
        <v>0</v>
      </c>
      <c r="AE66" s="346">
        <f t="shared" si="20"/>
        <v>0</v>
      </c>
      <c r="AF66" s="346">
        <f t="shared" si="21"/>
        <v>0</v>
      </c>
      <c r="AG66" s="347">
        <f t="shared" ca="1" si="22"/>
        <v>0</v>
      </c>
      <c r="AI66" s="369">
        <f t="shared" ca="1" si="23"/>
        <v>0</v>
      </c>
      <c r="AJ66" s="369">
        <f t="shared" ca="1" si="23"/>
        <v>0</v>
      </c>
      <c r="AK66" s="369">
        <f t="shared" ca="1" si="23"/>
        <v>0</v>
      </c>
      <c r="AL66" s="369">
        <f t="shared" ca="1" si="23"/>
        <v>0</v>
      </c>
      <c r="AM66" s="369">
        <f t="shared" ca="1" si="23"/>
        <v>0</v>
      </c>
      <c r="AN66" s="369">
        <f t="shared" ca="1" si="23"/>
        <v>0</v>
      </c>
      <c r="AP66" s="369">
        <f t="shared" ca="1" si="24"/>
        <v>0</v>
      </c>
      <c r="AQ66" s="369">
        <f t="shared" ca="1" si="24"/>
        <v>0</v>
      </c>
      <c r="AR66" s="369">
        <f t="shared" ca="1" si="24"/>
        <v>0</v>
      </c>
      <c r="AS66" s="369">
        <f t="shared" ca="1" si="24"/>
        <v>0</v>
      </c>
      <c r="AT66" s="369">
        <f t="shared" ca="1" si="24"/>
        <v>0</v>
      </c>
      <c r="AU66" s="369">
        <f t="shared" ca="1" si="24"/>
        <v>0</v>
      </c>
    </row>
    <row r="67" spans="3:47" outlineLevel="1" x14ac:dyDescent="0.2">
      <c r="C67" s="209">
        <v>5</v>
      </c>
      <c r="D67" s="79"/>
      <c r="E67" s="603"/>
      <c r="F67" s="603"/>
      <c r="G67" s="45" t="str">
        <f t="shared" si="15"/>
        <v/>
      </c>
      <c r="H67" s="45" t="str">
        <f t="shared" si="16"/>
        <v/>
      </c>
      <c r="I67" s="133"/>
      <c r="J67" s="45" t="str">
        <f t="shared" si="17"/>
        <v/>
      </c>
      <c r="K67" s="70"/>
      <c r="L67" s="70"/>
      <c r="M67" s="51"/>
      <c r="N67" s="51"/>
      <c r="O67" s="361"/>
      <c r="P67" s="227"/>
      <c r="Q67" s="210"/>
      <c r="R67" s="611"/>
      <c r="S67" s="611"/>
      <c r="T67" s="611"/>
      <c r="U67" s="611"/>
      <c r="V67" s="611"/>
      <c r="AB67" s="65" t="str">
        <f t="shared" si="18"/>
        <v>** NOT USED **</v>
      </c>
      <c r="AC67" s="209">
        <f t="shared" si="25"/>
        <v>1</v>
      </c>
      <c r="AD67" s="209">
        <f t="shared" si="19"/>
        <v>0</v>
      </c>
      <c r="AE67" s="346">
        <f t="shared" si="20"/>
        <v>0</v>
      </c>
      <c r="AF67" s="346">
        <f t="shared" si="21"/>
        <v>0</v>
      </c>
      <c r="AG67" s="347">
        <f t="shared" ca="1" si="22"/>
        <v>0</v>
      </c>
      <c r="AI67" s="369">
        <f t="shared" ca="1" si="23"/>
        <v>0</v>
      </c>
      <c r="AJ67" s="369">
        <f t="shared" ca="1" si="23"/>
        <v>0</v>
      </c>
      <c r="AK67" s="369">
        <f t="shared" ca="1" si="23"/>
        <v>0</v>
      </c>
      <c r="AL67" s="369">
        <f t="shared" ca="1" si="23"/>
        <v>0</v>
      </c>
      <c r="AM67" s="369">
        <f t="shared" ca="1" si="23"/>
        <v>0</v>
      </c>
      <c r="AN67" s="369">
        <f t="shared" ca="1" si="23"/>
        <v>0</v>
      </c>
      <c r="AP67" s="369">
        <f t="shared" ca="1" si="24"/>
        <v>0</v>
      </c>
      <c r="AQ67" s="369">
        <f t="shared" ca="1" si="24"/>
        <v>0</v>
      </c>
      <c r="AR67" s="369">
        <f t="shared" ca="1" si="24"/>
        <v>0</v>
      </c>
      <c r="AS67" s="369">
        <f t="shared" ca="1" si="24"/>
        <v>0</v>
      </c>
      <c r="AT67" s="369">
        <f t="shared" ca="1" si="24"/>
        <v>0</v>
      </c>
      <c r="AU67" s="369">
        <f t="shared" ca="1" si="24"/>
        <v>0</v>
      </c>
    </row>
    <row r="68" spans="3:47" outlineLevel="1" x14ac:dyDescent="0.2">
      <c r="C68" s="209">
        <v>6</v>
      </c>
      <c r="D68" s="79"/>
      <c r="E68" s="603"/>
      <c r="F68" s="603"/>
      <c r="G68" s="45" t="str">
        <f t="shared" si="15"/>
        <v/>
      </c>
      <c r="H68" s="45" t="str">
        <f t="shared" si="16"/>
        <v/>
      </c>
      <c r="I68" s="133"/>
      <c r="J68" s="45" t="str">
        <f t="shared" si="17"/>
        <v/>
      </c>
      <c r="K68" s="70"/>
      <c r="L68" s="70"/>
      <c r="M68" s="51"/>
      <c r="N68" s="51"/>
      <c r="O68" s="361"/>
      <c r="P68" s="227"/>
      <c r="Q68" s="210"/>
      <c r="R68" s="611"/>
      <c r="S68" s="611"/>
      <c r="T68" s="611"/>
      <c r="U68" s="611"/>
      <c r="V68" s="611"/>
      <c r="AB68" s="65" t="str">
        <f t="shared" si="18"/>
        <v>** NOT USED **</v>
      </c>
      <c r="AC68" s="209">
        <f t="shared" si="25"/>
        <v>1</v>
      </c>
      <c r="AD68" s="209">
        <f t="shared" si="19"/>
        <v>0</v>
      </c>
      <c r="AE68" s="346">
        <f t="shared" si="20"/>
        <v>0</v>
      </c>
      <c r="AF68" s="346">
        <f t="shared" si="21"/>
        <v>0</v>
      </c>
      <c r="AG68" s="347">
        <f t="shared" ca="1" si="22"/>
        <v>0</v>
      </c>
      <c r="AI68" s="369">
        <f t="shared" ca="1" si="23"/>
        <v>0</v>
      </c>
      <c r="AJ68" s="369">
        <f t="shared" ca="1" si="23"/>
        <v>0</v>
      </c>
      <c r="AK68" s="369">
        <f t="shared" ca="1" si="23"/>
        <v>0</v>
      </c>
      <c r="AL68" s="369">
        <f t="shared" ca="1" si="23"/>
        <v>0</v>
      </c>
      <c r="AM68" s="369">
        <f t="shared" ca="1" si="23"/>
        <v>0</v>
      </c>
      <c r="AN68" s="369">
        <f t="shared" ca="1" si="23"/>
        <v>0</v>
      </c>
      <c r="AP68" s="369">
        <f t="shared" ca="1" si="24"/>
        <v>0</v>
      </c>
      <c r="AQ68" s="369">
        <f t="shared" ca="1" si="24"/>
        <v>0</v>
      </c>
      <c r="AR68" s="369">
        <f t="shared" ca="1" si="24"/>
        <v>0</v>
      </c>
      <c r="AS68" s="369">
        <f t="shared" ca="1" si="24"/>
        <v>0</v>
      </c>
      <c r="AT68" s="369">
        <f t="shared" ca="1" si="24"/>
        <v>0</v>
      </c>
      <c r="AU68" s="369">
        <f t="shared" ca="1" si="24"/>
        <v>0</v>
      </c>
    </row>
    <row r="69" spans="3:47" outlineLevel="1" x14ac:dyDescent="0.2">
      <c r="C69" s="209">
        <v>7</v>
      </c>
      <c r="D69" s="79"/>
      <c r="E69" s="603"/>
      <c r="F69" s="603"/>
      <c r="G69" s="45" t="str">
        <f t="shared" si="15"/>
        <v/>
      </c>
      <c r="H69" s="45" t="str">
        <f t="shared" si="16"/>
        <v/>
      </c>
      <c r="I69" s="133"/>
      <c r="J69" s="45" t="str">
        <f t="shared" si="17"/>
        <v/>
      </c>
      <c r="K69" s="70"/>
      <c r="L69" s="70"/>
      <c r="M69" s="51"/>
      <c r="N69" s="51"/>
      <c r="O69" s="361"/>
      <c r="P69" s="227"/>
      <c r="Q69" s="210"/>
      <c r="R69" s="611"/>
      <c r="S69" s="611"/>
      <c r="T69" s="611"/>
      <c r="U69" s="611"/>
      <c r="V69" s="611"/>
      <c r="AB69" s="65" t="str">
        <f t="shared" si="18"/>
        <v>** NOT USED **</v>
      </c>
      <c r="AC69" s="209">
        <f t="shared" si="25"/>
        <v>1</v>
      </c>
      <c r="AD69" s="209">
        <f t="shared" si="19"/>
        <v>0</v>
      </c>
      <c r="AE69" s="346">
        <f t="shared" si="20"/>
        <v>0</v>
      </c>
      <c r="AF69" s="346">
        <f t="shared" si="21"/>
        <v>0</v>
      </c>
      <c r="AG69" s="347">
        <f t="shared" ca="1" si="22"/>
        <v>0</v>
      </c>
      <c r="AI69" s="369">
        <f t="shared" ca="1" si="23"/>
        <v>0</v>
      </c>
      <c r="AJ69" s="369">
        <f t="shared" ca="1" si="23"/>
        <v>0</v>
      </c>
      <c r="AK69" s="369">
        <f t="shared" ca="1" si="23"/>
        <v>0</v>
      </c>
      <c r="AL69" s="369">
        <f t="shared" ca="1" si="23"/>
        <v>0</v>
      </c>
      <c r="AM69" s="369">
        <f t="shared" ca="1" si="23"/>
        <v>0</v>
      </c>
      <c r="AN69" s="369">
        <f t="shared" ca="1" si="23"/>
        <v>0</v>
      </c>
      <c r="AP69" s="369">
        <f t="shared" ca="1" si="24"/>
        <v>0</v>
      </c>
      <c r="AQ69" s="369">
        <f t="shared" ca="1" si="24"/>
        <v>0</v>
      </c>
      <c r="AR69" s="369">
        <f t="shared" ca="1" si="24"/>
        <v>0</v>
      </c>
      <c r="AS69" s="369">
        <f t="shared" ca="1" si="24"/>
        <v>0</v>
      </c>
      <c r="AT69" s="369">
        <f t="shared" ca="1" si="24"/>
        <v>0</v>
      </c>
      <c r="AU69" s="369">
        <f t="shared" ca="1" si="24"/>
        <v>0</v>
      </c>
    </row>
    <row r="70" spans="3:47" outlineLevel="1" x14ac:dyDescent="0.2">
      <c r="C70" s="209">
        <v>8</v>
      </c>
      <c r="D70" s="79"/>
      <c r="E70" s="603"/>
      <c r="F70" s="603"/>
      <c r="G70" s="45" t="str">
        <f t="shared" si="15"/>
        <v/>
      </c>
      <c r="H70" s="45" t="str">
        <f t="shared" si="16"/>
        <v/>
      </c>
      <c r="I70" s="133"/>
      <c r="J70" s="45" t="str">
        <f t="shared" si="17"/>
        <v/>
      </c>
      <c r="K70" s="70"/>
      <c r="L70" s="70"/>
      <c r="M70" s="51"/>
      <c r="N70" s="51"/>
      <c r="O70" s="361"/>
      <c r="P70" s="227"/>
      <c r="Q70" s="210"/>
      <c r="R70" s="611"/>
      <c r="S70" s="611"/>
      <c r="T70" s="611"/>
      <c r="U70" s="611"/>
      <c r="V70" s="611"/>
      <c r="AB70" s="65" t="str">
        <f t="shared" si="18"/>
        <v>** NOT USED **</v>
      </c>
      <c r="AC70" s="209">
        <f t="shared" si="25"/>
        <v>1</v>
      </c>
      <c r="AD70" s="209">
        <f t="shared" si="19"/>
        <v>0</v>
      </c>
      <c r="AE70" s="346">
        <f t="shared" si="20"/>
        <v>0</v>
      </c>
      <c r="AF70" s="346">
        <f t="shared" si="21"/>
        <v>0</v>
      </c>
      <c r="AG70" s="347">
        <f t="shared" ca="1" si="22"/>
        <v>0</v>
      </c>
      <c r="AI70" s="369">
        <f t="shared" ca="1" si="23"/>
        <v>0</v>
      </c>
      <c r="AJ70" s="369">
        <f t="shared" ca="1" si="23"/>
        <v>0</v>
      </c>
      <c r="AK70" s="369">
        <f t="shared" ca="1" si="23"/>
        <v>0</v>
      </c>
      <c r="AL70" s="369">
        <f t="shared" ca="1" si="23"/>
        <v>0</v>
      </c>
      <c r="AM70" s="369">
        <f t="shared" ca="1" si="23"/>
        <v>0</v>
      </c>
      <c r="AN70" s="369">
        <f t="shared" ca="1" si="23"/>
        <v>0</v>
      </c>
      <c r="AP70" s="369">
        <f t="shared" ca="1" si="24"/>
        <v>0</v>
      </c>
      <c r="AQ70" s="369">
        <f t="shared" ca="1" si="24"/>
        <v>0</v>
      </c>
      <c r="AR70" s="369">
        <f t="shared" ca="1" si="24"/>
        <v>0</v>
      </c>
      <c r="AS70" s="369">
        <f t="shared" ca="1" si="24"/>
        <v>0</v>
      </c>
      <c r="AT70" s="369">
        <f t="shared" ca="1" si="24"/>
        <v>0</v>
      </c>
      <c r="AU70" s="369">
        <f t="shared" ca="1" si="24"/>
        <v>0</v>
      </c>
    </row>
    <row r="71" spans="3:47" outlineLevel="1" x14ac:dyDescent="0.2">
      <c r="C71" s="209">
        <v>9</v>
      </c>
      <c r="D71" s="79"/>
      <c r="E71" s="603"/>
      <c r="F71" s="603"/>
      <c r="G71" s="45" t="str">
        <f t="shared" si="15"/>
        <v/>
      </c>
      <c r="H71" s="45" t="str">
        <f t="shared" si="16"/>
        <v/>
      </c>
      <c r="I71" s="133"/>
      <c r="J71" s="45" t="str">
        <f t="shared" si="17"/>
        <v/>
      </c>
      <c r="K71" s="70"/>
      <c r="L71" s="70"/>
      <c r="M71" s="51"/>
      <c r="N71" s="51"/>
      <c r="O71" s="361"/>
      <c r="P71" s="227"/>
      <c r="Q71" s="210"/>
      <c r="R71" s="611"/>
      <c r="S71" s="611"/>
      <c r="T71" s="611"/>
      <c r="U71" s="611"/>
      <c r="V71" s="611"/>
      <c r="AB71" s="65" t="str">
        <f t="shared" si="18"/>
        <v>** NOT USED **</v>
      </c>
      <c r="AC71" s="209">
        <f t="shared" si="25"/>
        <v>1</v>
      </c>
      <c r="AD71" s="209">
        <f t="shared" si="19"/>
        <v>0</v>
      </c>
      <c r="AE71" s="346">
        <f t="shared" si="20"/>
        <v>0</v>
      </c>
      <c r="AF71" s="346">
        <f t="shared" si="21"/>
        <v>0</v>
      </c>
      <c r="AG71" s="347">
        <f t="shared" ca="1" si="22"/>
        <v>0</v>
      </c>
      <c r="AI71" s="369">
        <f t="shared" ca="1" si="23"/>
        <v>0</v>
      </c>
      <c r="AJ71" s="369">
        <f t="shared" ca="1" si="23"/>
        <v>0</v>
      </c>
      <c r="AK71" s="369">
        <f t="shared" ca="1" si="23"/>
        <v>0</v>
      </c>
      <c r="AL71" s="369">
        <f t="shared" ca="1" si="23"/>
        <v>0</v>
      </c>
      <c r="AM71" s="369">
        <f t="shared" ca="1" si="23"/>
        <v>0</v>
      </c>
      <c r="AN71" s="369">
        <f t="shared" ca="1" si="23"/>
        <v>0</v>
      </c>
      <c r="AP71" s="369">
        <f t="shared" ca="1" si="24"/>
        <v>0</v>
      </c>
      <c r="AQ71" s="369">
        <f t="shared" ca="1" si="24"/>
        <v>0</v>
      </c>
      <c r="AR71" s="369">
        <f t="shared" ca="1" si="24"/>
        <v>0</v>
      </c>
      <c r="AS71" s="369">
        <f t="shared" ca="1" si="24"/>
        <v>0</v>
      </c>
      <c r="AT71" s="369">
        <f t="shared" ca="1" si="24"/>
        <v>0</v>
      </c>
      <c r="AU71" s="369">
        <f t="shared" ca="1" si="24"/>
        <v>0</v>
      </c>
    </row>
    <row r="72" spans="3:47" outlineLevel="1" x14ac:dyDescent="0.2">
      <c r="C72" s="209">
        <v>10</v>
      </c>
      <c r="D72" s="79"/>
      <c r="E72" s="603"/>
      <c r="F72" s="603"/>
      <c r="G72" s="45" t="str">
        <f t="shared" si="15"/>
        <v/>
      </c>
      <c r="H72" s="45" t="str">
        <f t="shared" si="16"/>
        <v/>
      </c>
      <c r="I72" s="133"/>
      <c r="J72" s="45" t="str">
        <f t="shared" si="17"/>
        <v/>
      </c>
      <c r="K72" s="70"/>
      <c r="L72" s="70"/>
      <c r="M72" s="51"/>
      <c r="N72" s="51"/>
      <c r="O72" s="361"/>
      <c r="P72" s="227"/>
      <c r="Q72" s="210"/>
      <c r="R72" s="611"/>
      <c r="S72" s="611"/>
      <c r="T72" s="611"/>
      <c r="U72" s="611"/>
      <c r="V72" s="611"/>
      <c r="AB72" s="65" t="str">
        <f t="shared" si="18"/>
        <v>** NOT USED **</v>
      </c>
      <c r="AC72" s="209">
        <f t="shared" si="25"/>
        <v>1</v>
      </c>
      <c r="AD72" s="209">
        <f t="shared" si="19"/>
        <v>0</v>
      </c>
      <c r="AE72" s="346">
        <f t="shared" si="20"/>
        <v>0</v>
      </c>
      <c r="AF72" s="346">
        <f t="shared" si="21"/>
        <v>0</v>
      </c>
      <c r="AG72" s="347">
        <f t="shared" ca="1" si="22"/>
        <v>0</v>
      </c>
      <c r="AI72" s="369">
        <f t="shared" ca="1" si="23"/>
        <v>0</v>
      </c>
      <c r="AJ72" s="369">
        <f t="shared" ca="1" si="23"/>
        <v>0</v>
      </c>
      <c r="AK72" s="369">
        <f t="shared" ca="1" si="23"/>
        <v>0</v>
      </c>
      <c r="AL72" s="369">
        <f t="shared" ca="1" si="23"/>
        <v>0</v>
      </c>
      <c r="AM72" s="369">
        <f t="shared" ca="1" si="23"/>
        <v>0</v>
      </c>
      <c r="AN72" s="369">
        <f t="shared" ca="1" si="23"/>
        <v>0</v>
      </c>
      <c r="AP72" s="369">
        <f t="shared" ca="1" si="24"/>
        <v>0</v>
      </c>
      <c r="AQ72" s="369">
        <f t="shared" ca="1" si="24"/>
        <v>0</v>
      </c>
      <c r="AR72" s="369">
        <f t="shared" ca="1" si="24"/>
        <v>0</v>
      </c>
      <c r="AS72" s="369">
        <f t="shared" ca="1" si="24"/>
        <v>0</v>
      </c>
      <c r="AT72" s="369">
        <f t="shared" ca="1" si="24"/>
        <v>0</v>
      </c>
      <c r="AU72" s="369">
        <f t="shared" ca="1" si="24"/>
        <v>0</v>
      </c>
    </row>
    <row r="73" spans="3:47" outlineLevel="1" x14ac:dyDescent="0.2">
      <c r="C73" s="209">
        <v>11</v>
      </c>
      <c r="D73" s="79"/>
      <c r="E73" s="603"/>
      <c r="F73" s="603"/>
      <c r="G73" s="45" t="str">
        <f t="shared" ref="G73:G82" si="26">IFERROR(INDEX(ServiceSplitPublic,K73),"")</f>
        <v/>
      </c>
      <c r="H73" s="45" t="str">
        <f t="shared" ref="H73:H82" si="27">IFERROR(INDEX(ServiceSplitPrivate,K73),"")</f>
        <v/>
      </c>
      <c r="I73" s="133"/>
      <c r="J73" s="45" t="str">
        <f t="shared" ref="J73:J82" si="28">IF(I73&lt;&gt;"",1-I73,"")</f>
        <v/>
      </c>
      <c r="K73" s="70"/>
      <c r="L73" s="70"/>
      <c r="M73" s="51"/>
      <c r="N73" s="51"/>
      <c r="O73" s="361"/>
      <c r="P73" s="227"/>
      <c r="Q73" s="210"/>
      <c r="R73" s="611"/>
      <c r="S73" s="611"/>
      <c r="T73" s="611"/>
      <c r="U73" s="611"/>
      <c r="V73" s="611"/>
      <c r="AB73" s="65" t="str">
        <f t="shared" si="18"/>
        <v>** NOT USED **</v>
      </c>
      <c r="AC73" s="209">
        <f t="shared" si="25"/>
        <v>1</v>
      </c>
      <c r="AD73" s="209">
        <f t="shared" si="19"/>
        <v>0</v>
      </c>
      <c r="AE73" s="346">
        <f t="shared" si="20"/>
        <v>0</v>
      </c>
      <c r="AF73" s="346">
        <f t="shared" si="21"/>
        <v>0</v>
      </c>
      <c r="AG73" s="347">
        <f t="shared" ca="1" si="22"/>
        <v>0</v>
      </c>
      <c r="AI73" s="369">
        <f t="shared" ca="1" si="23"/>
        <v>0</v>
      </c>
      <c r="AJ73" s="369">
        <f t="shared" ca="1" si="23"/>
        <v>0</v>
      </c>
      <c r="AK73" s="369">
        <f t="shared" ca="1" si="23"/>
        <v>0</v>
      </c>
      <c r="AL73" s="369">
        <f t="shared" ca="1" si="23"/>
        <v>0</v>
      </c>
      <c r="AM73" s="369">
        <f t="shared" ca="1" si="23"/>
        <v>0</v>
      </c>
      <c r="AN73" s="369">
        <f t="shared" ca="1" si="23"/>
        <v>0</v>
      </c>
      <c r="AP73" s="369">
        <f t="shared" ca="1" si="24"/>
        <v>0</v>
      </c>
      <c r="AQ73" s="369">
        <f t="shared" ca="1" si="24"/>
        <v>0</v>
      </c>
      <c r="AR73" s="369">
        <f t="shared" ca="1" si="24"/>
        <v>0</v>
      </c>
      <c r="AS73" s="369">
        <f t="shared" ca="1" si="24"/>
        <v>0</v>
      </c>
      <c r="AT73" s="369">
        <f t="shared" ca="1" si="24"/>
        <v>0</v>
      </c>
      <c r="AU73" s="369">
        <f t="shared" ca="1" si="24"/>
        <v>0</v>
      </c>
    </row>
    <row r="74" spans="3:47" outlineLevel="1" x14ac:dyDescent="0.2">
      <c r="C74" s="209">
        <v>12</v>
      </c>
      <c r="D74" s="79"/>
      <c r="E74" s="603"/>
      <c r="F74" s="603"/>
      <c r="G74" s="45" t="str">
        <f t="shared" si="26"/>
        <v/>
      </c>
      <c r="H74" s="45" t="str">
        <f t="shared" si="27"/>
        <v/>
      </c>
      <c r="I74" s="133"/>
      <c r="J74" s="45" t="str">
        <f t="shared" si="28"/>
        <v/>
      </c>
      <c r="K74" s="70"/>
      <c r="L74" s="70"/>
      <c r="M74" s="51"/>
      <c r="N74" s="51"/>
      <c r="O74" s="361"/>
      <c r="P74" s="227"/>
      <c r="Q74" s="210"/>
      <c r="R74" s="611"/>
      <c r="S74" s="611"/>
      <c r="T74" s="611"/>
      <c r="U74" s="611"/>
      <c r="V74" s="611"/>
      <c r="AB74" s="65" t="str">
        <f t="shared" si="18"/>
        <v>** NOT USED **</v>
      </c>
      <c r="AC74" s="209">
        <f t="shared" si="25"/>
        <v>1</v>
      </c>
      <c r="AD74" s="209">
        <f t="shared" si="19"/>
        <v>0</v>
      </c>
      <c r="AE74" s="346">
        <f t="shared" si="20"/>
        <v>0</v>
      </c>
      <c r="AF74" s="346">
        <f t="shared" si="21"/>
        <v>0</v>
      </c>
      <c r="AG74" s="347">
        <f t="shared" ca="1" si="22"/>
        <v>0</v>
      </c>
      <c r="AI74" s="369">
        <f t="shared" ca="1" si="23"/>
        <v>0</v>
      </c>
      <c r="AJ74" s="369">
        <f t="shared" ca="1" si="23"/>
        <v>0</v>
      </c>
      <c r="AK74" s="369">
        <f t="shared" ca="1" si="23"/>
        <v>0</v>
      </c>
      <c r="AL74" s="369">
        <f t="shared" ca="1" si="23"/>
        <v>0</v>
      </c>
      <c r="AM74" s="369">
        <f t="shared" ca="1" si="23"/>
        <v>0</v>
      </c>
      <c r="AN74" s="369">
        <f t="shared" ca="1" si="23"/>
        <v>0</v>
      </c>
      <c r="AP74" s="369">
        <f t="shared" ca="1" si="24"/>
        <v>0</v>
      </c>
      <c r="AQ74" s="369">
        <f t="shared" ca="1" si="24"/>
        <v>0</v>
      </c>
      <c r="AR74" s="369">
        <f t="shared" ca="1" si="24"/>
        <v>0</v>
      </c>
      <c r="AS74" s="369">
        <f t="shared" ca="1" si="24"/>
        <v>0</v>
      </c>
      <c r="AT74" s="369">
        <f t="shared" ca="1" si="24"/>
        <v>0</v>
      </c>
      <c r="AU74" s="369">
        <f t="shared" ca="1" si="24"/>
        <v>0</v>
      </c>
    </row>
    <row r="75" spans="3:47" outlineLevel="1" x14ac:dyDescent="0.2">
      <c r="C75" s="209">
        <v>13</v>
      </c>
      <c r="D75" s="79"/>
      <c r="E75" s="603"/>
      <c r="F75" s="603"/>
      <c r="G75" s="45" t="str">
        <f t="shared" si="26"/>
        <v/>
      </c>
      <c r="H75" s="45" t="str">
        <f t="shared" si="27"/>
        <v/>
      </c>
      <c r="I75" s="133"/>
      <c r="J75" s="45" t="str">
        <f t="shared" si="28"/>
        <v/>
      </c>
      <c r="K75" s="70"/>
      <c r="L75" s="70"/>
      <c r="M75" s="51"/>
      <c r="N75" s="51"/>
      <c r="O75" s="361"/>
      <c r="P75" s="227"/>
      <c r="Q75" s="210"/>
      <c r="R75" s="611"/>
      <c r="S75" s="611"/>
      <c r="T75" s="611"/>
      <c r="U75" s="611"/>
      <c r="V75" s="611"/>
      <c r="AB75" s="65" t="str">
        <f t="shared" si="18"/>
        <v>** NOT USED **</v>
      </c>
      <c r="AC75" s="209">
        <f t="shared" si="25"/>
        <v>1</v>
      </c>
      <c r="AD75" s="209">
        <f t="shared" si="19"/>
        <v>0</v>
      </c>
      <c r="AE75" s="346">
        <f t="shared" si="20"/>
        <v>0</v>
      </c>
      <c r="AF75" s="346">
        <f t="shared" si="21"/>
        <v>0</v>
      </c>
      <c r="AG75" s="347">
        <f t="shared" ca="1" si="22"/>
        <v>0</v>
      </c>
      <c r="AI75" s="369">
        <f t="shared" ca="1" si="23"/>
        <v>0</v>
      </c>
      <c r="AJ75" s="369">
        <f t="shared" ca="1" si="23"/>
        <v>0</v>
      </c>
      <c r="AK75" s="369">
        <f t="shared" ca="1" si="23"/>
        <v>0</v>
      </c>
      <c r="AL75" s="369">
        <f t="shared" ca="1" si="23"/>
        <v>0</v>
      </c>
      <c r="AM75" s="369">
        <f t="shared" ca="1" si="23"/>
        <v>0</v>
      </c>
      <c r="AN75" s="369">
        <f t="shared" ca="1" si="23"/>
        <v>0</v>
      </c>
      <c r="AP75" s="369">
        <f t="shared" ca="1" si="24"/>
        <v>0</v>
      </c>
      <c r="AQ75" s="369">
        <f t="shared" ca="1" si="24"/>
        <v>0</v>
      </c>
      <c r="AR75" s="369">
        <f t="shared" ca="1" si="24"/>
        <v>0</v>
      </c>
      <c r="AS75" s="369">
        <f t="shared" ca="1" si="24"/>
        <v>0</v>
      </c>
      <c r="AT75" s="369">
        <f t="shared" ca="1" si="24"/>
        <v>0</v>
      </c>
      <c r="AU75" s="369">
        <f t="shared" ca="1" si="24"/>
        <v>0</v>
      </c>
    </row>
    <row r="76" spans="3:47" outlineLevel="1" x14ac:dyDescent="0.2">
      <c r="C76" s="209">
        <v>14</v>
      </c>
      <c r="D76" s="79"/>
      <c r="E76" s="603"/>
      <c r="F76" s="603"/>
      <c r="G76" s="45" t="str">
        <f t="shared" si="26"/>
        <v/>
      </c>
      <c r="H76" s="45" t="str">
        <f t="shared" si="27"/>
        <v/>
      </c>
      <c r="I76" s="133"/>
      <c r="J76" s="45" t="str">
        <f t="shared" si="28"/>
        <v/>
      </c>
      <c r="K76" s="70"/>
      <c r="L76" s="70"/>
      <c r="M76" s="51"/>
      <c r="N76" s="51"/>
      <c r="O76" s="361"/>
      <c r="P76" s="227"/>
      <c r="Q76" s="210"/>
      <c r="R76" s="611"/>
      <c r="S76" s="611"/>
      <c r="T76" s="611"/>
      <c r="U76" s="611"/>
      <c r="V76" s="611"/>
      <c r="AB76" s="65" t="str">
        <f t="shared" si="18"/>
        <v>** NOT USED **</v>
      </c>
      <c r="AC76" s="209">
        <f t="shared" si="25"/>
        <v>1</v>
      </c>
      <c r="AD76" s="209">
        <f t="shared" si="19"/>
        <v>0</v>
      </c>
      <c r="AE76" s="346">
        <f t="shared" si="20"/>
        <v>0</v>
      </c>
      <c r="AF76" s="346">
        <f t="shared" si="21"/>
        <v>0</v>
      </c>
      <c r="AG76" s="347">
        <f t="shared" ca="1" si="22"/>
        <v>0</v>
      </c>
      <c r="AI76" s="369">
        <f t="shared" ca="1" si="23"/>
        <v>0</v>
      </c>
      <c r="AJ76" s="369">
        <f t="shared" ca="1" si="23"/>
        <v>0</v>
      </c>
      <c r="AK76" s="369">
        <f t="shared" ca="1" si="23"/>
        <v>0</v>
      </c>
      <c r="AL76" s="369">
        <f t="shared" ca="1" si="23"/>
        <v>0</v>
      </c>
      <c r="AM76" s="369">
        <f t="shared" ca="1" si="23"/>
        <v>0</v>
      </c>
      <c r="AN76" s="369">
        <f t="shared" ca="1" si="23"/>
        <v>0</v>
      </c>
      <c r="AP76" s="369">
        <f t="shared" ca="1" si="24"/>
        <v>0</v>
      </c>
      <c r="AQ76" s="369">
        <f t="shared" ca="1" si="24"/>
        <v>0</v>
      </c>
      <c r="AR76" s="369">
        <f t="shared" ca="1" si="24"/>
        <v>0</v>
      </c>
      <c r="AS76" s="369">
        <f t="shared" ca="1" si="24"/>
        <v>0</v>
      </c>
      <c r="AT76" s="369">
        <f t="shared" ca="1" si="24"/>
        <v>0</v>
      </c>
      <c r="AU76" s="369">
        <f t="shared" ca="1" si="24"/>
        <v>0</v>
      </c>
    </row>
    <row r="77" spans="3:47" outlineLevel="1" x14ac:dyDescent="0.2">
      <c r="C77" s="209">
        <v>15</v>
      </c>
      <c r="D77" s="79"/>
      <c r="E77" s="603"/>
      <c r="F77" s="603"/>
      <c r="G77" s="45" t="str">
        <f t="shared" si="26"/>
        <v/>
      </c>
      <c r="H77" s="45" t="str">
        <f t="shared" si="27"/>
        <v/>
      </c>
      <c r="I77" s="133"/>
      <c r="J77" s="45" t="str">
        <f t="shared" si="28"/>
        <v/>
      </c>
      <c r="K77" s="70"/>
      <c r="L77" s="70"/>
      <c r="M77" s="51"/>
      <c r="N77" s="51"/>
      <c r="O77" s="361"/>
      <c r="P77" s="227"/>
      <c r="Q77" s="210"/>
      <c r="R77" s="611"/>
      <c r="S77" s="611"/>
      <c r="T77" s="611"/>
      <c r="U77" s="611"/>
      <c r="V77" s="611"/>
      <c r="AB77" s="65" t="str">
        <f t="shared" si="18"/>
        <v>** NOT USED **</v>
      </c>
      <c r="AC77" s="209">
        <f t="shared" si="25"/>
        <v>1</v>
      </c>
      <c r="AD77" s="209">
        <f t="shared" si="19"/>
        <v>0</v>
      </c>
      <c r="AE77" s="346">
        <f t="shared" si="20"/>
        <v>0</v>
      </c>
      <c r="AF77" s="346">
        <f t="shared" si="21"/>
        <v>0</v>
      </c>
      <c r="AG77" s="347">
        <f t="shared" ca="1" si="22"/>
        <v>0</v>
      </c>
      <c r="AI77" s="369">
        <f t="shared" ca="1" si="23"/>
        <v>0</v>
      </c>
      <c r="AJ77" s="369">
        <f t="shared" ca="1" si="23"/>
        <v>0</v>
      </c>
      <c r="AK77" s="369">
        <f t="shared" ca="1" si="23"/>
        <v>0</v>
      </c>
      <c r="AL77" s="369">
        <f t="shared" ca="1" si="23"/>
        <v>0</v>
      </c>
      <c r="AM77" s="369">
        <f t="shared" ca="1" si="23"/>
        <v>0</v>
      </c>
      <c r="AN77" s="369">
        <f t="shared" ca="1" si="23"/>
        <v>0</v>
      </c>
      <c r="AP77" s="369">
        <f t="shared" ca="1" si="24"/>
        <v>0</v>
      </c>
      <c r="AQ77" s="369">
        <f t="shared" ca="1" si="24"/>
        <v>0</v>
      </c>
      <c r="AR77" s="369">
        <f t="shared" ca="1" si="24"/>
        <v>0</v>
      </c>
      <c r="AS77" s="369">
        <f t="shared" ca="1" si="24"/>
        <v>0</v>
      </c>
      <c r="AT77" s="369">
        <f t="shared" ca="1" si="24"/>
        <v>0</v>
      </c>
      <c r="AU77" s="369">
        <f t="shared" ca="1" si="24"/>
        <v>0</v>
      </c>
    </row>
    <row r="78" spans="3:47" outlineLevel="1" x14ac:dyDescent="0.2">
      <c r="C78" s="209">
        <v>16</v>
      </c>
      <c r="D78" s="79"/>
      <c r="E78" s="603"/>
      <c r="F78" s="603"/>
      <c r="G78" s="45" t="str">
        <f t="shared" si="26"/>
        <v/>
      </c>
      <c r="H78" s="45" t="str">
        <f t="shared" si="27"/>
        <v/>
      </c>
      <c r="I78" s="133"/>
      <c r="J78" s="45" t="str">
        <f t="shared" si="28"/>
        <v/>
      </c>
      <c r="K78" s="70"/>
      <c r="L78" s="70"/>
      <c r="M78" s="51"/>
      <c r="N78" s="51"/>
      <c r="O78" s="361"/>
      <c r="P78" s="227"/>
      <c r="Q78" s="210"/>
      <c r="R78" s="611"/>
      <c r="S78" s="611"/>
      <c r="T78" s="611"/>
      <c r="U78" s="611"/>
      <c r="V78" s="611"/>
      <c r="AB78" s="65" t="str">
        <f t="shared" si="18"/>
        <v>** NOT USED **</v>
      </c>
      <c r="AC78" s="209">
        <f t="shared" si="25"/>
        <v>1</v>
      </c>
      <c r="AD78" s="209">
        <f t="shared" si="19"/>
        <v>0</v>
      </c>
      <c r="AE78" s="346">
        <f t="shared" si="20"/>
        <v>0</v>
      </c>
      <c r="AF78" s="346">
        <f t="shared" si="21"/>
        <v>0</v>
      </c>
      <c r="AG78" s="347">
        <f t="shared" ca="1" si="22"/>
        <v>0</v>
      </c>
      <c r="AI78" s="369">
        <f t="shared" ca="1" si="23"/>
        <v>0</v>
      </c>
      <c r="AJ78" s="369">
        <f t="shared" ca="1" si="23"/>
        <v>0</v>
      </c>
      <c r="AK78" s="369">
        <f t="shared" ca="1" si="23"/>
        <v>0</v>
      </c>
      <c r="AL78" s="369">
        <f t="shared" ca="1" si="23"/>
        <v>0</v>
      </c>
      <c r="AM78" s="369">
        <f t="shared" ca="1" si="23"/>
        <v>0</v>
      </c>
      <c r="AN78" s="369">
        <f t="shared" ca="1" si="23"/>
        <v>0</v>
      </c>
      <c r="AP78" s="369">
        <f t="shared" ca="1" si="24"/>
        <v>0</v>
      </c>
      <c r="AQ78" s="369">
        <f t="shared" ca="1" si="24"/>
        <v>0</v>
      </c>
      <c r="AR78" s="369">
        <f t="shared" ca="1" si="24"/>
        <v>0</v>
      </c>
      <c r="AS78" s="369">
        <f t="shared" ca="1" si="24"/>
        <v>0</v>
      </c>
      <c r="AT78" s="369">
        <f t="shared" ca="1" si="24"/>
        <v>0</v>
      </c>
      <c r="AU78" s="369">
        <f t="shared" ca="1" si="24"/>
        <v>0</v>
      </c>
    </row>
    <row r="79" spans="3:47" outlineLevel="1" x14ac:dyDescent="0.2">
      <c r="C79" s="209">
        <v>17</v>
      </c>
      <c r="D79" s="79"/>
      <c r="E79" s="603"/>
      <c r="F79" s="603"/>
      <c r="G79" s="45" t="str">
        <f t="shared" si="26"/>
        <v/>
      </c>
      <c r="H79" s="45" t="str">
        <f t="shared" si="27"/>
        <v/>
      </c>
      <c r="I79" s="133"/>
      <c r="J79" s="45" t="str">
        <f t="shared" si="28"/>
        <v/>
      </c>
      <c r="K79" s="70"/>
      <c r="L79" s="70"/>
      <c r="M79" s="51"/>
      <c r="N79" s="51"/>
      <c r="O79" s="361"/>
      <c r="P79" s="227"/>
      <c r="Q79" s="210"/>
      <c r="R79" s="611"/>
      <c r="S79" s="611"/>
      <c r="T79" s="611"/>
      <c r="U79" s="611"/>
      <c r="V79" s="611"/>
      <c r="AB79" s="65" t="str">
        <f t="shared" si="18"/>
        <v>** NOT USED **</v>
      </c>
      <c r="AC79" s="209">
        <f t="shared" si="25"/>
        <v>1</v>
      </c>
      <c r="AD79" s="209">
        <f t="shared" si="19"/>
        <v>0</v>
      </c>
      <c r="AE79" s="346">
        <f t="shared" si="20"/>
        <v>0</v>
      </c>
      <c r="AF79" s="346">
        <f t="shared" si="21"/>
        <v>0</v>
      </c>
      <c r="AG79" s="347">
        <f t="shared" ca="1" si="22"/>
        <v>0</v>
      </c>
      <c r="AI79" s="369">
        <f t="shared" ref="AI79:AN82" ca="1" si="29">IF($AG79&lt;&gt;0,INDEX(PxTxPhase1Adj,$AG79,AI$60),0)</f>
        <v>0</v>
      </c>
      <c r="AJ79" s="369">
        <f t="shared" ca="1" si="29"/>
        <v>0</v>
      </c>
      <c r="AK79" s="369">
        <f t="shared" ca="1" si="29"/>
        <v>0</v>
      </c>
      <c r="AL79" s="369">
        <f t="shared" ca="1" si="29"/>
        <v>0</v>
      </c>
      <c r="AM79" s="369">
        <f t="shared" ca="1" si="29"/>
        <v>0</v>
      </c>
      <c r="AN79" s="369">
        <f t="shared" ca="1" si="29"/>
        <v>0</v>
      </c>
      <c r="AP79" s="369">
        <f t="shared" ref="AP79:AU82" ca="1" si="30">IF($AG79&lt;&gt;0,INDEX(PxTxPhase2Adj,$AG79,AP$60),0)</f>
        <v>0</v>
      </c>
      <c r="AQ79" s="369">
        <f t="shared" ca="1" si="30"/>
        <v>0</v>
      </c>
      <c r="AR79" s="369">
        <f t="shared" ca="1" si="30"/>
        <v>0</v>
      </c>
      <c r="AS79" s="369">
        <f t="shared" ca="1" si="30"/>
        <v>0</v>
      </c>
      <c r="AT79" s="369">
        <f t="shared" ca="1" si="30"/>
        <v>0</v>
      </c>
      <c r="AU79" s="369">
        <f t="shared" ca="1" si="30"/>
        <v>0</v>
      </c>
    </row>
    <row r="80" spans="3:47" outlineLevel="1" x14ac:dyDescent="0.2">
      <c r="C80" s="209">
        <v>18</v>
      </c>
      <c r="D80" s="79"/>
      <c r="E80" s="603"/>
      <c r="F80" s="603"/>
      <c r="G80" s="45" t="str">
        <f t="shared" si="26"/>
        <v/>
      </c>
      <c r="H80" s="45" t="str">
        <f t="shared" si="27"/>
        <v/>
      </c>
      <c r="I80" s="133"/>
      <c r="J80" s="45" t="str">
        <f t="shared" si="28"/>
        <v/>
      </c>
      <c r="K80" s="70"/>
      <c r="L80" s="70"/>
      <c r="M80" s="51"/>
      <c r="N80" s="51"/>
      <c r="O80" s="361"/>
      <c r="P80" s="227"/>
      <c r="Q80" s="210"/>
      <c r="R80" s="611"/>
      <c r="S80" s="611"/>
      <c r="T80" s="611"/>
      <c r="U80" s="611"/>
      <c r="V80" s="611"/>
      <c r="AB80" s="65" t="str">
        <f t="shared" si="18"/>
        <v>** NOT USED **</v>
      </c>
      <c r="AC80" s="209">
        <f t="shared" si="25"/>
        <v>1</v>
      </c>
      <c r="AD80" s="209">
        <f t="shared" si="19"/>
        <v>0</v>
      </c>
      <c r="AE80" s="346">
        <f t="shared" si="20"/>
        <v>0</v>
      </c>
      <c r="AF80" s="346">
        <f t="shared" si="21"/>
        <v>0</v>
      </c>
      <c r="AG80" s="347">
        <f t="shared" ca="1" si="22"/>
        <v>0</v>
      </c>
      <c r="AI80" s="369">
        <f t="shared" ca="1" si="29"/>
        <v>0</v>
      </c>
      <c r="AJ80" s="369">
        <f t="shared" ca="1" si="29"/>
        <v>0</v>
      </c>
      <c r="AK80" s="369">
        <f t="shared" ca="1" si="29"/>
        <v>0</v>
      </c>
      <c r="AL80" s="369">
        <f t="shared" ca="1" si="29"/>
        <v>0</v>
      </c>
      <c r="AM80" s="369">
        <f t="shared" ca="1" si="29"/>
        <v>0</v>
      </c>
      <c r="AN80" s="369">
        <f t="shared" ca="1" si="29"/>
        <v>0</v>
      </c>
      <c r="AP80" s="369">
        <f t="shared" ca="1" si="30"/>
        <v>0</v>
      </c>
      <c r="AQ80" s="369">
        <f t="shared" ca="1" si="30"/>
        <v>0</v>
      </c>
      <c r="AR80" s="369">
        <f t="shared" ca="1" si="30"/>
        <v>0</v>
      </c>
      <c r="AS80" s="369">
        <f t="shared" ca="1" si="30"/>
        <v>0</v>
      </c>
      <c r="AT80" s="369">
        <f t="shared" ca="1" si="30"/>
        <v>0</v>
      </c>
      <c r="AU80" s="369">
        <f t="shared" ca="1" si="30"/>
        <v>0</v>
      </c>
    </row>
    <row r="81" spans="3:54" outlineLevel="1" x14ac:dyDescent="0.2">
      <c r="C81" s="209">
        <v>19</v>
      </c>
      <c r="D81" s="79"/>
      <c r="E81" s="603"/>
      <c r="F81" s="603"/>
      <c r="G81" s="45" t="str">
        <f t="shared" si="26"/>
        <v/>
      </c>
      <c r="H81" s="45" t="str">
        <f t="shared" si="27"/>
        <v/>
      </c>
      <c r="I81" s="133"/>
      <c r="J81" s="45" t="str">
        <f t="shared" si="28"/>
        <v/>
      </c>
      <c r="K81" s="70"/>
      <c r="L81" s="70"/>
      <c r="M81" s="51"/>
      <c r="N81" s="51"/>
      <c r="O81" s="361"/>
      <c r="P81" s="227"/>
      <c r="Q81" s="210"/>
      <c r="R81" s="611"/>
      <c r="S81" s="611"/>
      <c r="T81" s="611"/>
      <c r="U81" s="611"/>
      <c r="V81" s="611"/>
      <c r="AB81" s="65" t="str">
        <f t="shared" si="18"/>
        <v>** NOT USED **</v>
      </c>
      <c r="AC81" s="209">
        <f t="shared" si="25"/>
        <v>1</v>
      </c>
      <c r="AD81" s="209">
        <f t="shared" si="19"/>
        <v>0</v>
      </c>
      <c r="AE81" s="346">
        <f t="shared" si="20"/>
        <v>0</v>
      </c>
      <c r="AF81" s="346">
        <f t="shared" si="21"/>
        <v>0</v>
      </c>
      <c r="AG81" s="347">
        <f t="shared" ca="1" si="22"/>
        <v>0</v>
      </c>
      <c r="AI81" s="369">
        <f t="shared" ca="1" si="29"/>
        <v>0</v>
      </c>
      <c r="AJ81" s="369">
        <f t="shared" ca="1" si="29"/>
        <v>0</v>
      </c>
      <c r="AK81" s="369">
        <f t="shared" ca="1" si="29"/>
        <v>0</v>
      </c>
      <c r="AL81" s="369">
        <f t="shared" ca="1" si="29"/>
        <v>0</v>
      </c>
      <c r="AM81" s="369">
        <f t="shared" ca="1" si="29"/>
        <v>0</v>
      </c>
      <c r="AN81" s="369">
        <f t="shared" ca="1" si="29"/>
        <v>0</v>
      </c>
      <c r="AP81" s="369">
        <f t="shared" ca="1" si="30"/>
        <v>0</v>
      </c>
      <c r="AQ81" s="369">
        <f t="shared" ca="1" si="30"/>
        <v>0</v>
      </c>
      <c r="AR81" s="369">
        <f t="shared" ca="1" si="30"/>
        <v>0</v>
      </c>
      <c r="AS81" s="369">
        <f t="shared" ca="1" si="30"/>
        <v>0</v>
      </c>
      <c r="AT81" s="369">
        <f t="shared" ca="1" si="30"/>
        <v>0</v>
      </c>
      <c r="AU81" s="369">
        <f t="shared" ca="1" si="30"/>
        <v>0</v>
      </c>
    </row>
    <row r="82" spans="3:54" outlineLevel="1" x14ac:dyDescent="0.2">
      <c r="C82" s="209">
        <v>20</v>
      </c>
      <c r="D82" s="79"/>
      <c r="E82" s="603"/>
      <c r="F82" s="603"/>
      <c r="G82" s="45" t="str">
        <f t="shared" si="26"/>
        <v/>
      </c>
      <c r="H82" s="45" t="str">
        <f t="shared" si="27"/>
        <v/>
      </c>
      <c r="I82" s="133"/>
      <c r="J82" s="45" t="str">
        <f t="shared" si="28"/>
        <v/>
      </c>
      <c r="K82" s="70"/>
      <c r="L82" s="70"/>
      <c r="M82" s="51"/>
      <c r="N82" s="51"/>
      <c r="O82" s="361"/>
      <c r="P82" s="227"/>
      <c r="Q82" s="210"/>
      <c r="R82" s="611"/>
      <c r="S82" s="611"/>
      <c r="T82" s="611"/>
      <c r="U82" s="611"/>
      <c r="V82" s="611"/>
      <c r="AB82" s="65" t="str">
        <f t="shared" si="18"/>
        <v>** NOT USED **</v>
      </c>
      <c r="AC82" s="209">
        <f t="shared" si="25"/>
        <v>1</v>
      </c>
      <c r="AD82" s="209">
        <f t="shared" si="19"/>
        <v>0</v>
      </c>
      <c r="AE82" s="346">
        <f t="shared" si="20"/>
        <v>0</v>
      </c>
      <c r="AF82" s="346">
        <f t="shared" si="21"/>
        <v>0</v>
      </c>
      <c r="AG82" s="347">
        <f t="shared" ca="1" si="22"/>
        <v>0</v>
      </c>
      <c r="AI82" s="369">
        <f t="shared" ca="1" si="29"/>
        <v>0</v>
      </c>
      <c r="AJ82" s="369">
        <f t="shared" ca="1" si="29"/>
        <v>0</v>
      </c>
      <c r="AK82" s="369">
        <f t="shared" ca="1" si="29"/>
        <v>0</v>
      </c>
      <c r="AL82" s="369">
        <f t="shared" ca="1" si="29"/>
        <v>0</v>
      </c>
      <c r="AM82" s="369">
        <f t="shared" ca="1" si="29"/>
        <v>0</v>
      </c>
      <c r="AN82" s="369">
        <f t="shared" ca="1" si="29"/>
        <v>0</v>
      </c>
      <c r="AP82" s="369">
        <f t="shared" ca="1" si="30"/>
        <v>0</v>
      </c>
      <c r="AQ82" s="369">
        <f t="shared" ca="1" si="30"/>
        <v>0</v>
      </c>
      <c r="AR82" s="369">
        <f t="shared" ca="1" si="30"/>
        <v>0</v>
      </c>
      <c r="AS82" s="369">
        <f t="shared" ca="1" si="30"/>
        <v>0</v>
      </c>
      <c r="AT82" s="369">
        <f t="shared" ca="1" si="30"/>
        <v>0</v>
      </c>
      <c r="AU82" s="369">
        <f t="shared" ca="1" si="30"/>
        <v>0</v>
      </c>
    </row>
    <row r="83" spans="3:54" outlineLevel="1" x14ac:dyDescent="0.2"/>
    <row r="84" spans="3:54" outlineLevel="1" x14ac:dyDescent="0.2"/>
    <row r="85" spans="3:54" ht="15.75" outlineLevel="1" x14ac:dyDescent="0.2">
      <c r="D85" s="72" t="s">
        <v>863</v>
      </c>
      <c r="E85" s="356"/>
      <c r="F85" s="105"/>
      <c r="G85" s="105"/>
      <c r="H85" s="105"/>
      <c r="I85" s="105"/>
      <c r="J85" s="105"/>
      <c r="K85" s="105"/>
      <c r="L85" s="105"/>
      <c r="M85" s="105"/>
      <c r="N85" s="105"/>
      <c r="O85" s="105"/>
      <c r="P85" s="105"/>
      <c r="Q85" s="105"/>
      <c r="R85" s="105"/>
      <c r="S85" s="105"/>
      <c r="T85" s="105"/>
      <c r="U85" s="105"/>
      <c r="V85" s="105"/>
    </row>
    <row r="86" spans="3:54" ht="13.5" outlineLevel="1" thickBot="1" x14ac:dyDescent="0.25"/>
    <row r="87" spans="3:54" ht="25.5" outlineLevel="1" x14ac:dyDescent="0.2">
      <c r="D87" s="656" t="s">
        <v>301</v>
      </c>
      <c r="E87" s="656"/>
      <c r="F87" s="656"/>
      <c r="G87" s="656" t="s">
        <v>839</v>
      </c>
      <c r="H87" s="657"/>
      <c r="I87" s="657"/>
      <c r="J87" s="61" t="s">
        <v>304</v>
      </c>
      <c r="X87" s="501"/>
      <c r="Y87" s="204" t="s">
        <v>238</v>
      </c>
      <c r="Z87" s="204" t="s">
        <v>802</v>
      </c>
      <c r="AA87" s="204" t="str">
        <f>"Fee @ " &amp; TEXT(MBSRebateRate,"00%")</f>
        <v>Fee @ 80%</v>
      </c>
      <c r="AH87" s="658" t="s">
        <v>216</v>
      </c>
      <c r="AI87" s="659"/>
      <c r="AJ87" s="659"/>
      <c r="AK87" s="659"/>
      <c r="AL87" s="659"/>
      <c r="AM87" s="659"/>
      <c r="AN87" s="659"/>
      <c r="AO87" s="659"/>
      <c r="AP87" s="659"/>
      <c r="AQ87" s="659"/>
      <c r="AR87" s="659"/>
      <c r="AS87" s="659"/>
      <c r="AT87" s="659"/>
      <c r="AU87" s="659"/>
      <c r="AV87" s="659"/>
      <c r="AW87" s="659"/>
      <c r="AX87" s="659"/>
      <c r="AY87" s="659"/>
      <c r="AZ87" s="659"/>
      <c r="BA87" s="659"/>
      <c r="BB87" s="660"/>
    </row>
    <row r="88" spans="3:54" ht="13.5" outlineLevel="1" thickBot="1" x14ac:dyDescent="0.25">
      <c r="C88" s="209">
        <v>1</v>
      </c>
      <c r="D88" s="647" t="str">
        <f t="shared" ref="D88:D97" si="31">INDEX(MBSIncNames,C88)</f>
        <v>** NOT USED **</v>
      </c>
      <c r="E88" s="647"/>
      <c r="F88" s="647"/>
      <c r="G88" s="610"/>
      <c r="H88" s="611"/>
      <c r="I88" s="611"/>
      <c r="J88" s="62" t="str">
        <f t="shared" ref="J88:J98" si="32">IF(AD63=2,IF(AND(D88&lt;&gt;MsgNotUsed,G88=""),"All scripts","Specific medicine"),IF(AD63=1,"All patients",""))</f>
        <v/>
      </c>
      <c r="X88" s="502"/>
      <c r="Y88" s="209">
        <f t="shared" ref="Y88:Y106" si="33">IF(OR(D88=MsgNotUsed,AD63=1),0,1)</f>
        <v>0</v>
      </c>
      <c r="Z88" s="209" t="str">
        <f t="shared" ref="Z88:Z107" si="34">IF(G88&lt;&gt;"",MATCH(G88,NamesNewTx,0),IF(J88="All scripts",21,""))</f>
        <v/>
      </c>
      <c r="AA88" s="515">
        <f t="shared" ref="AA88:AA107" si="35">O63*MBSRebateRate</f>
        <v>0</v>
      </c>
      <c r="AH88" s="661" t="str">
        <f>TxPhase1PxTotal</f>
        <v/>
      </c>
      <c r="AI88" s="662"/>
      <c r="AJ88" s="662"/>
      <c r="AK88" s="662"/>
      <c r="AL88" s="662"/>
      <c r="AM88" s="662"/>
      <c r="AN88" s="663"/>
      <c r="AO88" s="664" t="str">
        <f>TxPhase2PxTotal</f>
        <v/>
      </c>
      <c r="AP88" s="662"/>
      <c r="AQ88" s="662"/>
      <c r="AR88" s="662"/>
      <c r="AS88" s="662"/>
      <c r="AT88" s="662"/>
      <c r="AU88" s="663"/>
      <c r="AV88" s="664" t="s">
        <v>417</v>
      </c>
      <c r="AW88" s="662"/>
      <c r="AX88" s="662"/>
      <c r="AY88" s="662"/>
      <c r="AZ88" s="662"/>
      <c r="BA88" s="662"/>
      <c r="BB88" s="667"/>
    </row>
    <row r="89" spans="3:54" ht="13.5" outlineLevel="1" thickBot="1" x14ac:dyDescent="0.25">
      <c r="C89" s="209">
        <v>2</v>
      </c>
      <c r="D89" s="647" t="str">
        <f t="shared" si="31"/>
        <v>** NOT USED **</v>
      </c>
      <c r="E89" s="647"/>
      <c r="F89" s="647"/>
      <c r="G89" s="610"/>
      <c r="H89" s="611"/>
      <c r="I89" s="611"/>
      <c r="J89" s="62" t="str">
        <f t="shared" si="32"/>
        <v/>
      </c>
      <c r="X89" s="502"/>
      <c r="Y89" s="209">
        <f t="shared" si="33"/>
        <v>0</v>
      </c>
      <c r="Z89" s="209" t="str">
        <f t="shared" si="34"/>
        <v/>
      </c>
      <c r="AA89" s="515">
        <f t="shared" si="35"/>
        <v>0</v>
      </c>
      <c r="AH89" s="303"/>
      <c r="AI89" s="524">
        <f>FirstYear</f>
        <v>2026</v>
      </c>
      <c r="AJ89" s="524">
        <f>AI89+1</f>
        <v>2027</v>
      </c>
      <c r="AK89" s="524">
        <f>AJ89+1</f>
        <v>2028</v>
      </c>
      <c r="AL89" s="524">
        <f>AK89+1</f>
        <v>2029</v>
      </c>
      <c r="AM89" s="524">
        <f>AL89+1</f>
        <v>2030</v>
      </c>
      <c r="AN89" s="525">
        <f>AM89+1</f>
        <v>2031</v>
      </c>
      <c r="AO89" s="303"/>
      <c r="AP89" s="304">
        <f>FirstYear</f>
        <v>2026</v>
      </c>
      <c r="AQ89" s="304">
        <f>AP89+1</f>
        <v>2027</v>
      </c>
      <c r="AR89" s="304">
        <f>AQ89+1</f>
        <v>2028</v>
      </c>
      <c r="AS89" s="304">
        <f>AR89+1</f>
        <v>2029</v>
      </c>
      <c r="AT89" s="304">
        <f>AS89+1</f>
        <v>2030</v>
      </c>
      <c r="AU89" s="305">
        <f>AT89+1</f>
        <v>2031</v>
      </c>
      <c r="AV89" s="303"/>
      <c r="AW89" s="304">
        <f>FirstYear</f>
        <v>2026</v>
      </c>
      <c r="AX89" s="304">
        <f>AW89+1</f>
        <v>2027</v>
      </c>
      <c r="AY89" s="304">
        <f>AX89+1</f>
        <v>2028</v>
      </c>
      <c r="AZ89" s="304">
        <f>AY89+1</f>
        <v>2029</v>
      </c>
      <c r="BA89" s="304">
        <f>AZ89+1</f>
        <v>2030</v>
      </c>
      <c r="BB89" s="305">
        <f>BA89+1</f>
        <v>2031</v>
      </c>
    </row>
    <row r="90" spans="3:54" outlineLevel="1" x14ac:dyDescent="0.2">
      <c r="C90" s="209">
        <v>3</v>
      </c>
      <c r="D90" s="647" t="str">
        <f t="shared" si="31"/>
        <v>** NOT USED **</v>
      </c>
      <c r="E90" s="647"/>
      <c r="F90" s="647"/>
      <c r="G90" s="610"/>
      <c r="H90" s="611"/>
      <c r="I90" s="611"/>
      <c r="J90" s="62" t="str">
        <f t="shared" si="32"/>
        <v/>
      </c>
      <c r="X90" s="502"/>
      <c r="Y90" s="209">
        <f t="shared" si="33"/>
        <v>0</v>
      </c>
      <c r="Z90" s="209" t="str">
        <f t="shared" si="34"/>
        <v/>
      </c>
      <c r="AA90" s="515">
        <f t="shared" si="35"/>
        <v>0</v>
      </c>
      <c r="AH90" s="522">
        <v>1</v>
      </c>
      <c r="AI90" s="526">
        <f t="shared" ref="AI90:AN90" si="36">IF(OR(ScriptSourceCode=1,ScriptSourceCode=3),AI63-AI114,0)</f>
        <v>0</v>
      </c>
      <c r="AJ90" s="527">
        <f t="shared" si="36"/>
        <v>0</v>
      </c>
      <c r="AK90" s="527">
        <f t="shared" si="36"/>
        <v>0</v>
      </c>
      <c r="AL90" s="527">
        <f t="shared" si="36"/>
        <v>0</v>
      </c>
      <c r="AM90" s="527">
        <f t="shared" si="36"/>
        <v>0</v>
      </c>
      <c r="AN90" s="528">
        <f t="shared" si="36"/>
        <v>0</v>
      </c>
      <c r="AO90" s="302"/>
      <c r="AP90" s="369">
        <f t="shared" ref="AP90:AU90" si="37">IF(OR(ScriptSourceCode=1,ScriptSourceCode=3),AP63-AP114,0)</f>
        <v>0</v>
      </c>
      <c r="AQ90" s="369">
        <f t="shared" si="37"/>
        <v>0</v>
      </c>
      <c r="AR90" s="369">
        <f t="shared" si="37"/>
        <v>0</v>
      </c>
      <c r="AS90" s="369">
        <f t="shared" si="37"/>
        <v>0</v>
      </c>
      <c r="AT90" s="369">
        <f t="shared" si="37"/>
        <v>0</v>
      </c>
      <c r="AU90" s="370">
        <f t="shared" si="37"/>
        <v>0</v>
      </c>
      <c r="AV90" s="302"/>
      <c r="AW90" s="369">
        <f t="shared" ref="AW90:AW95" si="38">AI90+AP90</f>
        <v>0</v>
      </c>
      <c r="AX90" s="369">
        <f t="shared" ref="AX90:AX95" si="39">AJ90+AQ90</f>
        <v>0</v>
      </c>
      <c r="AY90" s="369">
        <f t="shared" ref="AY90:AY95" si="40">AK90+AR90</f>
        <v>0</v>
      </c>
      <c r="AZ90" s="369">
        <f t="shared" ref="AZ90:AZ95" si="41">AL90+AS90</f>
        <v>0</v>
      </c>
      <c r="BA90" s="369">
        <f t="shared" ref="BA90:BA95" si="42">AM90+AT90</f>
        <v>0</v>
      </c>
      <c r="BB90" s="370">
        <f t="shared" ref="BB90:BB95" si="43">AN90+AU90</f>
        <v>0</v>
      </c>
    </row>
    <row r="91" spans="3:54" outlineLevel="1" x14ac:dyDescent="0.2">
      <c r="C91" s="209">
        <v>4</v>
      </c>
      <c r="D91" s="647" t="str">
        <f t="shared" si="31"/>
        <v>** NOT USED **</v>
      </c>
      <c r="E91" s="647"/>
      <c r="F91" s="647"/>
      <c r="G91" s="610"/>
      <c r="H91" s="611"/>
      <c r="I91" s="611"/>
      <c r="J91" s="62" t="str">
        <f t="shared" si="32"/>
        <v/>
      </c>
      <c r="X91" s="502"/>
      <c r="Y91" s="209">
        <f t="shared" si="33"/>
        <v>0</v>
      </c>
      <c r="Z91" s="209" t="str">
        <f t="shared" si="34"/>
        <v/>
      </c>
      <c r="AA91" s="515">
        <f t="shared" si="35"/>
        <v>0</v>
      </c>
      <c r="AH91" s="522">
        <v>2</v>
      </c>
      <c r="AI91" s="371">
        <f t="shared" ref="AI91:AN91" si="44">IF(OR(ScriptSourceCode=1,ScriptSourceCode=3),AI64-AI115,0)</f>
        <v>0</v>
      </c>
      <c r="AJ91" s="369">
        <f t="shared" si="44"/>
        <v>0</v>
      </c>
      <c r="AK91" s="369">
        <f t="shared" si="44"/>
        <v>0</v>
      </c>
      <c r="AL91" s="369">
        <f t="shared" si="44"/>
        <v>0</v>
      </c>
      <c r="AM91" s="369">
        <f t="shared" si="44"/>
        <v>0</v>
      </c>
      <c r="AN91" s="370">
        <f t="shared" si="44"/>
        <v>0</v>
      </c>
      <c r="AO91" s="371"/>
      <c r="AP91" s="369">
        <f t="shared" ref="AP91:AU91" si="45">IF(OR(ScriptSourceCode=1,ScriptSourceCode=3),AP64-AP115,0)</f>
        <v>0</v>
      </c>
      <c r="AQ91" s="369">
        <f t="shared" si="45"/>
        <v>0</v>
      </c>
      <c r="AR91" s="369">
        <f t="shared" si="45"/>
        <v>0</v>
      </c>
      <c r="AS91" s="369">
        <f t="shared" si="45"/>
        <v>0</v>
      </c>
      <c r="AT91" s="369">
        <f t="shared" si="45"/>
        <v>0</v>
      </c>
      <c r="AU91" s="370">
        <f t="shared" si="45"/>
        <v>0</v>
      </c>
      <c r="AV91" s="371"/>
      <c r="AW91" s="369">
        <f t="shared" si="38"/>
        <v>0</v>
      </c>
      <c r="AX91" s="369">
        <f t="shared" si="39"/>
        <v>0</v>
      </c>
      <c r="AY91" s="369">
        <f t="shared" si="40"/>
        <v>0</v>
      </c>
      <c r="AZ91" s="369">
        <f t="shared" si="41"/>
        <v>0</v>
      </c>
      <c r="BA91" s="369">
        <f t="shared" si="42"/>
        <v>0</v>
      </c>
      <c r="BB91" s="370">
        <f t="shared" si="43"/>
        <v>0</v>
      </c>
    </row>
    <row r="92" spans="3:54" outlineLevel="1" x14ac:dyDescent="0.2">
      <c r="C92" s="209">
        <v>5</v>
      </c>
      <c r="D92" s="647" t="str">
        <f t="shared" si="31"/>
        <v>** NOT USED **</v>
      </c>
      <c r="E92" s="647"/>
      <c r="F92" s="647"/>
      <c r="G92" s="610"/>
      <c r="H92" s="611"/>
      <c r="I92" s="611"/>
      <c r="J92" s="62" t="str">
        <f t="shared" si="32"/>
        <v/>
      </c>
      <c r="X92" s="502"/>
      <c r="Y92" s="209">
        <f t="shared" si="33"/>
        <v>0</v>
      </c>
      <c r="Z92" s="209" t="str">
        <f t="shared" si="34"/>
        <v/>
      </c>
      <c r="AA92" s="515">
        <f t="shared" si="35"/>
        <v>0</v>
      </c>
      <c r="AH92" s="522">
        <v>3</v>
      </c>
      <c r="AI92" s="371">
        <f t="shared" ref="AI92:AN92" si="46">IF(OR(ScriptSourceCode=1,ScriptSourceCode=3),AI65-AI116,0)</f>
        <v>0</v>
      </c>
      <c r="AJ92" s="369">
        <f t="shared" si="46"/>
        <v>0</v>
      </c>
      <c r="AK92" s="369">
        <f t="shared" si="46"/>
        <v>0</v>
      </c>
      <c r="AL92" s="369">
        <f t="shared" si="46"/>
        <v>0</v>
      </c>
      <c r="AM92" s="369">
        <f t="shared" si="46"/>
        <v>0</v>
      </c>
      <c r="AN92" s="370">
        <f t="shared" si="46"/>
        <v>0</v>
      </c>
      <c r="AO92" s="371"/>
      <c r="AP92" s="369">
        <f t="shared" ref="AP92:AU92" si="47">IF(OR(ScriptSourceCode=1,ScriptSourceCode=3),AP65-AP116,0)</f>
        <v>0</v>
      </c>
      <c r="AQ92" s="369">
        <f t="shared" si="47"/>
        <v>0</v>
      </c>
      <c r="AR92" s="369">
        <f t="shared" si="47"/>
        <v>0</v>
      </c>
      <c r="AS92" s="369">
        <f t="shared" si="47"/>
        <v>0</v>
      </c>
      <c r="AT92" s="369">
        <f t="shared" si="47"/>
        <v>0</v>
      </c>
      <c r="AU92" s="370">
        <f t="shared" si="47"/>
        <v>0</v>
      </c>
      <c r="AV92" s="371"/>
      <c r="AW92" s="369">
        <f t="shared" si="38"/>
        <v>0</v>
      </c>
      <c r="AX92" s="369">
        <f t="shared" si="39"/>
        <v>0</v>
      </c>
      <c r="AY92" s="369">
        <f t="shared" si="40"/>
        <v>0</v>
      </c>
      <c r="AZ92" s="369">
        <f t="shared" si="41"/>
        <v>0</v>
      </c>
      <c r="BA92" s="369">
        <f t="shared" si="42"/>
        <v>0</v>
      </c>
      <c r="BB92" s="370">
        <f t="shared" si="43"/>
        <v>0</v>
      </c>
    </row>
    <row r="93" spans="3:54" outlineLevel="1" x14ac:dyDescent="0.2">
      <c r="C93" s="209">
        <v>6</v>
      </c>
      <c r="D93" s="647" t="str">
        <f t="shared" si="31"/>
        <v>** NOT USED **</v>
      </c>
      <c r="E93" s="647"/>
      <c r="F93" s="647"/>
      <c r="G93" s="610"/>
      <c r="H93" s="611"/>
      <c r="I93" s="611"/>
      <c r="J93" s="62" t="str">
        <f t="shared" si="32"/>
        <v/>
      </c>
      <c r="X93" s="502"/>
      <c r="Y93" s="209">
        <f t="shared" si="33"/>
        <v>0</v>
      </c>
      <c r="Z93" s="209" t="str">
        <f t="shared" si="34"/>
        <v/>
      </c>
      <c r="AA93" s="515">
        <f t="shared" si="35"/>
        <v>0</v>
      </c>
      <c r="AH93" s="522">
        <v>4</v>
      </c>
      <c r="AI93" s="371">
        <f t="shared" ref="AI93:AN93" si="48">IF(OR(ScriptSourceCode=1,ScriptSourceCode=3),AI66-AI117,0)</f>
        <v>0</v>
      </c>
      <c r="AJ93" s="369">
        <f t="shared" si="48"/>
        <v>0</v>
      </c>
      <c r="AK93" s="369">
        <f t="shared" si="48"/>
        <v>0</v>
      </c>
      <c r="AL93" s="369">
        <f t="shared" si="48"/>
        <v>0</v>
      </c>
      <c r="AM93" s="369">
        <f t="shared" si="48"/>
        <v>0</v>
      </c>
      <c r="AN93" s="370">
        <f t="shared" si="48"/>
        <v>0</v>
      </c>
      <c r="AO93" s="371"/>
      <c r="AP93" s="369">
        <f t="shared" ref="AP93:AU93" si="49">IF(OR(ScriptSourceCode=1,ScriptSourceCode=3),AP66-AP117,0)</f>
        <v>0</v>
      </c>
      <c r="AQ93" s="369">
        <f t="shared" si="49"/>
        <v>0</v>
      </c>
      <c r="AR93" s="369">
        <f t="shared" si="49"/>
        <v>0</v>
      </c>
      <c r="AS93" s="369">
        <f t="shared" si="49"/>
        <v>0</v>
      </c>
      <c r="AT93" s="369">
        <f t="shared" si="49"/>
        <v>0</v>
      </c>
      <c r="AU93" s="370">
        <f t="shared" si="49"/>
        <v>0</v>
      </c>
      <c r="AV93" s="371"/>
      <c r="AW93" s="369">
        <f t="shared" si="38"/>
        <v>0</v>
      </c>
      <c r="AX93" s="369">
        <f t="shared" si="39"/>
        <v>0</v>
      </c>
      <c r="AY93" s="369">
        <f t="shared" si="40"/>
        <v>0</v>
      </c>
      <c r="AZ93" s="369">
        <f t="shared" si="41"/>
        <v>0</v>
      </c>
      <c r="BA93" s="369">
        <f t="shared" si="42"/>
        <v>0</v>
      </c>
      <c r="BB93" s="370">
        <f t="shared" si="43"/>
        <v>0</v>
      </c>
    </row>
    <row r="94" spans="3:54" outlineLevel="1" x14ac:dyDescent="0.2">
      <c r="C94" s="209">
        <v>7</v>
      </c>
      <c r="D94" s="647" t="str">
        <f t="shared" si="31"/>
        <v>** NOT USED **</v>
      </c>
      <c r="E94" s="647"/>
      <c r="F94" s="647"/>
      <c r="G94" s="610"/>
      <c r="H94" s="611"/>
      <c r="I94" s="611"/>
      <c r="J94" s="62" t="str">
        <f t="shared" si="32"/>
        <v/>
      </c>
      <c r="X94" s="502"/>
      <c r="Y94" s="209">
        <f t="shared" si="33"/>
        <v>0</v>
      </c>
      <c r="Z94" s="209" t="str">
        <f t="shared" si="34"/>
        <v/>
      </c>
      <c r="AA94" s="515">
        <f t="shared" si="35"/>
        <v>0</v>
      </c>
      <c r="AH94" s="522">
        <v>5</v>
      </c>
      <c r="AI94" s="371">
        <f t="shared" ref="AI94:AN94" si="50">IF(OR(ScriptSourceCode=1,ScriptSourceCode=3),AI67-AI118,0)</f>
        <v>0</v>
      </c>
      <c r="AJ94" s="369">
        <f t="shared" si="50"/>
        <v>0</v>
      </c>
      <c r="AK94" s="369">
        <f t="shared" si="50"/>
        <v>0</v>
      </c>
      <c r="AL94" s="369">
        <f t="shared" si="50"/>
        <v>0</v>
      </c>
      <c r="AM94" s="369">
        <f t="shared" si="50"/>
        <v>0</v>
      </c>
      <c r="AN94" s="370">
        <f t="shared" si="50"/>
        <v>0</v>
      </c>
      <c r="AO94" s="371"/>
      <c r="AP94" s="369">
        <f t="shared" ref="AP94:AU94" si="51">IF(OR(ScriptSourceCode=1,ScriptSourceCode=3),AP67-AP118,0)</f>
        <v>0</v>
      </c>
      <c r="AQ94" s="369">
        <f t="shared" si="51"/>
        <v>0</v>
      </c>
      <c r="AR94" s="369">
        <f t="shared" si="51"/>
        <v>0</v>
      </c>
      <c r="AS94" s="369">
        <f t="shared" si="51"/>
        <v>0</v>
      </c>
      <c r="AT94" s="369">
        <f t="shared" si="51"/>
        <v>0</v>
      </c>
      <c r="AU94" s="370">
        <f t="shared" si="51"/>
        <v>0</v>
      </c>
      <c r="AV94" s="371"/>
      <c r="AW94" s="369">
        <f t="shared" si="38"/>
        <v>0</v>
      </c>
      <c r="AX94" s="369">
        <f t="shared" si="39"/>
        <v>0</v>
      </c>
      <c r="AY94" s="369">
        <f t="shared" si="40"/>
        <v>0</v>
      </c>
      <c r="AZ94" s="369">
        <f t="shared" si="41"/>
        <v>0</v>
      </c>
      <c r="BA94" s="369">
        <f t="shared" si="42"/>
        <v>0</v>
      </c>
      <c r="BB94" s="370">
        <f t="shared" si="43"/>
        <v>0</v>
      </c>
    </row>
    <row r="95" spans="3:54" outlineLevel="1" x14ac:dyDescent="0.2">
      <c r="C95" s="209">
        <v>8</v>
      </c>
      <c r="D95" s="647" t="str">
        <f t="shared" si="31"/>
        <v>** NOT USED **</v>
      </c>
      <c r="E95" s="647"/>
      <c r="F95" s="647"/>
      <c r="G95" s="610"/>
      <c r="H95" s="611"/>
      <c r="I95" s="611"/>
      <c r="J95" s="62" t="str">
        <f t="shared" si="32"/>
        <v/>
      </c>
      <c r="X95" s="502"/>
      <c r="Y95" s="209">
        <f t="shared" si="33"/>
        <v>0</v>
      </c>
      <c r="Z95" s="209" t="str">
        <f t="shared" si="34"/>
        <v/>
      </c>
      <c r="AA95" s="515">
        <f t="shared" si="35"/>
        <v>0</v>
      </c>
      <c r="AH95" s="522">
        <v>6</v>
      </c>
      <c r="AI95" s="371">
        <f t="shared" ref="AI95:AN95" si="52">IF(OR(ScriptSourceCode=1,ScriptSourceCode=3),AI68-AI119,0)</f>
        <v>0</v>
      </c>
      <c r="AJ95" s="369">
        <f t="shared" si="52"/>
        <v>0</v>
      </c>
      <c r="AK95" s="369">
        <f t="shared" si="52"/>
        <v>0</v>
      </c>
      <c r="AL95" s="369">
        <f t="shared" si="52"/>
        <v>0</v>
      </c>
      <c r="AM95" s="369">
        <f t="shared" si="52"/>
        <v>0</v>
      </c>
      <c r="AN95" s="370">
        <f t="shared" si="52"/>
        <v>0</v>
      </c>
      <c r="AO95" s="371"/>
      <c r="AP95" s="369">
        <f t="shared" ref="AP95:AU95" si="53">IF(OR(ScriptSourceCode=1,ScriptSourceCode=3),AP68-AP119,0)</f>
        <v>0</v>
      </c>
      <c r="AQ95" s="369">
        <f t="shared" si="53"/>
        <v>0</v>
      </c>
      <c r="AR95" s="369">
        <f t="shared" si="53"/>
        <v>0</v>
      </c>
      <c r="AS95" s="369">
        <f t="shared" si="53"/>
        <v>0</v>
      </c>
      <c r="AT95" s="369">
        <f t="shared" si="53"/>
        <v>0</v>
      </c>
      <c r="AU95" s="370">
        <f t="shared" si="53"/>
        <v>0</v>
      </c>
      <c r="AV95" s="371"/>
      <c r="AW95" s="369">
        <f t="shared" si="38"/>
        <v>0</v>
      </c>
      <c r="AX95" s="369">
        <f t="shared" si="39"/>
        <v>0</v>
      </c>
      <c r="AY95" s="369">
        <f t="shared" si="40"/>
        <v>0</v>
      </c>
      <c r="AZ95" s="369">
        <f t="shared" si="41"/>
        <v>0</v>
      </c>
      <c r="BA95" s="369">
        <f t="shared" si="42"/>
        <v>0</v>
      </c>
      <c r="BB95" s="370">
        <f t="shared" si="43"/>
        <v>0</v>
      </c>
    </row>
    <row r="96" spans="3:54" outlineLevel="1" x14ac:dyDescent="0.2">
      <c r="C96" s="209">
        <v>9</v>
      </c>
      <c r="D96" s="647" t="str">
        <f t="shared" si="31"/>
        <v>** NOT USED **</v>
      </c>
      <c r="E96" s="647"/>
      <c r="F96" s="647"/>
      <c r="G96" s="610"/>
      <c r="H96" s="611"/>
      <c r="I96" s="611"/>
      <c r="J96" s="62" t="str">
        <f t="shared" si="32"/>
        <v/>
      </c>
      <c r="X96" s="502"/>
      <c r="Y96" s="209">
        <f t="shared" si="33"/>
        <v>0</v>
      </c>
      <c r="Z96" s="209" t="str">
        <f t="shared" si="34"/>
        <v/>
      </c>
      <c r="AA96" s="515">
        <f t="shared" si="35"/>
        <v>0</v>
      </c>
      <c r="AH96" s="522">
        <v>7</v>
      </c>
      <c r="AI96" s="371">
        <f t="shared" ref="AI96:AN96" si="54">IF(OR(ScriptSourceCode=1,ScriptSourceCode=3),AI69-AI120,0)</f>
        <v>0</v>
      </c>
      <c r="AJ96" s="369">
        <f t="shared" si="54"/>
        <v>0</v>
      </c>
      <c r="AK96" s="369">
        <f t="shared" si="54"/>
        <v>0</v>
      </c>
      <c r="AL96" s="369">
        <f t="shared" si="54"/>
        <v>0</v>
      </c>
      <c r="AM96" s="369">
        <f t="shared" si="54"/>
        <v>0</v>
      </c>
      <c r="AN96" s="370">
        <f t="shared" si="54"/>
        <v>0</v>
      </c>
      <c r="AO96" s="371"/>
      <c r="AP96" s="369">
        <f t="shared" ref="AP96:AU96" si="55">IF(OR(ScriptSourceCode=1,ScriptSourceCode=3),AP69-AP120,0)</f>
        <v>0</v>
      </c>
      <c r="AQ96" s="369">
        <f t="shared" si="55"/>
        <v>0</v>
      </c>
      <c r="AR96" s="369">
        <f t="shared" si="55"/>
        <v>0</v>
      </c>
      <c r="AS96" s="369">
        <f t="shared" si="55"/>
        <v>0</v>
      </c>
      <c r="AT96" s="369">
        <f t="shared" si="55"/>
        <v>0</v>
      </c>
      <c r="AU96" s="370">
        <f t="shared" si="55"/>
        <v>0</v>
      </c>
      <c r="AV96" s="371"/>
      <c r="AW96" s="369">
        <f t="shared" ref="AW96:BB99" si="56">AI96+AP96</f>
        <v>0</v>
      </c>
      <c r="AX96" s="369">
        <f t="shared" si="56"/>
        <v>0</v>
      </c>
      <c r="AY96" s="369">
        <f t="shared" si="56"/>
        <v>0</v>
      </c>
      <c r="AZ96" s="369">
        <f t="shared" si="56"/>
        <v>0</v>
      </c>
      <c r="BA96" s="369">
        <f t="shared" si="56"/>
        <v>0</v>
      </c>
      <c r="BB96" s="370">
        <f t="shared" si="56"/>
        <v>0</v>
      </c>
    </row>
    <row r="97" spans="3:54" outlineLevel="1" x14ac:dyDescent="0.2">
      <c r="C97" s="209">
        <v>10</v>
      </c>
      <c r="D97" s="647" t="str">
        <f t="shared" si="31"/>
        <v>** NOT USED **</v>
      </c>
      <c r="E97" s="647"/>
      <c r="F97" s="647"/>
      <c r="G97" s="610"/>
      <c r="H97" s="611"/>
      <c r="I97" s="611"/>
      <c r="J97" s="62" t="str">
        <f t="shared" si="32"/>
        <v/>
      </c>
      <c r="X97" s="502"/>
      <c r="Y97" s="209">
        <f t="shared" si="33"/>
        <v>0</v>
      </c>
      <c r="Z97" s="209" t="str">
        <f t="shared" si="34"/>
        <v/>
      </c>
      <c r="AA97" s="515">
        <f t="shared" si="35"/>
        <v>0</v>
      </c>
      <c r="AH97" s="522">
        <v>8</v>
      </c>
      <c r="AI97" s="371">
        <f t="shared" ref="AI97:AN97" si="57">IF(OR(ScriptSourceCode=1,ScriptSourceCode=3),AI70-AI121,0)</f>
        <v>0</v>
      </c>
      <c r="AJ97" s="369">
        <f t="shared" si="57"/>
        <v>0</v>
      </c>
      <c r="AK97" s="369">
        <f t="shared" si="57"/>
        <v>0</v>
      </c>
      <c r="AL97" s="369">
        <f t="shared" si="57"/>
        <v>0</v>
      </c>
      <c r="AM97" s="369">
        <f t="shared" si="57"/>
        <v>0</v>
      </c>
      <c r="AN97" s="370">
        <f t="shared" si="57"/>
        <v>0</v>
      </c>
      <c r="AO97" s="371"/>
      <c r="AP97" s="369">
        <f t="shared" ref="AP97:AU97" si="58">IF(OR(ScriptSourceCode=1,ScriptSourceCode=3),AP70-AP121,0)</f>
        <v>0</v>
      </c>
      <c r="AQ97" s="369">
        <f t="shared" si="58"/>
        <v>0</v>
      </c>
      <c r="AR97" s="369">
        <f t="shared" si="58"/>
        <v>0</v>
      </c>
      <c r="AS97" s="369">
        <f t="shared" si="58"/>
        <v>0</v>
      </c>
      <c r="AT97" s="369">
        <f t="shared" si="58"/>
        <v>0</v>
      </c>
      <c r="AU97" s="370">
        <f t="shared" si="58"/>
        <v>0</v>
      </c>
      <c r="AV97" s="371"/>
      <c r="AW97" s="369">
        <f t="shared" si="56"/>
        <v>0</v>
      </c>
      <c r="AX97" s="369">
        <f t="shared" si="56"/>
        <v>0</v>
      </c>
      <c r="AY97" s="369">
        <f t="shared" si="56"/>
        <v>0</v>
      </c>
      <c r="AZ97" s="369">
        <f t="shared" si="56"/>
        <v>0</v>
      </c>
      <c r="BA97" s="369">
        <f t="shared" si="56"/>
        <v>0</v>
      </c>
      <c r="BB97" s="370">
        <f t="shared" si="56"/>
        <v>0</v>
      </c>
    </row>
    <row r="98" spans="3:54" outlineLevel="1" x14ac:dyDescent="0.2">
      <c r="C98" s="209">
        <v>11</v>
      </c>
      <c r="D98" s="647" t="str">
        <f t="shared" ref="D98:D107" si="59">INDEX(MBSIncNames,C98)</f>
        <v>** NOT USED **</v>
      </c>
      <c r="E98" s="647"/>
      <c r="F98" s="647"/>
      <c r="G98" s="610"/>
      <c r="H98" s="611"/>
      <c r="I98" s="611"/>
      <c r="J98" s="62" t="str">
        <f t="shared" si="32"/>
        <v/>
      </c>
      <c r="Y98" s="209">
        <f t="shared" si="33"/>
        <v>0</v>
      </c>
      <c r="Z98" s="209" t="str">
        <f t="shared" si="34"/>
        <v/>
      </c>
      <c r="AA98" s="515">
        <f t="shared" si="35"/>
        <v>0</v>
      </c>
      <c r="AH98" s="522">
        <v>9</v>
      </c>
      <c r="AI98" s="371">
        <f t="shared" ref="AI98:AN98" si="60">IF(OR(ScriptSourceCode=1,ScriptSourceCode=3),AI71-AI122,0)</f>
        <v>0</v>
      </c>
      <c r="AJ98" s="369">
        <f t="shared" si="60"/>
        <v>0</v>
      </c>
      <c r="AK98" s="369">
        <f t="shared" si="60"/>
        <v>0</v>
      </c>
      <c r="AL98" s="369">
        <f t="shared" si="60"/>
        <v>0</v>
      </c>
      <c r="AM98" s="369">
        <f t="shared" si="60"/>
        <v>0</v>
      </c>
      <c r="AN98" s="370">
        <f t="shared" si="60"/>
        <v>0</v>
      </c>
      <c r="AO98" s="371"/>
      <c r="AP98" s="369">
        <f t="shared" ref="AP98:AU98" si="61">IF(OR(ScriptSourceCode=1,ScriptSourceCode=3),AP71-AP122,0)</f>
        <v>0</v>
      </c>
      <c r="AQ98" s="369">
        <f t="shared" si="61"/>
        <v>0</v>
      </c>
      <c r="AR98" s="369">
        <f t="shared" si="61"/>
        <v>0</v>
      </c>
      <c r="AS98" s="369">
        <f t="shared" si="61"/>
        <v>0</v>
      </c>
      <c r="AT98" s="369">
        <f t="shared" si="61"/>
        <v>0</v>
      </c>
      <c r="AU98" s="370">
        <f t="shared" si="61"/>
        <v>0</v>
      </c>
      <c r="AV98" s="371"/>
      <c r="AW98" s="369">
        <f t="shared" si="56"/>
        <v>0</v>
      </c>
      <c r="AX98" s="369">
        <f t="shared" si="56"/>
        <v>0</v>
      </c>
      <c r="AY98" s="369">
        <f t="shared" si="56"/>
        <v>0</v>
      </c>
      <c r="AZ98" s="369">
        <f t="shared" si="56"/>
        <v>0</v>
      </c>
      <c r="BA98" s="369">
        <f t="shared" si="56"/>
        <v>0</v>
      </c>
      <c r="BB98" s="370">
        <f t="shared" si="56"/>
        <v>0</v>
      </c>
    </row>
    <row r="99" spans="3:54" outlineLevel="1" x14ac:dyDescent="0.2">
      <c r="C99" s="209">
        <v>12</v>
      </c>
      <c r="D99" s="647" t="str">
        <f t="shared" si="59"/>
        <v>** NOT USED **</v>
      </c>
      <c r="E99" s="647"/>
      <c r="F99" s="647"/>
      <c r="G99" s="610"/>
      <c r="H99" s="611"/>
      <c r="I99" s="611"/>
      <c r="J99" s="62" t="str">
        <f t="shared" ref="J99:J107" si="62">IF(AD84=2,IF(AND(D99&lt;&gt;MsgNotUsed,G99=""),"All scripts","Specific medicine"),IF(AD84=1,"All patients",""))</f>
        <v/>
      </c>
      <c r="Y99" s="209">
        <f t="shared" si="33"/>
        <v>0</v>
      </c>
      <c r="Z99" s="209" t="str">
        <f t="shared" si="34"/>
        <v/>
      </c>
      <c r="AA99" s="515">
        <f t="shared" si="35"/>
        <v>0</v>
      </c>
      <c r="AH99" s="522">
        <v>10</v>
      </c>
      <c r="AI99" s="371">
        <f t="shared" ref="AI99:AN99" si="63">IF(OR(ScriptSourceCode=1,ScriptSourceCode=3),AI72-AI123,0)</f>
        <v>0</v>
      </c>
      <c r="AJ99" s="369">
        <f t="shared" si="63"/>
        <v>0</v>
      </c>
      <c r="AK99" s="369">
        <f t="shared" si="63"/>
        <v>0</v>
      </c>
      <c r="AL99" s="369">
        <f t="shared" si="63"/>
        <v>0</v>
      </c>
      <c r="AM99" s="369">
        <f t="shared" si="63"/>
        <v>0</v>
      </c>
      <c r="AN99" s="370">
        <f t="shared" si="63"/>
        <v>0</v>
      </c>
      <c r="AO99" s="371"/>
      <c r="AP99" s="369">
        <f t="shared" ref="AP99:AU99" si="64">IF(OR(ScriptSourceCode=1,ScriptSourceCode=3),AP72-AP123,0)</f>
        <v>0</v>
      </c>
      <c r="AQ99" s="369">
        <f t="shared" si="64"/>
        <v>0</v>
      </c>
      <c r="AR99" s="369">
        <f t="shared" si="64"/>
        <v>0</v>
      </c>
      <c r="AS99" s="369">
        <f t="shared" si="64"/>
        <v>0</v>
      </c>
      <c r="AT99" s="369">
        <f t="shared" si="64"/>
        <v>0</v>
      </c>
      <c r="AU99" s="370">
        <f t="shared" si="64"/>
        <v>0</v>
      </c>
      <c r="AV99" s="371"/>
      <c r="AW99" s="369">
        <f t="shared" si="56"/>
        <v>0</v>
      </c>
      <c r="AX99" s="369">
        <f t="shared" si="56"/>
        <v>0</v>
      </c>
      <c r="AY99" s="369">
        <f t="shared" si="56"/>
        <v>0</v>
      </c>
      <c r="AZ99" s="369">
        <f t="shared" si="56"/>
        <v>0</v>
      </c>
      <c r="BA99" s="369">
        <f t="shared" si="56"/>
        <v>0</v>
      </c>
      <c r="BB99" s="370">
        <f t="shared" si="56"/>
        <v>0</v>
      </c>
    </row>
    <row r="100" spans="3:54" outlineLevel="1" x14ac:dyDescent="0.2">
      <c r="C100" s="209">
        <v>13</v>
      </c>
      <c r="D100" s="647" t="str">
        <f t="shared" si="59"/>
        <v>** NOT USED **</v>
      </c>
      <c r="E100" s="647"/>
      <c r="F100" s="647"/>
      <c r="G100" s="610"/>
      <c r="H100" s="611"/>
      <c r="I100" s="611"/>
      <c r="J100" s="62" t="str">
        <f t="shared" si="62"/>
        <v/>
      </c>
      <c r="Y100" s="209">
        <f t="shared" si="33"/>
        <v>0</v>
      </c>
      <c r="Z100" s="209" t="str">
        <f t="shared" si="34"/>
        <v/>
      </c>
      <c r="AA100" s="515">
        <f t="shared" si="35"/>
        <v>0</v>
      </c>
      <c r="AH100" s="522">
        <v>11</v>
      </c>
      <c r="AI100" s="371">
        <f t="shared" ref="AI100:AN100" si="65">IF(OR(ScriptSourceCode=1,ScriptSourceCode=3),AI73-AI124,0)</f>
        <v>0</v>
      </c>
      <c r="AJ100" s="369">
        <f t="shared" si="65"/>
        <v>0</v>
      </c>
      <c r="AK100" s="369">
        <f t="shared" si="65"/>
        <v>0</v>
      </c>
      <c r="AL100" s="369">
        <f t="shared" si="65"/>
        <v>0</v>
      </c>
      <c r="AM100" s="369">
        <f t="shared" si="65"/>
        <v>0</v>
      </c>
      <c r="AN100" s="370">
        <f t="shared" si="65"/>
        <v>0</v>
      </c>
      <c r="AO100" s="371"/>
      <c r="AP100" s="369">
        <f t="shared" ref="AP100:AU100" si="66">IF(OR(ScriptSourceCode=1,ScriptSourceCode=3),AP73-AP124,0)</f>
        <v>0</v>
      </c>
      <c r="AQ100" s="369">
        <f t="shared" si="66"/>
        <v>0</v>
      </c>
      <c r="AR100" s="369">
        <f t="shared" si="66"/>
        <v>0</v>
      </c>
      <c r="AS100" s="369">
        <f t="shared" si="66"/>
        <v>0</v>
      </c>
      <c r="AT100" s="369">
        <f t="shared" si="66"/>
        <v>0</v>
      </c>
      <c r="AU100" s="370">
        <f t="shared" si="66"/>
        <v>0</v>
      </c>
      <c r="AV100" s="371"/>
      <c r="AW100" s="369">
        <f t="shared" ref="AW100:AW109" si="67">AI100+AP100</f>
        <v>0</v>
      </c>
      <c r="AX100" s="369">
        <f t="shared" ref="AX100:AX109" si="68">AJ100+AQ100</f>
        <v>0</v>
      </c>
      <c r="AY100" s="369">
        <f t="shared" ref="AY100:AY109" si="69">AK100+AR100</f>
        <v>0</v>
      </c>
      <c r="AZ100" s="369">
        <f t="shared" ref="AZ100:AZ109" si="70">AL100+AS100</f>
        <v>0</v>
      </c>
      <c r="BA100" s="369">
        <f t="shared" ref="BA100:BA109" si="71">AM100+AT100</f>
        <v>0</v>
      </c>
      <c r="BB100" s="370">
        <f t="shared" ref="BB100:BB109" si="72">AN100+AU100</f>
        <v>0</v>
      </c>
    </row>
    <row r="101" spans="3:54" outlineLevel="1" x14ac:dyDescent="0.2">
      <c r="C101" s="209">
        <v>14</v>
      </c>
      <c r="D101" s="647" t="str">
        <f t="shared" si="59"/>
        <v>** NOT USED **</v>
      </c>
      <c r="E101" s="647"/>
      <c r="F101" s="647"/>
      <c r="G101" s="610"/>
      <c r="H101" s="611"/>
      <c r="I101" s="611"/>
      <c r="J101" s="62" t="str">
        <f t="shared" si="62"/>
        <v/>
      </c>
      <c r="Y101" s="209">
        <f t="shared" si="33"/>
        <v>0</v>
      </c>
      <c r="Z101" s="209" t="str">
        <f t="shared" si="34"/>
        <v/>
      </c>
      <c r="AA101" s="515">
        <f t="shared" si="35"/>
        <v>0</v>
      </c>
      <c r="AH101" s="522">
        <v>12</v>
      </c>
      <c r="AI101" s="371">
        <f t="shared" ref="AI101:AN101" si="73">IF(OR(ScriptSourceCode=1,ScriptSourceCode=3),AI74-AI125,0)</f>
        <v>0</v>
      </c>
      <c r="AJ101" s="369">
        <f t="shared" si="73"/>
        <v>0</v>
      </c>
      <c r="AK101" s="369">
        <f t="shared" si="73"/>
        <v>0</v>
      </c>
      <c r="AL101" s="369">
        <f t="shared" si="73"/>
        <v>0</v>
      </c>
      <c r="AM101" s="369">
        <f t="shared" si="73"/>
        <v>0</v>
      </c>
      <c r="AN101" s="370">
        <f t="shared" si="73"/>
        <v>0</v>
      </c>
      <c r="AO101" s="371"/>
      <c r="AP101" s="369">
        <f t="shared" ref="AP101:AU101" si="74">IF(OR(ScriptSourceCode=1,ScriptSourceCode=3),AP74-AP125,0)</f>
        <v>0</v>
      </c>
      <c r="AQ101" s="369">
        <f t="shared" si="74"/>
        <v>0</v>
      </c>
      <c r="AR101" s="369">
        <f t="shared" si="74"/>
        <v>0</v>
      </c>
      <c r="AS101" s="369">
        <f t="shared" si="74"/>
        <v>0</v>
      </c>
      <c r="AT101" s="369">
        <f t="shared" si="74"/>
        <v>0</v>
      </c>
      <c r="AU101" s="370">
        <f t="shared" si="74"/>
        <v>0</v>
      </c>
      <c r="AV101" s="371"/>
      <c r="AW101" s="369">
        <f t="shared" si="67"/>
        <v>0</v>
      </c>
      <c r="AX101" s="369">
        <f t="shared" si="68"/>
        <v>0</v>
      </c>
      <c r="AY101" s="369">
        <f t="shared" si="69"/>
        <v>0</v>
      </c>
      <c r="AZ101" s="369">
        <f t="shared" si="70"/>
        <v>0</v>
      </c>
      <c r="BA101" s="369">
        <f t="shared" si="71"/>
        <v>0</v>
      </c>
      <c r="BB101" s="370">
        <f t="shared" si="72"/>
        <v>0</v>
      </c>
    </row>
    <row r="102" spans="3:54" outlineLevel="1" x14ac:dyDescent="0.2">
      <c r="C102" s="209">
        <v>15</v>
      </c>
      <c r="D102" s="647" t="str">
        <f t="shared" si="59"/>
        <v>** NOT USED **</v>
      </c>
      <c r="E102" s="647"/>
      <c r="F102" s="647"/>
      <c r="G102" s="610"/>
      <c r="H102" s="611"/>
      <c r="I102" s="611"/>
      <c r="J102" s="62" t="str">
        <f t="shared" si="62"/>
        <v/>
      </c>
      <c r="Y102" s="209">
        <f t="shared" si="33"/>
        <v>0</v>
      </c>
      <c r="Z102" s="209" t="str">
        <f t="shared" si="34"/>
        <v/>
      </c>
      <c r="AA102" s="515">
        <f t="shared" si="35"/>
        <v>0</v>
      </c>
      <c r="AH102" s="522">
        <v>13</v>
      </c>
      <c r="AI102" s="371">
        <f t="shared" ref="AI102:AN102" si="75">IF(OR(ScriptSourceCode=1,ScriptSourceCode=3),AI75-AI126,0)</f>
        <v>0</v>
      </c>
      <c r="AJ102" s="369">
        <f t="shared" si="75"/>
        <v>0</v>
      </c>
      <c r="AK102" s="369">
        <f t="shared" si="75"/>
        <v>0</v>
      </c>
      <c r="AL102" s="369">
        <f t="shared" si="75"/>
        <v>0</v>
      </c>
      <c r="AM102" s="369">
        <f t="shared" si="75"/>
        <v>0</v>
      </c>
      <c r="AN102" s="370">
        <f t="shared" si="75"/>
        <v>0</v>
      </c>
      <c r="AO102" s="371"/>
      <c r="AP102" s="369">
        <f t="shared" ref="AP102:AU102" si="76">IF(OR(ScriptSourceCode=1,ScriptSourceCode=3),AP75-AP126,0)</f>
        <v>0</v>
      </c>
      <c r="AQ102" s="369">
        <f t="shared" si="76"/>
        <v>0</v>
      </c>
      <c r="AR102" s="369">
        <f t="shared" si="76"/>
        <v>0</v>
      </c>
      <c r="AS102" s="369">
        <f t="shared" si="76"/>
        <v>0</v>
      </c>
      <c r="AT102" s="369">
        <f t="shared" si="76"/>
        <v>0</v>
      </c>
      <c r="AU102" s="370">
        <f t="shared" si="76"/>
        <v>0</v>
      </c>
      <c r="AV102" s="371"/>
      <c r="AW102" s="369">
        <f t="shared" si="67"/>
        <v>0</v>
      </c>
      <c r="AX102" s="369">
        <f t="shared" si="68"/>
        <v>0</v>
      </c>
      <c r="AY102" s="369">
        <f t="shared" si="69"/>
        <v>0</v>
      </c>
      <c r="AZ102" s="369">
        <f t="shared" si="70"/>
        <v>0</v>
      </c>
      <c r="BA102" s="369">
        <f t="shared" si="71"/>
        <v>0</v>
      </c>
      <c r="BB102" s="370">
        <f t="shared" si="72"/>
        <v>0</v>
      </c>
    </row>
    <row r="103" spans="3:54" outlineLevel="1" x14ac:dyDescent="0.2">
      <c r="C103" s="209">
        <v>16</v>
      </c>
      <c r="D103" s="647" t="str">
        <f t="shared" si="59"/>
        <v>** NOT USED **</v>
      </c>
      <c r="E103" s="647"/>
      <c r="F103" s="647"/>
      <c r="G103" s="610"/>
      <c r="H103" s="611"/>
      <c r="I103" s="611"/>
      <c r="J103" s="62" t="str">
        <f t="shared" si="62"/>
        <v/>
      </c>
      <c r="Y103" s="209">
        <f t="shared" si="33"/>
        <v>0</v>
      </c>
      <c r="Z103" s="209" t="str">
        <f t="shared" si="34"/>
        <v/>
      </c>
      <c r="AA103" s="515">
        <f t="shared" si="35"/>
        <v>0</v>
      </c>
      <c r="AH103" s="522">
        <v>14</v>
      </c>
      <c r="AI103" s="371">
        <f t="shared" ref="AI103:AN103" si="77">IF(OR(ScriptSourceCode=1,ScriptSourceCode=3),AI76-AI127,0)</f>
        <v>0</v>
      </c>
      <c r="AJ103" s="369">
        <f t="shared" si="77"/>
        <v>0</v>
      </c>
      <c r="AK103" s="369">
        <f t="shared" si="77"/>
        <v>0</v>
      </c>
      <c r="AL103" s="369">
        <f t="shared" si="77"/>
        <v>0</v>
      </c>
      <c r="AM103" s="369">
        <f t="shared" si="77"/>
        <v>0</v>
      </c>
      <c r="AN103" s="370">
        <f t="shared" si="77"/>
        <v>0</v>
      </c>
      <c r="AO103" s="371"/>
      <c r="AP103" s="369">
        <f t="shared" ref="AP103:AU103" si="78">IF(OR(ScriptSourceCode=1,ScriptSourceCode=3),AP76-AP127,0)</f>
        <v>0</v>
      </c>
      <c r="AQ103" s="369">
        <f t="shared" si="78"/>
        <v>0</v>
      </c>
      <c r="AR103" s="369">
        <f t="shared" si="78"/>
        <v>0</v>
      </c>
      <c r="AS103" s="369">
        <f t="shared" si="78"/>
        <v>0</v>
      </c>
      <c r="AT103" s="369">
        <f t="shared" si="78"/>
        <v>0</v>
      </c>
      <c r="AU103" s="370">
        <f t="shared" si="78"/>
        <v>0</v>
      </c>
      <c r="AV103" s="371"/>
      <c r="AW103" s="369">
        <f t="shared" si="67"/>
        <v>0</v>
      </c>
      <c r="AX103" s="369">
        <f t="shared" si="68"/>
        <v>0</v>
      </c>
      <c r="AY103" s="369">
        <f t="shared" si="69"/>
        <v>0</v>
      </c>
      <c r="AZ103" s="369">
        <f t="shared" si="70"/>
        <v>0</v>
      </c>
      <c r="BA103" s="369">
        <f t="shared" si="71"/>
        <v>0</v>
      </c>
      <c r="BB103" s="370">
        <f t="shared" si="72"/>
        <v>0</v>
      </c>
    </row>
    <row r="104" spans="3:54" outlineLevel="1" x14ac:dyDescent="0.2">
      <c r="C104" s="209">
        <v>17</v>
      </c>
      <c r="D104" s="647" t="str">
        <f t="shared" si="59"/>
        <v>** NOT USED **</v>
      </c>
      <c r="E104" s="647"/>
      <c r="F104" s="647"/>
      <c r="G104" s="610"/>
      <c r="H104" s="611"/>
      <c r="I104" s="611"/>
      <c r="J104" s="62" t="str">
        <f t="shared" si="62"/>
        <v/>
      </c>
      <c r="Y104" s="209">
        <f t="shared" si="33"/>
        <v>0</v>
      </c>
      <c r="Z104" s="209" t="str">
        <f t="shared" si="34"/>
        <v/>
      </c>
      <c r="AA104" s="515">
        <f t="shared" si="35"/>
        <v>0</v>
      </c>
      <c r="AH104" s="522">
        <v>15</v>
      </c>
      <c r="AI104" s="371">
        <f t="shared" ref="AI104:AN104" si="79">IF(OR(ScriptSourceCode=1,ScriptSourceCode=3),AI77-AI128,0)</f>
        <v>0</v>
      </c>
      <c r="AJ104" s="369">
        <f t="shared" si="79"/>
        <v>0</v>
      </c>
      <c r="AK104" s="369">
        <f t="shared" si="79"/>
        <v>0</v>
      </c>
      <c r="AL104" s="369">
        <f t="shared" si="79"/>
        <v>0</v>
      </c>
      <c r="AM104" s="369">
        <f t="shared" si="79"/>
        <v>0</v>
      </c>
      <c r="AN104" s="370">
        <f t="shared" si="79"/>
        <v>0</v>
      </c>
      <c r="AO104" s="371"/>
      <c r="AP104" s="369">
        <f t="shared" ref="AP104:AU104" si="80">IF(OR(ScriptSourceCode=1,ScriptSourceCode=3),AP77-AP128,0)</f>
        <v>0</v>
      </c>
      <c r="AQ104" s="369">
        <f t="shared" si="80"/>
        <v>0</v>
      </c>
      <c r="AR104" s="369">
        <f t="shared" si="80"/>
        <v>0</v>
      </c>
      <c r="AS104" s="369">
        <f t="shared" si="80"/>
        <v>0</v>
      </c>
      <c r="AT104" s="369">
        <f t="shared" si="80"/>
        <v>0</v>
      </c>
      <c r="AU104" s="370">
        <f t="shared" si="80"/>
        <v>0</v>
      </c>
      <c r="AV104" s="371"/>
      <c r="AW104" s="369">
        <f t="shared" si="67"/>
        <v>0</v>
      </c>
      <c r="AX104" s="369">
        <f t="shared" si="68"/>
        <v>0</v>
      </c>
      <c r="AY104" s="369">
        <f t="shared" si="69"/>
        <v>0</v>
      </c>
      <c r="AZ104" s="369">
        <f t="shared" si="70"/>
        <v>0</v>
      </c>
      <c r="BA104" s="369">
        <f t="shared" si="71"/>
        <v>0</v>
      </c>
      <c r="BB104" s="370">
        <f t="shared" si="72"/>
        <v>0</v>
      </c>
    </row>
    <row r="105" spans="3:54" outlineLevel="1" x14ac:dyDescent="0.2">
      <c r="C105" s="209">
        <v>18</v>
      </c>
      <c r="D105" s="647" t="str">
        <f t="shared" si="59"/>
        <v>** NOT USED **</v>
      </c>
      <c r="E105" s="647"/>
      <c r="F105" s="647"/>
      <c r="G105" s="610"/>
      <c r="H105" s="611"/>
      <c r="I105" s="611"/>
      <c r="J105" s="62" t="str">
        <f t="shared" si="62"/>
        <v/>
      </c>
      <c r="Y105" s="209">
        <f t="shared" si="33"/>
        <v>0</v>
      </c>
      <c r="Z105" s="209" t="str">
        <f t="shared" si="34"/>
        <v/>
      </c>
      <c r="AA105" s="515">
        <f t="shared" si="35"/>
        <v>0</v>
      </c>
      <c r="AH105" s="522">
        <v>16</v>
      </c>
      <c r="AI105" s="371">
        <f t="shared" ref="AI105:AN105" si="81">IF(OR(ScriptSourceCode=1,ScriptSourceCode=3),AI78-AI129,0)</f>
        <v>0</v>
      </c>
      <c r="AJ105" s="369">
        <f t="shared" si="81"/>
        <v>0</v>
      </c>
      <c r="AK105" s="369">
        <f t="shared" si="81"/>
        <v>0</v>
      </c>
      <c r="AL105" s="369">
        <f t="shared" si="81"/>
        <v>0</v>
      </c>
      <c r="AM105" s="369">
        <f t="shared" si="81"/>
        <v>0</v>
      </c>
      <c r="AN105" s="370">
        <f t="shared" si="81"/>
        <v>0</v>
      </c>
      <c r="AO105" s="371"/>
      <c r="AP105" s="369">
        <f t="shared" ref="AP105:AU105" si="82">IF(OR(ScriptSourceCode=1,ScriptSourceCode=3),AP78-AP129,0)</f>
        <v>0</v>
      </c>
      <c r="AQ105" s="369">
        <f t="shared" si="82"/>
        <v>0</v>
      </c>
      <c r="AR105" s="369">
        <f t="shared" si="82"/>
        <v>0</v>
      </c>
      <c r="AS105" s="369">
        <f t="shared" si="82"/>
        <v>0</v>
      </c>
      <c r="AT105" s="369">
        <f t="shared" si="82"/>
        <v>0</v>
      </c>
      <c r="AU105" s="370">
        <f t="shared" si="82"/>
        <v>0</v>
      </c>
      <c r="AV105" s="371"/>
      <c r="AW105" s="369">
        <f t="shared" si="67"/>
        <v>0</v>
      </c>
      <c r="AX105" s="369">
        <f t="shared" si="68"/>
        <v>0</v>
      </c>
      <c r="AY105" s="369">
        <f t="shared" si="69"/>
        <v>0</v>
      </c>
      <c r="AZ105" s="369">
        <f t="shared" si="70"/>
        <v>0</v>
      </c>
      <c r="BA105" s="369">
        <f t="shared" si="71"/>
        <v>0</v>
      </c>
      <c r="BB105" s="370">
        <f t="shared" si="72"/>
        <v>0</v>
      </c>
    </row>
    <row r="106" spans="3:54" outlineLevel="1" x14ac:dyDescent="0.2">
      <c r="C106" s="209">
        <v>19</v>
      </c>
      <c r="D106" s="647" t="str">
        <f t="shared" si="59"/>
        <v>** NOT USED **</v>
      </c>
      <c r="E106" s="647"/>
      <c r="F106" s="647"/>
      <c r="G106" s="610"/>
      <c r="H106" s="611"/>
      <c r="I106" s="611"/>
      <c r="J106" s="62" t="str">
        <f t="shared" si="62"/>
        <v/>
      </c>
      <c r="Y106" s="209">
        <f t="shared" si="33"/>
        <v>0</v>
      </c>
      <c r="Z106" s="209" t="str">
        <f t="shared" si="34"/>
        <v/>
      </c>
      <c r="AA106" s="515">
        <f t="shared" si="35"/>
        <v>0</v>
      </c>
      <c r="AH106" s="522">
        <v>17</v>
      </c>
      <c r="AI106" s="371">
        <f t="shared" ref="AI106:AN106" si="83">IF(OR(ScriptSourceCode=1,ScriptSourceCode=3),AI79-AI130,0)</f>
        <v>0</v>
      </c>
      <c r="AJ106" s="369">
        <f t="shared" si="83"/>
        <v>0</v>
      </c>
      <c r="AK106" s="369">
        <f t="shared" si="83"/>
        <v>0</v>
      </c>
      <c r="AL106" s="369">
        <f t="shared" si="83"/>
        <v>0</v>
      </c>
      <c r="AM106" s="369">
        <f t="shared" si="83"/>
        <v>0</v>
      </c>
      <c r="AN106" s="370">
        <f t="shared" si="83"/>
        <v>0</v>
      </c>
      <c r="AO106" s="371"/>
      <c r="AP106" s="369">
        <f t="shared" ref="AP106:AU106" si="84">IF(OR(ScriptSourceCode=1,ScriptSourceCode=3),AP79-AP130,0)</f>
        <v>0</v>
      </c>
      <c r="AQ106" s="369">
        <f t="shared" si="84"/>
        <v>0</v>
      </c>
      <c r="AR106" s="369">
        <f t="shared" si="84"/>
        <v>0</v>
      </c>
      <c r="AS106" s="369">
        <f t="shared" si="84"/>
        <v>0</v>
      </c>
      <c r="AT106" s="369">
        <f t="shared" si="84"/>
        <v>0</v>
      </c>
      <c r="AU106" s="370">
        <f t="shared" si="84"/>
        <v>0</v>
      </c>
      <c r="AV106" s="371"/>
      <c r="AW106" s="369">
        <f t="shared" si="67"/>
        <v>0</v>
      </c>
      <c r="AX106" s="369">
        <f t="shared" si="68"/>
        <v>0</v>
      </c>
      <c r="AY106" s="369">
        <f t="shared" si="69"/>
        <v>0</v>
      </c>
      <c r="AZ106" s="369">
        <f t="shared" si="70"/>
        <v>0</v>
      </c>
      <c r="BA106" s="369">
        <f t="shared" si="71"/>
        <v>0</v>
      </c>
      <c r="BB106" s="370">
        <f t="shared" si="72"/>
        <v>0</v>
      </c>
    </row>
    <row r="107" spans="3:54" outlineLevel="1" x14ac:dyDescent="0.2">
      <c r="C107" s="209">
        <v>20</v>
      </c>
      <c r="D107" s="647" t="str">
        <f t="shared" si="59"/>
        <v>** NOT USED **</v>
      </c>
      <c r="E107" s="647"/>
      <c r="F107" s="647"/>
      <c r="G107" s="610"/>
      <c r="H107" s="611"/>
      <c r="I107" s="611"/>
      <c r="J107" s="62" t="str">
        <f t="shared" si="62"/>
        <v/>
      </c>
      <c r="Y107" s="209">
        <f>IF(OR(D107=MsgNotUsed,AD82=1),0,1)</f>
        <v>0</v>
      </c>
      <c r="Z107" s="209" t="str">
        <f t="shared" si="34"/>
        <v/>
      </c>
      <c r="AA107" s="515">
        <f t="shared" si="35"/>
        <v>0</v>
      </c>
      <c r="AH107" s="522">
        <v>18</v>
      </c>
      <c r="AI107" s="371">
        <f t="shared" ref="AI107:AN107" si="85">IF(OR(ScriptSourceCode=1,ScriptSourceCode=3),AI80-AI131,0)</f>
        <v>0</v>
      </c>
      <c r="AJ107" s="369">
        <f t="shared" si="85"/>
        <v>0</v>
      </c>
      <c r="AK107" s="369">
        <f t="shared" si="85"/>
        <v>0</v>
      </c>
      <c r="AL107" s="369">
        <f t="shared" si="85"/>
        <v>0</v>
      </c>
      <c r="AM107" s="369">
        <f t="shared" si="85"/>
        <v>0</v>
      </c>
      <c r="AN107" s="370">
        <f t="shared" si="85"/>
        <v>0</v>
      </c>
      <c r="AO107" s="371"/>
      <c r="AP107" s="369">
        <f t="shared" ref="AP107:AU107" si="86">IF(OR(ScriptSourceCode=1,ScriptSourceCode=3),AP80-AP131,0)</f>
        <v>0</v>
      </c>
      <c r="AQ107" s="369">
        <f t="shared" si="86"/>
        <v>0</v>
      </c>
      <c r="AR107" s="369">
        <f t="shared" si="86"/>
        <v>0</v>
      </c>
      <c r="AS107" s="369">
        <f t="shared" si="86"/>
        <v>0</v>
      </c>
      <c r="AT107" s="369">
        <f t="shared" si="86"/>
        <v>0</v>
      </c>
      <c r="AU107" s="370">
        <f t="shared" si="86"/>
        <v>0</v>
      </c>
      <c r="AV107" s="371"/>
      <c r="AW107" s="369">
        <f t="shared" si="67"/>
        <v>0</v>
      </c>
      <c r="AX107" s="369">
        <f t="shared" si="68"/>
        <v>0</v>
      </c>
      <c r="AY107" s="369">
        <f t="shared" si="69"/>
        <v>0</v>
      </c>
      <c r="AZ107" s="369">
        <f t="shared" si="70"/>
        <v>0</v>
      </c>
      <c r="BA107" s="369">
        <f t="shared" si="71"/>
        <v>0</v>
      </c>
      <c r="BB107" s="370">
        <f t="shared" si="72"/>
        <v>0</v>
      </c>
    </row>
    <row r="108" spans="3:54" outlineLevel="1" x14ac:dyDescent="0.2">
      <c r="Y108"/>
      <c r="Z108"/>
      <c r="AH108" s="522">
        <v>19</v>
      </c>
      <c r="AI108" s="371">
        <f t="shared" ref="AI108:AN108" si="87">IF(OR(ScriptSourceCode=1,ScriptSourceCode=3),AI81-AI132,0)</f>
        <v>0</v>
      </c>
      <c r="AJ108" s="369">
        <f t="shared" si="87"/>
        <v>0</v>
      </c>
      <c r="AK108" s="369">
        <f t="shared" si="87"/>
        <v>0</v>
      </c>
      <c r="AL108" s="369">
        <f t="shared" si="87"/>
        <v>0</v>
      </c>
      <c r="AM108" s="369">
        <f t="shared" si="87"/>
        <v>0</v>
      </c>
      <c r="AN108" s="370">
        <f t="shared" si="87"/>
        <v>0</v>
      </c>
      <c r="AO108" s="371"/>
      <c r="AP108" s="369">
        <f t="shared" ref="AP108:AU108" si="88">IF(OR(ScriptSourceCode=1,ScriptSourceCode=3),AP81-AP132,0)</f>
        <v>0</v>
      </c>
      <c r="AQ108" s="369">
        <f t="shared" si="88"/>
        <v>0</v>
      </c>
      <c r="AR108" s="369">
        <f t="shared" si="88"/>
        <v>0</v>
      </c>
      <c r="AS108" s="369">
        <f t="shared" si="88"/>
        <v>0</v>
      </c>
      <c r="AT108" s="369">
        <f t="shared" si="88"/>
        <v>0</v>
      </c>
      <c r="AU108" s="370">
        <f t="shared" si="88"/>
        <v>0</v>
      </c>
      <c r="AV108" s="371"/>
      <c r="AW108" s="369">
        <f t="shared" si="67"/>
        <v>0</v>
      </c>
      <c r="AX108" s="369">
        <f t="shared" si="68"/>
        <v>0</v>
      </c>
      <c r="AY108" s="369">
        <f t="shared" si="69"/>
        <v>0</v>
      </c>
      <c r="AZ108" s="369">
        <f t="shared" si="70"/>
        <v>0</v>
      </c>
      <c r="BA108" s="369">
        <f t="shared" si="71"/>
        <v>0</v>
      </c>
      <c r="BB108" s="370">
        <f t="shared" si="72"/>
        <v>0</v>
      </c>
    </row>
    <row r="109" spans="3:54" ht="13.5" outlineLevel="1" thickBot="1" x14ac:dyDescent="0.25">
      <c r="D109" s="103" t="s">
        <v>296</v>
      </c>
      <c r="AH109" s="523">
        <v>20</v>
      </c>
      <c r="AI109" s="374">
        <f t="shared" ref="AI109:AN109" si="89">IF(OR(ScriptSourceCode=1,ScriptSourceCode=3),AI82-AI133,0)</f>
        <v>0</v>
      </c>
      <c r="AJ109" s="372">
        <f t="shared" si="89"/>
        <v>0</v>
      </c>
      <c r="AK109" s="372">
        <f t="shared" si="89"/>
        <v>0</v>
      </c>
      <c r="AL109" s="372">
        <f t="shared" si="89"/>
        <v>0</v>
      </c>
      <c r="AM109" s="372">
        <f t="shared" si="89"/>
        <v>0</v>
      </c>
      <c r="AN109" s="373">
        <f t="shared" si="89"/>
        <v>0</v>
      </c>
      <c r="AO109" s="374"/>
      <c r="AP109" s="372">
        <f t="shared" ref="AP109:AU109" si="90">IF(OR(ScriptSourceCode=1,ScriptSourceCode=3),AP82-AP133,0)</f>
        <v>0</v>
      </c>
      <c r="AQ109" s="372">
        <f t="shared" si="90"/>
        <v>0</v>
      </c>
      <c r="AR109" s="372">
        <f t="shared" si="90"/>
        <v>0</v>
      </c>
      <c r="AS109" s="372">
        <f t="shared" si="90"/>
        <v>0</v>
      </c>
      <c r="AT109" s="372">
        <f t="shared" si="90"/>
        <v>0</v>
      </c>
      <c r="AU109" s="373">
        <f t="shared" si="90"/>
        <v>0</v>
      </c>
      <c r="AV109" s="374"/>
      <c r="AW109" s="372">
        <f t="shared" si="67"/>
        <v>0</v>
      </c>
      <c r="AX109" s="372">
        <f t="shared" si="68"/>
        <v>0</v>
      </c>
      <c r="AY109" s="372">
        <f t="shared" si="69"/>
        <v>0</v>
      </c>
      <c r="AZ109" s="372">
        <f t="shared" si="70"/>
        <v>0</v>
      </c>
      <c r="BA109" s="372">
        <f t="shared" si="71"/>
        <v>0</v>
      </c>
      <c r="BB109" s="373">
        <f t="shared" si="72"/>
        <v>0</v>
      </c>
    </row>
    <row r="110" spans="3:54" ht="13.5" outlineLevel="1" collapsed="1" thickBot="1" x14ac:dyDescent="0.25"/>
    <row r="111" spans="3:54" ht="15.75" outlineLevel="1" x14ac:dyDescent="0.2">
      <c r="C111" s="209">
        <v>1</v>
      </c>
      <c r="D111" s="72" t="str">
        <f>INDEX(MBSIncNames,C111)</f>
        <v>** NOT USED **</v>
      </c>
      <c r="E111" s="72"/>
      <c r="F111" s="105"/>
      <c r="G111" s="105"/>
      <c r="H111" s="105"/>
      <c r="I111" s="105"/>
      <c r="J111" s="588" t="str">
        <f>IF(D111&lt;&gt;MsgNotUsed,"Co-payment group " &amp; K63,"")</f>
        <v/>
      </c>
      <c r="K111" s="588"/>
      <c r="L111" s="105"/>
      <c r="M111" s="105"/>
      <c r="N111" s="105"/>
      <c r="O111" s="105"/>
      <c r="P111" s="105"/>
      <c r="Q111" s="105"/>
      <c r="R111" s="105"/>
      <c r="S111" s="105"/>
      <c r="T111" s="105"/>
      <c r="U111" s="105"/>
      <c r="V111" s="105"/>
      <c r="AH111" s="658" t="s">
        <v>217</v>
      </c>
      <c r="AI111" s="659"/>
      <c r="AJ111" s="659"/>
      <c r="AK111" s="659"/>
      <c r="AL111" s="659"/>
      <c r="AM111" s="659"/>
      <c r="AN111" s="659"/>
      <c r="AO111" s="659"/>
      <c r="AP111" s="659"/>
      <c r="AQ111" s="659"/>
      <c r="AR111" s="659"/>
      <c r="AS111" s="659"/>
      <c r="AT111" s="659"/>
      <c r="AU111" s="659"/>
      <c r="AV111" s="659"/>
      <c r="AW111" s="659"/>
      <c r="AX111" s="659"/>
      <c r="AY111" s="659"/>
      <c r="AZ111" s="659"/>
      <c r="BA111" s="659"/>
      <c r="BB111" s="660"/>
    </row>
    <row r="112" spans="3:54" ht="13.5" hidden="1" outlineLevel="2" thickBot="1" x14ac:dyDescent="0.25">
      <c r="F112" s="357">
        <v>2</v>
      </c>
      <c r="G112" s="357">
        <v>3</v>
      </c>
      <c r="H112" s="357">
        <v>4</v>
      </c>
      <c r="I112" s="357">
        <v>5</v>
      </c>
      <c r="J112" s="357">
        <v>6</v>
      </c>
      <c r="K112" s="357">
        <v>7</v>
      </c>
      <c r="L112" s="357"/>
      <c r="AH112" s="661" t="str">
        <f>TxPhase1PxTotal</f>
        <v/>
      </c>
      <c r="AI112" s="662"/>
      <c r="AJ112" s="662"/>
      <c r="AK112" s="662"/>
      <c r="AL112" s="662"/>
      <c r="AM112" s="662"/>
      <c r="AN112" s="663"/>
      <c r="AO112" s="664" t="str">
        <f>TxPhase2PxTotal</f>
        <v/>
      </c>
      <c r="AP112" s="662"/>
      <c r="AQ112" s="662"/>
      <c r="AR112" s="662"/>
      <c r="AS112" s="662"/>
      <c r="AT112" s="662"/>
      <c r="AU112" s="663"/>
      <c r="AV112" s="665" t="s">
        <v>417</v>
      </c>
      <c r="AW112" s="665"/>
      <c r="AX112" s="665"/>
      <c r="AY112" s="665"/>
      <c r="AZ112" s="665"/>
      <c r="BA112" s="665"/>
      <c r="BB112" s="666"/>
    </row>
    <row r="113" spans="1:54" ht="15" hidden="1" outlineLevel="2" x14ac:dyDescent="0.2">
      <c r="D113" s="462" t="s">
        <v>0</v>
      </c>
      <c r="E113" s="462"/>
      <c r="F113" s="74">
        <f>FirstYear</f>
        <v>2026</v>
      </c>
      <c r="G113" s="74">
        <f>F113+1</f>
        <v>2027</v>
      </c>
      <c r="H113" s="74">
        <f>G113+1</f>
        <v>2028</v>
      </c>
      <c r="I113" s="74">
        <f>H113+1</f>
        <v>2029</v>
      </c>
      <c r="J113" s="74">
        <f>I113+1</f>
        <v>2030</v>
      </c>
      <c r="K113" s="74">
        <f>J113+1</f>
        <v>2031</v>
      </c>
      <c r="N113" s="470"/>
      <c r="O113" s="470"/>
      <c r="P113" s="470"/>
      <c r="Q113" s="223"/>
      <c r="R113" s="223"/>
      <c r="S113" s="223"/>
      <c r="T113" s="223"/>
      <c r="U113" s="223"/>
      <c r="V113" s="223"/>
      <c r="X113" s="223"/>
      <c r="Y113" s="223"/>
      <c r="Z113" s="223"/>
      <c r="AA113" s="223"/>
      <c r="AB113" s="223"/>
      <c r="AH113" s="303"/>
      <c r="AI113" s="304">
        <f>FirstYear</f>
        <v>2026</v>
      </c>
      <c r="AJ113" s="304">
        <f>AI113+1</f>
        <v>2027</v>
      </c>
      <c r="AK113" s="304">
        <f>AJ113+1</f>
        <v>2028</v>
      </c>
      <c r="AL113" s="304">
        <f>AK113+1</f>
        <v>2029</v>
      </c>
      <c r="AM113" s="304">
        <f>AL113+1</f>
        <v>2030</v>
      </c>
      <c r="AN113" s="305">
        <f>AM113+1</f>
        <v>2031</v>
      </c>
      <c r="AO113" s="508"/>
      <c r="AP113" s="304">
        <f>FirstYear</f>
        <v>2026</v>
      </c>
      <c r="AQ113" s="304">
        <f>AP113+1</f>
        <v>2027</v>
      </c>
      <c r="AR113" s="304">
        <f>AQ113+1</f>
        <v>2028</v>
      </c>
      <c r="AS113" s="304">
        <f>AR113+1</f>
        <v>2029</v>
      </c>
      <c r="AT113" s="304">
        <f>AS113+1</f>
        <v>2030</v>
      </c>
      <c r="AU113" s="511">
        <f>AT113+1</f>
        <v>2031</v>
      </c>
      <c r="AV113" s="303"/>
      <c r="AW113" s="304">
        <f>FirstYear</f>
        <v>2026</v>
      </c>
      <c r="AX113" s="304">
        <f>AW113+1</f>
        <v>2027</v>
      </c>
      <c r="AY113" s="304">
        <f>AX113+1</f>
        <v>2028</v>
      </c>
      <c r="AZ113" s="304">
        <f>AY113+1</f>
        <v>2029</v>
      </c>
      <c r="BA113" s="304">
        <f>AZ113+1</f>
        <v>2030</v>
      </c>
      <c r="BB113" s="305">
        <f>BA113+1</f>
        <v>2031</v>
      </c>
    </row>
    <row r="114" spans="1:54" hidden="1" outlineLevel="2" x14ac:dyDescent="0.2">
      <c r="E114" s="82" t="s">
        <v>938</v>
      </c>
      <c r="F114" s="239">
        <f t="shared" ref="F114:K114" si="91">F115*INDEX(MBSIncCalc,$C111,3)</f>
        <v>0</v>
      </c>
      <c r="G114" s="239">
        <f t="shared" si="91"/>
        <v>0</v>
      </c>
      <c r="H114" s="239">
        <f t="shared" si="91"/>
        <v>0</v>
      </c>
      <c r="I114" s="239">
        <f t="shared" si="91"/>
        <v>0</v>
      </c>
      <c r="J114" s="239">
        <f t="shared" si="91"/>
        <v>0</v>
      </c>
      <c r="K114" s="239">
        <f t="shared" si="91"/>
        <v>0</v>
      </c>
      <c r="M114" s="471"/>
      <c r="N114" s="463"/>
      <c r="O114" s="463"/>
      <c r="P114" s="463"/>
      <c r="Q114" s="472"/>
      <c r="R114" s="472"/>
      <c r="S114" s="472"/>
      <c r="T114" s="472"/>
      <c r="U114" s="472"/>
      <c r="V114" s="472"/>
      <c r="X114" s="402">
        <f>INDEX(MBSIncItems,C111,1)</f>
        <v>0</v>
      </c>
      <c r="Y114" s="402">
        <f>FirstYear</f>
        <v>2026</v>
      </c>
      <c r="Z114" s="401">
        <f>IF(F115&lt;&gt;0,F115-F117,0)</f>
        <v>0</v>
      </c>
      <c r="AA114" s="401">
        <f>IF(F123&lt;&gt;0,F123-F125,0)</f>
        <v>0</v>
      </c>
      <c r="AH114" s="371">
        <v>1</v>
      </c>
      <c r="AI114" s="369">
        <f t="shared" ref="AI114:AN123" si="92">IF(OR(ScriptSourceCode=1,ScriptSourceCode=3),IF($AG63&lt;&gt;0,ROUND(AI63*INDEX(PxTxPhase1Adj,$AG63,9),0),0),0)</f>
        <v>0</v>
      </c>
      <c r="AJ114" s="369">
        <f t="shared" si="92"/>
        <v>0</v>
      </c>
      <c r="AK114" s="369">
        <f t="shared" si="92"/>
        <v>0</v>
      </c>
      <c r="AL114" s="369">
        <f t="shared" si="92"/>
        <v>0</v>
      </c>
      <c r="AM114" s="369">
        <f t="shared" si="92"/>
        <v>0</v>
      </c>
      <c r="AN114" s="370">
        <f t="shared" si="92"/>
        <v>0</v>
      </c>
      <c r="AO114" s="509"/>
      <c r="AP114" s="369">
        <f t="shared" ref="AP114:AU123" si="93">IF(OR(ScriptSourceCode=1,ScriptSourceCode=3),IF($AG63&lt;&gt;0,ROUND(AP63*INDEX(PxTxPhase1Adj,$AG63,9),0),0),0)</f>
        <v>0</v>
      </c>
      <c r="AQ114" s="369">
        <f t="shared" si="93"/>
        <v>0</v>
      </c>
      <c r="AR114" s="369">
        <f t="shared" si="93"/>
        <v>0</v>
      </c>
      <c r="AS114" s="369">
        <f t="shared" si="93"/>
        <v>0</v>
      </c>
      <c r="AT114" s="369">
        <f t="shared" si="93"/>
        <v>0</v>
      </c>
      <c r="AU114" s="512">
        <f t="shared" si="93"/>
        <v>0</v>
      </c>
      <c r="AV114" s="371"/>
      <c r="AW114" s="369">
        <f t="shared" ref="AW114:BB116" si="94">AI114+AP114</f>
        <v>0</v>
      </c>
      <c r="AX114" s="369">
        <f t="shared" si="94"/>
        <v>0</v>
      </c>
      <c r="AY114" s="369">
        <f t="shared" si="94"/>
        <v>0</v>
      </c>
      <c r="AZ114" s="369">
        <f t="shared" si="94"/>
        <v>0</v>
      </c>
      <c r="BA114" s="369">
        <f t="shared" si="94"/>
        <v>0</v>
      </c>
      <c r="BB114" s="370">
        <f t="shared" si="94"/>
        <v>0</v>
      </c>
    </row>
    <row r="115" spans="1:54" hidden="1" outlineLevel="2" x14ac:dyDescent="0.2">
      <c r="B115" s="468"/>
      <c r="C115" s="209" t="str">
        <f>INDEX(MBSIncCalc,C111,2)</f>
        <v/>
      </c>
      <c r="E115" s="56" t="s">
        <v>1297</v>
      </c>
      <c r="F115" s="57">
        <f t="shared" ref="F115" si="95">IF(INDEX(MBSIncRate,$C111,2)=2,IFERROR(INDEX(PBSScriptsNew,$C115,F112),0),IFERROR(INDEX(MBSPBSInc,$C111,INDEX(MBSIncRate,$C111,3)*7+F112),0) * IFERROR(INDEX(MBSIncPopSplit,$C111),0)) * INDEX(MBSIncRate,$C111,1) * INDEX(MBSIncRate,$C111,4)</f>
        <v>0</v>
      </c>
      <c r="G115" s="57">
        <f t="shared" ref="G115:K115" si="96">IF(INDEX(MBSIncRate,$C111,2)=2,IFERROR(INDEX(PBSScriptsNew,$C115,G112),0),IFERROR(INDEX(MBSPBSInc,$C111,INDEX(MBSIncRate,$C111,3)*7+G112),0) * IFERROR(INDEX(MBSIncPopSplit,$C111),0)) * INDEX(MBSIncRate,$C111,1) * INDEX(MBSIncRate,$C111,4)</f>
        <v>0</v>
      </c>
      <c r="H115" s="57">
        <f t="shared" si="96"/>
        <v>0</v>
      </c>
      <c r="I115" s="57">
        <f t="shared" si="96"/>
        <v>0</v>
      </c>
      <c r="J115" s="57">
        <f t="shared" si="96"/>
        <v>0</v>
      </c>
      <c r="K115" s="57">
        <f t="shared" si="96"/>
        <v>0</v>
      </c>
      <c r="O115" s="463"/>
      <c r="P115" s="463"/>
      <c r="Q115" s="472"/>
      <c r="R115" s="472"/>
      <c r="S115" s="472"/>
      <c r="T115" s="472"/>
      <c r="U115" s="472"/>
      <c r="V115" s="472"/>
      <c r="X115" s="402">
        <f>X114</f>
        <v>0</v>
      </c>
      <c r="Y115" s="402">
        <f>Y114+1</f>
        <v>2027</v>
      </c>
      <c r="Z115" s="401">
        <f>IF(G115&lt;&gt;0,G115-G117,0)</f>
        <v>0</v>
      </c>
      <c r="AA115" s="401">
        <f>IF(G123&lt;&gt;0,G123-G125,0)</f>
        <v>0</v>
      </c>
      <c r="AH115" s="371">
        <v>2</v>
      </c>
      <c r="AI115" s="369">
        <f t="shared" si="92"/>
        <v>0</v>
      </c>
      <c r="AJ115" s="369">
        <f t="shared" si="92"/>
        <v>0</v>
      </c>
      <c r="AK115" s="369">
        <f t="shared" si="92"/>
        <v>0</v>
      </c>
      <c r="AL115" s="369">
        <f t="shared" si="92"/>
        <v>0</v>
      </c>
      <c r="AM115" s="369">
        <f t="shared" si="92"/>
        <v>0</v>
      </c>
      <c r="AN115" s="370">
        <f t="shared" si="92"/>
        <v>0</v>
      </c>
      <c r="AO115" s="509"/>
      <c r="AP115" s="369">
        <f t="shared" si="93"/>
        <v>0</v>
      </c>
      <c r="AQ115" s="369">
        <f t="shared" si="93"/>
        <v>0</v>
      </c>
      <c r="AR115" s="369">
        <f t="shared" si="93"/>
        <v>0</v>
      </c>
      <c r="AS115" s="369">
        <f t="shared" si="93"/>
        <v>0</v>
      </c>
      <c r="AT115" s="369">
        <f t="shared" si="93"/>
        <v>0</v>
      </c>
      <c r="AU115" s="512">
        <f t="shared" si="93"/>
        <v>0</v>
      </c>
      <c r="AV115" s="371"/>
      <c r="AW115" s="369">
        <f t="shared" si="94"/>
        <v>0</v>
      </c>
      <c r="AX115" s="369">
        <f t="shared" si="94"/>
        <v>0</v>
      </c>
      <c r="AY115" s="369">
        <f t="shared" si="94"/>
        <v>0</v>
      </c>
      <c r="AZ115" s="369">
        <f t="shared" si="94"/>
        <v>0</v>
      </c>
      <c r="BA115" s="369">
        <f t="shared" si="94"/>
        <v>0</v>
      </c>
      <c r="BB115" s="370">
        <f t="shared" si="94"/>
        <v>0</v>
      </c>
    </row>
    <row r="116" spans="1:54" hidden="1" outlineLevel="2" x14ac:dyDescent="0.2">
      <c r="B116" s="209">
        <v>5</v>
      </c>
      <c r="C116" s="209">
        <v>6</v>
      </c>
      <c r="E116" s="358" t="s">
        <v>1294</v>
      </c>
      <c r="F116" s="57" t="str">
        <f t="shared" ref="F116:K116" si="97">IFERROR(F115*INDEX(MBSIncItems,$C111,$B116)*INDEX(MBSIncItems,$C111,$C116),"")</f>
        <v/>
      </c>
      <c r="G116" s="57" t="str">
        <f t="shared" si="97"/>
        <v/>
      </c>
      <c r="H116" s="57" t="str">
        <f t="shared" si="97"/>
        <v/>
      </c>
      <c r="I116" s="57" t="str">
        <f t="shared" si="97"/>
        <v/>
      </c>
      <c r="J116" s="57" t="str">
        <f t="shared" si="97"/>
        <v/>
      </c>
      <c r="K116" s="57" t="str">
        <f t="shared" si="97"/>
        <v/>
      </c>
      <c r="O116" s="473"/>
      <c r="P116" s="514"/>
      <c r="Q116" s="472"/>
      <c r="R116" s="472"/>
      <c r="S116" s="472"/>
      <c r="T116" s="472"/>
      <c r="U116" s="472"/>
      <c r="V116" s="472"/>
      <c r="X116" s="402">
        <f t="shared" ref="X116:X119" si="98">X115</f>
        <v>0</v>
      </c>
      <c r="Y116" s="402">
        <f>Y115+1</f>
        <v>2028</v>
      </c>
      <c r="Z116" s="401">
        <f>IF(H115&lt;&gt;0,H115-H117,0)</f>
        <v>0</v>
      </c>
      <c r="AA116" s="401">
        <f>IF(H123&lt;&gt;0,H123-H125,0)</f>
        <v>0</v>
      </c>
      <c r="AH116" s="371">
        <v>3</v>
      </c>
      <c r="AI116" s="369">
        <f t="shared" si="92"/>
        <v>0</v>
      </c>
      <c r="AJ116" s="369">
        <f t="shared" si="92"/>
        <v>0</v>
      </c>
      <c r="AK116" s="369">
        <f t="shared" si="92"/>
        <v>0</v>
      </c>
      <c r="AL116" s="369">
        <f t="shared" si="92"/>
        <v>0</v>
      </c>
      <c r="AM116" s="369">
        <f t="shared" si="92"/>
        <v>0</v>
      </c>
      <c r="AN116" s="370">
        <f t="shared" si="92"/>
        <v>0</v>
      </c>
      <c r="AO116" s="509"/>
      <c r="AP116" s="369">
        <f t="shared" si="93"/>
        <v>0</v>
      </c>
      <c r="AQ116" s="369">
        <f t="shared" si="93"/>
        <v>0</v>
      </c>
      <c r="AR116" s="369">
        <f t="shared" si="93"/>
        <v>0</v>
      </c>
      <c r="AS116" s="369">
        <f t="shared" si="93"/>
        <v>0</v>
      </c>
      <c r="AT116" s="369">
        <f t="shared" si="93"/>
        <v>0</v>
      </c>
      <c r="AU116" s="512">
        <f t="shared" si="93"/>
        <v>0</v>
      </c>
      <c r="AV116" s="371"/>
      <c r="AW116" s="369">
        <f t="shared" si="94"/>
        <v>0</v>
      </c>
      <c r="AX116" s="369">
        <f t="shared" si="94"/>
        <v>0</v>
      </c>
      <c r="AY116" s="369">
        <f t="shared" si="94"/>
        <v>0</v>
      </c>
      <c r="AZ116" s="369">
        <f t="shared" si="94"/>
        <v>0</v>
      </c>
      <c r="BA116" s="369">
        <f t="shared" si="94"/>
        <v>0</v>
      </c>
      <c r="BB116" s="370">
        <f t="shared" si="94"/>
        <v>0</v>
      </c>
    </row>
    <row r="117" spans="1:54" hidden="1" outlineLevel="2" x14ac:dyDescent="0.2">
      <c r="A117"/>
      <c r="B117" s="209">
        <v>4</v>
      </c>
      <c r="C117" s="209">
        <v>6</v>
      </c>
      <c r="E117" s="358" t="s">
        <v>1293</v>
      </c>
      <c r="F117" s="57" t="str">
        <f t="shared" ref="F117:K117" si="99">IFERROR(F115*INDEX(MBSIncItems,$C111,$B117)*INDEX(MBSIncItems,$C111,$C117),"")</f>
        <v/>
      </c>
      <c r="G117" s="57" t="str">
        <f t="shared" si="99"/>
        <v/>
      </c>
      <c r="H117" s="57" t="str">
        <f t="shared" si="99"/>
        <v/>
      </c>
      <c r="I117" s="57" t="str">
        <f t="shared" si="99"/>
        <v/>
      </c>
      <c r="J117" s="57" t="str">
        <f t="shared" si="99"/>
        <v/>
      </c>
      <c r="K117" s="57" t="str">
        <f t="shared" si="99"/>
        <v/>
      </c>
      <c r="L117"/>
      <c r="M117"/>
      <c r="N117"/>
      <c r="O117"/>
      <c r="P117"/>
      <c r="Q117"/>
      <c r="R117"/>
      <c r="S117"/>
      <c r="T117"/>
      <c r="U117"/>
      <c r="V117"/>
      <c r="X117" s="402">
        <f t="shared" si="98"/>
        <v>0</v>
      </c>
      <c r="Y117" s="402">
        <f>Y116+1</f>
        <v>2029</v>
      </c>
      <c r="Z117" s="401">
        <f>IF(I115&lt;&gt;0,I115-I117,0)</f>
        <v>0</v>
      </c>
      <c r="AA117" s="401">
        <f>IF(I123&lt;&gt;0,I123-I125,0)</f>
        <v>0</v>
      </c>
      <c r="AH117" s="371">
        <v>4</v>
      </c>
      <c r="AI117" s="369">
        <f t="shared" si="92"/>
        <v>0</v>
      </c>
      <c r="AJ117" s="369">
        <f t="shared" si="92"/>
        <v>0</v>
      </c>
      <c r="AK117" s="369">
        <f t="shared" si="92"/>
        <v>0</v>
      </c>
      <c r="AL117" s="369">
        <f t="shared" si="92"/>
        <v>0</v>
      </c>
      <c r="AM117" s="369">
        <f t="shared" si="92"/>
        <v>0</v>
      </c>
      <c r="AN117" s="370">
        <f t="shared" si="92"/>
        <v>0</v>
      </c>
      <c r="AO117" s="509"/>
      <c r="AP117" s="369">
        <f t="shared" si="93"/>
        <v>0</v>
      </c>
      <c r="AQ117" s="369">
        <f t="shared" si="93"/>
        <v>0</v>
      </c>
      <c r="AR117" s="369">
        <f t="shared" si="93"/>
        <v>0</v>
      </c>
      <c r="AS117" s="369">
        <f t="shared" si="93"/>
        <v>0</v>
      </c>
      <c r="AT117" s="369">
        <f t="shared" si="93"/>
        <v>0</v>
      </c>
      <c r="AU117" s="512">
        <f t="shared" si="93"/>
        <v>0</v>
      </c>
      <c r="AV117" s="371"/>
      <c r="AW117" s="369">
        <f t="shared" ref="AW117:BB123" si="100">AI117+AP117</f>
        <v>0</v>
      </c>
      <c r="AX117" s="369">
        <f t="shared" si="100"/>
        <v>0</v>
      </c>
      <c r="AY117" s="369">
        <f t="shared" si="100"/>
        <v>0</v>
      </c>
      <c r="AZ117" s="369">
        <f t="shared" si="100"/>
        <v>0</v>
      </c>
      <c r="BA117" s="369">
        <f t="shared" si="100"/>
        <v>0</v>
      </c>
      <c r="BB117" s="370">
        <f t="shared" si="100"/>
        <v>0</v>
      </c>
    </row>
    <row r="118" spans="1:54" hidden="1" outlineLevel="2" x14ac:dyDescent="0.2">
      <c r="B118" s="209"/>
      <c r="C118" s="209">
        <v>7</v>
      </c>
      <c r="E118" s="359" t="s">
        <v>1295</v>
      </c>
      <c r="F118" s="57" t="str">
        <f t="shared" ref="F118:K118" si="101">IFERROR(F115*INDEX(MBSIncItems,$C111,$C118),"")</f>
        <v/>
      </c>
      <c r="G118" s="57" t="str">
        <f t="shared" si="101"/>
        <v/>
      </c>
      <c r="H118" s="57" t="str">
        <f t="shared" si="101"/>
        <v/>
      </c>
      <c r="I118" s="57" t="str">
        <f t="shared" si="101"/>
        <v/>
      </c>
      <c r="J118" s="57" t="str">
        <f t="shared" si="101"/>
        <v/>
      </c>
      <c r="K118" s="57" t="str">
        <f t="shared" si="101"/>
        <v/>
      </c>
      <c r="O118" s="473"/>
      <c r="P118" s="514"/>
      <c r="Q118" s="472"/>
      <c r="R118" s="472"/>
      <c r="S118" s="472"/>
      <c r="T118" s="472"/>
      <c r="U118" s="472"/>
      <c r="V118" s="472"/>
      <c r="X118" s="402">
        <f t="shared" si="98"/>
        <v>0</v>
      </c>
      <c r="Y118" s="402">
        <f>Y117+1</f>
        <v>2030</v>
      </c>
      <c r="Z118" s="401">
        <f>IF(J115&lt;&gt;0,J115-J117,0)</f>
        <v>0</v>
      </c>
      <c r="AA118" s="401">
        <f>IF(J123&lt;&gt;0,J123-J125,0)</f>
        <v>0</v>
      </c>
      <c r="AH118" s="371">
        <v>5</v>
      </c>
      <c r="AI118" s="369">
        <f t="shared" si="92"/>
        <v>0</v>
      </c>
      <c r="AJ118" s="369">
        <f t="shared" si="92"/>
        <v>0</v>
      </c>
      <c r="AK118" s="369">
        <f t="shared" si="92"/>
        <v>0</v>
      </c>
      <c r="AL118" s="369">
        <f t="shared" si="92"/>
        <v>0</v>
      </c>
      <c r="AM118" s="369">
        <f t="shared" si="92"/>
        <v>0</v>
      </c>
      <c r="AN118" s="370">
        <f t="shared" si="92"/>
        <v>0</v>
      </c>
      <c r="AO118" s="509"/>
      <c r="AP118" s="369">
        <f t="shared" si="93"/>
        <v>0</v>
      </c>
      <c r="AQ118" s="369">
        <f t="shared" si="93"/>
        <v>0</v>
      </c>
      <c r="AR118" s="369">
        <f t="shared" si="93"/>
        <v>0</v>
      </c>
      <c r="AS118" s="369">
        <f t="shared" si="93"/>
        <v>0</v>
      </c>
      <c r="AT118" s="369">
        <f t="shared" si="93"/>
        <v>0</v>
      </c>
      <c r="AU118" s="512">
        <f t="shared" si="93"/>
        <v>0</v>
      </c>
      <c r="AV118" s="371"/>
      <c r="AW118" s="369">
        <f t="shared" si="100"/>
        <v>0</v>
      </c>
      <c r="AX118" s="369">
        <f t="shared" si="100"/>
        <v>0</v>
      </c>
      <c r="AY118" s="369">
        <f t="shared" si="100"/>
        <v>0</v>
      </c>
      <c r="AZ118" s="369">
        <f t="shared" si="100"/>
        <v>0</v>
      </c>
      <c r="BA118" s="369">
        <f t="shared" si="100"/>
        <v>0</v>
      </c>
      <c r="BB118" s="370">
        <f t="shared" si="100"/>
        <v>0</v>
      </c>
    </row>
    <row r="119" spans="1:54" hidden="1" outlineLevel="2" x14ac:dyDescent="0.2">
      <c r="O119" s="473"/>
      <c r="P119" s="473"/>
      <c r="Q119" s="472"/>
      <c r="R119" s="472"/>
      <c r="S119" s="472"/>
      <c r="T119" s="472"/>
      <c r="U119" s="472"/>
      <c r="V119" s="472"/>
      <c r="X119" s="402">
        <f t="shared" si="98"/>
        <v>0</v>
      </c>
      <c r="Y119" s="402">
        <f>Y118+1</f>
        <v>2031</v>
      </c>
      <c r="Z119" s="401">
        <f>IF(K115&lt;&gt;0,K115-K117,0)</f>
        <v>0</v>
      </c>
      <c r="AA119" s="401">
        <f>IF(K123&lt;&gt;0,K123-K125,0)</f>
        <v>0</v>
      </c>
      <c r="AB119" s="469"/>
      <c r="AH119" s="371">
        <v>6</v>
      </c>
      <c r="AI119" s="369">
        <f t="shared" si="92"/>
        <v>0</v>
      </c>
      <c r="AJ119" s="369">
        <f t="shared" si="92"/>
        <v>0</v>
      </c>
      <c r="AK119" s="369">
        <f t="shared" si="92"/>
        <v>0</v>
      </c>
      <c r="AL119" s="369">
        <f t="shared" si="92"/>
        <v>0</v>
      </c>
      <c r="AM119" s="369">
        <f t="shared" si="92"/>
        <v>0</v>
      </c>
      <c r="AN119" s="370">
        <f t="shared" si="92"/>
        <v>0</v>
      </c>
      <c r="AO119" s="509"/>
      <c r="AP119" s="369">
        <f t="shared" si="93"/>
        <v>0</v>
      </c>
      <c r="AQ119" s="369">
        <f t="shared" si="93"/>
        <v>0</v>
      </c>
      <c r="AR119" s="369">
        <f t="shared" si="93"/>
        <v>0</v>
      </c>
      <c r="AS119" s="369">
        <f t="shared" si="93"/>
        <v>0</v>
      </c>
      <c r="AT119" s="369">
        <f t="shared" si="93"/>
        <v>0</v>
      </c>
      <c r="AU119" s="512">
        <f t="shared" si="93"/>
        <v>0</v>
      </c>
      <c r="AV119" s="371"/>
      <c r="AW119" s="369">
        <f t="shared" ref="AW119" si="102">AI119+AP119</f>
        <v>0</v>
      </c>
      <c r="AX119" s="369">
        <f t="shared" ref="AX119" si="103">AJ119+AQ119</f>
        <v>0</v>
      </c>
      <c r="AY119" s="369">
        <f t="shared" ref="AY119" si="104">AK119+AR119</f>
        <v>0</v>
      </c>
      <c r="AZ119" s="369">
        <f t="shared" ref="AZ119" si="105">AL119+AS119</f>
        <v>0</v>
      </c>
      <c r="BA119" s="369">
        <f t="shared" ref="BA119" si="106">AM119+AT119</f>
        <v>0</v>
      </c>
      <c r="BB119" s="370">
        <f t="shared" ref="BB119" si="107">AN119+AU119</f>
        <v>0</v>
      </c>
    </row>
    <row r="120" spans="1:54" hidden="1" outlineLevel="2" x14ac:dyDescent="0.2">
      <c r="D120" s="360"/>
      <c r="E120" s="360"/>
      <c r="F120" s="357">
        <v>2</v>
      </c>
      <c r="G120" s="357">
        <v>3</v>
      </c>
      <c r="H120" s="357">
        <v>4</v>
      </c>
      <c r="I120" s="357">
        <v>5</v>
      </c>
      <c r="J120" s="357">
        <v>6</v>
      </c>
      <c r="K120" s="357">
        <v>7</v>
      </c>
      <c r="N120" s="360"/>
      <c r="O120" s="360"/>
      <c r="P120" s="360"/>
      <c r="AH120" s="371">
        <v>7</v>
      </c>
      <c r="AI120" s="369">
        <f t="shared" si="92"/>
        <v>0</v>
      </c>
      <c r="AJ120" s="369">
        <f t="shared" si="92"/>
        <v>0</v>
      </c>
      <c r="AK120" s="369">
        <f t="shared" si="92"/>
        <v>0</v>
      </c>
      <c r="AL120" s="369">
        <f t="shared" si="92"/>
        <v>0</v>
      </c>
      <c r="AM120" s="369">
        <f t="shared" si="92"/>
        <v>0</v>
      </c>
      <c r="AN120" s="370">
        <f t="shared" si="92"/>
        <v>0</v>
      </c>
      <c r="AO120" s="509"/>
      <c r="AP120" s="369">
        <f t="shared" si="93"/>
        <v>0</v>
      </c>
      <c r="AQ120" s="369">
        <f t="shared" si="93"/>
        <v>0</v>
      </c>
      <c r="AR120" s="369">
        <f t="shared" si="93"/>
        <v>0</v>
      </c>
      <c r="AS120" s="369">
        <f t="shared" si="93"/>
        <v>0</v>
      </c>
      <c r="AT120" s="369">
        <f t="shared" si="93"/>
        <v>0</v>
      </c>
      <c r="AU120" s="512">
        <f t="shared" si="93"/>
        <v>0</v>
      </c>
      <c r="AV120" s="371"/>
      <c r="AW120" s="369">
        <f t="shared" si="100"/>
        <v>0</v>
      </c>
      <c r="AX120" s="369">
        <f t="shared" si="100"/>
        <v>0</v>
      </c>
      <c r="AY120" s="369">
        <f t="shared" si="100"/>
        <v>0</v>
      </c>
      <c r="AZ120" s="369">
        <f t="shared" si="100"/>
        <v>0</v>
      </c>
      <c r="BA120" s="369">
        <f t="shared" si="100"/>
        <v>0</v>
      </c>
      <c r="BB120" s="370">
        <f t="shared" si="100"/>
        <v>0</v>
      </c>
    </row>
    <row r="121" spans="1:54" ht="15.75" hidden="1" outlineLevel="2" x14ac:dyDescent="0.2">
      <c r="D121" s="462" t="s">
        <v>1</v>
      </c>
      <c r="E121" s="462"/>
      <c r="F121" s="74">
        <f>FirstYear</f>
        <v>2026</v>
      </c>
      <c r="G121" s="74">
        <f>F121+1</f>
        <v>2027</v>
      </c>
      <c r="H121" s="74">
        <f>G121+1</f>
        <v>2028</v>
      </c>
      <c r="I121" s="74">
        <f>H121+1</f>
        <v>2029</v>
      </c>
      <c r="J121" s="74">
        <f>I121+1</f>
        <v>2030</v>
      </c>
      <c r="K121" s="74">
        <f>J121+1</f>
        <v>2031</v>
      </c>
      <c r="N121" s="466"/>
      <c r="O121" s="466"/>
      <c r="P121" s="466"/>
      <c r="AH121" s="371">
        <v>8</v>
      </c>
      <c r="AI121" s="369">
        <f t="shared" si="92"/>
        <v>0</v>
      </c>
      <c r="AJ121" s="369">
        <f t="shared" si="92"/>
        <v>0</v>
      </c>
      <c r="AK121" s="369">
        <f t="shared" si="92"/>
        <v>0</v>
      </c>
      <c r="AL121" s="369">
        <f t="shared" si="92"/>
        <v>0</v>
      </c>
      <c r="AM121" s="369">
        <f t="shared" si="92"/>
        <v>0</v>
      </c>
      <c r="AN121" s="370">
        <f t="shared" si="92"/>
        <v>0</v>
      </c>
      <c r="AO121" s="509"/>
      <c r="AP121" s="369">
        <f t="shared" si="93"/>
        <v>0</v>
      </c>
      <c r="AQ121" s="369">
        <f t="shared" si="93"/>
        <v>0</v>
      </c>
      <c r="AR121" s="369">
        <f t="shared" si="93"/>
        <v>0</v>
      </c>
      <c r="AS121" s="369">
        <f t="shared" si="93"/>
        <v>0</v>
      </c>
      <c r="AT121" s="369">
        <f t="shared" si="93"/>
        <v>0</v>
      </c>
      <c r="AU121" s="512">
        <f t="shared" si="93"/>
        <v>0</v>
      </c>
      <c r="AV121" s="371"/>
      <c r="AW121" s="369">
        <f t="shared" si="100"/>
        <v>0</v>
      </c>
      <c r="AX121" s="369">
        <f t="shared" si="100"/>
        <v>0</v>
      </c>
      <c r="AY121" s="369">
        <f t="shared" si="100"/>
        <v>0</v>
      </c>
      <c r="AZ121" s="369">
        <f t="shared" si="100"/>
        <v>0</v>
      </c>
      <c r="BA121" s="369">
        <f t="shared" si="100"/>
        <v>0</v>
      </c>
      <c r="BB121" s="370">
        <f t="shared" si="100"/>
        <v>0</v>
      </c>
    </row>
    <row r="122" spans="1:54" hidden="1" outlineLevel="2" x14ac:dyDescent="0.2">
      <c r="E122" s="82" t="s">
        <v>938</v>
      </c>
      <c r="F122" s="239">
        <f t="shared" ref="F122:K122" si="108">F123*INDEX(MBSIncCalc,$C111,3)</f>
        <v>0</v>
      </c>
      <c r="G122" s="239">
        <f t="shared" si="108"/>
        <v>0</v>
      </c>
      <c r="H122" s="239">
        <f t="shared" si="108"/>
        <v>0</v>
      </c>
      <c r="I122" s="239">
        <f t="shared" si="108"/>
        <v>0</v>
      </c>
      <c r="J122" s="239">
        <f t="shared" si="108"/>
        <v>0</v>
      </c>
      <c r="K122" s="239">
        <f t="shared" si="108"/>
        <v>0</v>
      </c>
      <c r="M122"/>
      <c r="N122"/>
      <c r="O122" s="360"/>
      <c r="P122" s="360"/>
      <c r="AH122" s="371">
        <v>9</v>
      </c>
      <c r="AI122" s="369">
        <f t="shared" si="92"/>
        <v>0</v>
      </c>
      <c r="AJ122" s="369">
        <f t="shared" si="92"/>
        <v>0</v>
      </c>
      <c r="AK122" s="369">
        <f t="shared" si="92"/>
        <v>0</v>
      </c>
      <c r="AL122" s="369">
        <f t="shared" si="92"/>
        <v>0</v>
      </c>
      <c r="AM122" s="369">
        <f t="shared" si="92"/>
        <v>0</v>
      </c>
      <c r="AN122" s="370">
        <f t="shared" si="92"/>
        <v>0</v>
      </c>
      <c r="AO122" s="509"/>
      <c r="AP122" s="369">
        <f t="shared" si="93"/>
        <v>0</v>
      </c>
      <c r="AQ122" s="369">
        <f t="shared" si="93"/>
        <v>0</v>
      </c>
      <c r="AR122" s="369">
        <f t="shared" si="93"/>
        <v>0</v>
      </c>
      <c r="AS122" s="369">
        <f t="shared" si="93"/>
        <v>0</v>
      </c>
      <c r="AT122" s="369">
        <f t="shared" si="93"/>
        <v>0</v>
      </c>
      <c r="AU122" s="512">
        <f t="shared" si="93"/>
        <v>0</v>
      </c>
      <c r="AV122" s="371"/>
      <c r="AW122" s="369">
        <f t="shared" si="100"/>
        <v>0</v>
      </c>
      <c r="AX122" s="369">
        <f t="shared" si="100"/>
        <v>0</v>
      </c>
      <c r="AY122" s="369">
        <f t="shared" si="100"/>
        <v>0</v>
      </c>
      <c r="AZ122" s="369">
        <f t="shared" si="100"/>
        <v>0</v>
      </c>
      <c r="BA122" s="369">
        <f t="shared" si="100"/>
        <v>0</v>
      </c>
      <c r="BB122" s="370">
        <f t="shared" si="100"/>
        <v>0</v>
      </c>
    </row>
    <row r="123" spans="1:54" hidden="1" outlineLevel="2" x14ac:dyDescent="0.2">
      <c r="B123" s="468"/>
      <c r="C123" s="209" t="str">
        <f>C115</f>
        <v/>
      </c>
      <c r="E123" s="56" t="s">
        <v>1297</v>
      </c>
      <c r="F123" s="57">
        <f t="shared" ref="F123" si="109">IF(INDEX(MBSIncRate,$C111,2)=2,IFERROR(INDEX(RPBSScriptsNew,$C123,F120),0),IFERROR(INDEX(MBSRPBSInc,$C111,INDEX(MBSIncRate,$C111,3)*7+F120),0) * IFERROR(INDEX(MBSIncPopSplit,$C111),0)) * INDEX(MBSIncRate,$C111,1) * INDEX(MBSIncRate,$C111,4)</f>
        <v>0</v>
      </c>
      <c r="G123" s="57">
        <f t="shared" ref="G123:K123" si="110">IF(INDEX(MBSIncRate,$C111,2)=2,IFERROR(INDEX(RPBSScriptsNew,$C123,G120),0),IFERROR(INDEX(MBSRPBSInc,$C111,INDEX(MBSIncRate,$C111,3)*7+G120),0) * IFERROR(INDEX(MBSIncPopSplit,$C111),0)) * INDEX(MBSIncRate,$C111,1) * INDEX(MBSIncRate,$C111,4)</f>
        <v>0</v>
      </c>
      <c r="H123" s="57">
        <f t="shared" si="110"/>
        <v>0</v>
      </c>
      <c r="I123" s="57">
        <f t="shared" si="110"/>
        <v>0</v>
      </c>
      <c r="J123" s="57">
        <f t="shared" si="110"/>
        <v>0</v>
      </c>
      <c r="K123" s="57">
        <f t="shared" si="110"/>
        <v>0</v>
      </c>
      <c r="N123" s="344"/>
      <c r="O123" s="360"/>
      <c r="P123" s="360"/>
      <c r="AH123" s="371">
        <v>10</v>
      </c>
      <c r="AI123" s="369">
        <f t="shared" si="92"/>
        <v>0</v>
      </c>
      <c r="AJ123" s="369">
        <f t="shared" si="92"/>
        <v>0</v>
      </c>
      <c r="AK123" s="369">
        <f t="shared" si="92"/>
        <v>0</v>
      </c>
      <c r="AL123" s="369">
        <f t="shared" si="92"/>
        <v>0</v>
      </c>
      <c r="AM123" s="369">
        <f t="shared" si="92"/>
        <v>0</v>
      </c>
      <c r="AN123" s="370">
        <f t="shared" si="92"/>
        <v>0</v>
      </c>
      <c r="AO123" s="509"/>
      <c r="AP123" s="369">
        <f t="shared" si="93"/>
        <v>0</v>
      </c>
      <c r="AQ123" s="369">
        <f t="shared" si="93"/>
        <v>0</v>
      </c>
      <c r="AR123" s="369">
        <f t="shared" si="93"/>
        <v>0</v>
      </c>
      <c r="AS123" s="369">
        <f t="shared" si="93"/>
        <v>0</v>
      </c>
      <c r="AT123" s="369">
        <f t="shared" si="93"/>
        <v>0</v>
      </c>
      <c r="AU123" s="512">
        <f t="shared" si="93"/>
        <v>0</v>
      </c>
      <c r="AV123" s="371"/>
      <c r="AW123" s="369">
        <f t="shared" si="100"/>
        <v>0</v>
      </c>
      <c r="AX123" s="369">
        <f t="shared" si="100"/>
        <v>0</v>
      </c>
      <c r="AY123" s="369">
        <f t="shared" si="100"/>
        <v>0</v>
      </c>
      <c r="AZ123" s="369">
        <f t="shared" si="100"/>
        <v>0</v>
      </c>
      <c r="BA123" s="369">
        <f t="shared" si="100"/>
        <v>0</v>
      </c>
      <c r="BB123" s="370">
        <f t="shared" si="100"/>
        <v>0</v>
      </c>
    </row>
    <row r="124" spans="1:54" hidden="1" outlineLevel="2" x14ac:dyDescent="0.2">
      <c r="B124" s="209">
        <v>5</v>
      </c>
      <c r="C124" s="209">
        <v>6</v>
      </c>
      <c r="E124" s="358" t="s">
        <v>1294</v>
      </c>
      <c r="F124" s="57" t="str">
        <f t="shared" ref="F124:K124" si="111">IFERROR(F123*INDEX(MBSIncItems,$C111,$B124)*INDEX(MBSIncItems,$C111,$C124),"")</f>
        <v/>
      </c>
      <c r="G124" s="57" t="str">
        <f t="shared" si="111"/>
        <v/>
      </c>
      <c r="H124" s="57" t="str">
        <f t="shared" si="111"/>
        <v/>
      </c>
      <c r="I124" s="57" t="str">
        <f t="shared" si="111"/>
        <v/>
      </c>
      <c r="J124" s="57" t="str">
        <f t="shared" si="111"/>
        <v/>
      </c>
      <c r="K124" s="57" t="str">
        <f t="shared" si="111"/>
        <v/>
      </c>
      <c r="M124" s="474"/>
      <c r="N124" s="344"/>
      <c r="O124" s="360"/>
      <c r="P124" s="360"/>
      <c r="AH124" s="371">
        <v>11</v>
      </c>
      <c r="AI124" s="369">
        <f t="shared" ref="AI124:AN133" si="112">IF(OR(ScriptSourceCode=1,ScriptSourceCode=3),IF($AG73&lt;&gt;0,ROUND(AI73*INDEX(PxTxPhase1Adj,$AG73,9),0),0),0)</f>
        <v>0</v>
      </c>
      <c r="AJ124" s="369">
        <f t="shared" si="112"/>
        <v>0</v>
      </c>
      <c r="AK124" s="369">
        <f t="shared" si="112"/>
        <v>0</v>
      </c>
      <c r="AL124" s="369">
        <f t="shared" si="112"/>
        <v>0</v>
      </c>
      <c r="AM124" s="369">
        <f t="shared" si="112"/>
        <v>0</v>
      </c>
      <c r="AN124" s="370">
        <f t="shared" si="112"/>
        <v>0</v>
      </c>
      <c r="AO124" s="509"/>
      <c r="AP124" s="369">
        <f t="shared" ref="AP124:AU133" si="113">IF(OR(ScriptSourceCode=1,ScriptSourceCode=3),IF($AG73&lt;&gt;0,ROUND(AP73*INDEX(PxTxPhase1Adj,$AG73,9),0),0),0)</f>
        <v>0</v>
      </c>
      <c r="AQ124" s="369">
        <f t="shared" si="113"/>
        <v>0</v>
      </c>
      <c r="AR124" s="369">
        <f t="shared" si="113"/>
        <v>0</v>
      </c>
      <c r="AS124" s="369">
        <f t="shared" si="113"/>
        <v>0</v>
      </c>
      <c r="AT124" s="369">
        <f t="shared" si="113"/>
        <v>0</v>
      </c>
      <c r="AU124" s="512">
        <f t="shared" si="113"/>
        <v>0</v>
      </c>
      <c r="AV124" s="371"/>
      <c r="AW124" s="369">
        <f t="shared" ref="AW124:AW133" si="114">AI124+AP124</f>
        <v>0</v>
      </c>
      <c r="AX124" s="369">
        <f t="shared" ref="AX124:AX133" si="115">AJ124+AQ124</f>
        <v>0</v>
      </c>
      <c r="AY124" s="369">
        <f t="shared" ref="AY124:AY133" si="116">AK124+AR124</f>
        <v>0</v>
      </c>
      <c r="AZ124" s="369">
        <f t="shared" ref="AZ124:AZ133" si="117">AL124+AS124</f>
        <v>0</v>
      </c>
      <c r="BA124" s="369">
        <f t="shared" ref="BA124:BA133" si="118">AM124+AT124</f>
        <v>0</v>
      </c>
      <c r="BB124" s="370">
        <f t="shared" ref="BB124:BB133" si="119">AN124+AU124</f>
        <v>0</v>
      </c>
    </row>
    <row r="125" spans="1:54" hidden="1" outlineLevel="2" x14ac:dyDescent="0.2">
      <c r="B125" s="209">
        <v>4</v>
      </c>
      <c r="C125" s="209">
        <v>6</v>
      </c>
      <c r="E125" s="358" t="s">
        <v>1293</v>
      </c>
      <c r="F125" s="57" t="str">
        <f t="shared" ref="F125:K125" si="120">IFERROR(F123*INDEX(MBSIncItems,$C111,$B125)*INDEX(MBSIncItems,$C111,$C125),"")</f>
        <v/>
      </c>
      <c r="G125" s="57" t="str">
        <f t="shared" si="120"/>
        <v/>
      </c>
      <c r="H125" s="57" t="str">
        <f t="shared" si="120"/>
        <v/>
      </c>
      <c r="I125" s="57" t="str">
        <f t="shared" si="120"/>
        <v/>
      </c>
      <c r="J125" s="57" t="str">
        <f t="shared" si="120"/>
        <v/>
      </c>
      <c r="K125" s="57" t="str">
        <f t="shared" si="120"/>
        <v/>
      </c>
      <c r="M125" s="475"/>
      <c r="N125" s="473"/>
      <c r="O125" s="360"/>
      <c r="P125" s="360"/>
      <c r="AH125" s="371">
        <v>12</v>
      </c>
      <c r="AI125" s="369">
        <f t="shared" si="112"/>
        <v>0</v>
      </c>
      <c r="AJ125" s="369">
        <f t="shared" si="112"/>
        <v>0</v>
      </c>
      <c r="AK125" s="369">
        <f t="shared" si="112"/>
        <v>0</v>
      </c>
      <c r="AL125" s="369">
        <f t="shared" si="112"/>
        <v>0</v>
      </c>
      <c r="AM125" s="369">
        <f t="shared" si="112"/>
        <v>0</v>
      </c>
      <c r="AN125" s="370">
        <f t="shared" si="112"/>
        <v>0</v>
      </c>
      <c r="AO125" s="509"/>
      <c r="AP125" s="369">
        <f t="shared" si="113"/>
        <v>0</v>
      </c>
      <c r="AQ125" s="369">
        <f t="shared" si="113"/>
        <v>0</v>
      </c>
      <c r="AR125" s="369">
        <f t="shared" si="113"/>
        <v>0</v>
      </c>
      <c r="AS125" s="369">
        <f t="shared" si="113"/>
        <v>0</v>
      </c>
      <c r="AT125" s="369">
        <f t="shared" si="113"/>
        <v>0</v>
      </c>
      <c r="AU125" s="512">
        <f t="shared" si="113"/>
        <v>0</v>
      </c>
      <c r="AV125" s="371"/>
      <c r="AW125" s="369">
        <f t="shared" si="114"/>
        <v>0</v>
      </c>
      <c r="AX125" s="369">
        <f t="shared" si="115"/>
        <v>0</v>
      </c>
      <c r="AY125" s="369">
        <f t="shared" si="116"/>
        <v>0</v>
      </c>
      <c r="AZ125" s="369">
        <f t="shared" si="117"/>
        <v>0</v>
      </c>
      <c r="BA125" s="369">
        <f t="shared" si="118"/>
        <v>0</v>
      </c>
      <c r="BB125" s="370">
        <f t="shared" si="119"/>
        <v>0</v>
      </c>
    </row>
    <row r="126" spans="1:54" hidden="1" outlineLevel="2" x14ac:dyDescent="0.2">
      <c r="B126" s="209"/>
      <c r="C126" s="209">
        <v>7</v>
      </c>
      <c r="E126" s="359" t="s">
        <v>1295</v>
      </c>
      <c r="F126" s="57" t="str">
        <f t="shared" ref="F126:K126" si="121">IFERROR(F123*INDEX(MBSIncItems,$C111,$C126),"")</f>
        <v/>
      </c>
      <c r="G126" s="57" t="str">
        <f t="shared" si="121"/>
        <v/>
      </c>
      <c r="H126" s="57" t="str">
        <f t="shared" si="121"/>
        <v/>
      </c>
      <c r="I126" s="57" t="str">
        <f t="shared" si="121"/>
        <v/>
      </c>
      <c r="J126" s="57" t="str">
        <f t="shared" si="121"/>
        <v/>
      </c>
      <c r="K126" s="57" t="str">
        <f t="shared" si="121"/>
        <v/>
      </c>
      <c r="M126" s="475"/>
      <c r="N126" s="473"/>
      <c r="O126" s="360"/>
      <c r="P126" s="360"/>
      <c r="AH126" s="371">
        <v>13</v>
      </c>
      <c r="AI126" s="369">
        <f t="shared" si="112"/>
        <v>0</v>
      </c>
      <c r="AJ126" s="369">
        <f t="shared" si="112"/>
        <v>0</v>
      </c>
      <c r="AK126" s="369">
        <f t="shared" si="112"/>
        <v>0</v>
      </c>
      <c r="AL126" s="369">
        <f t="shared" si="112"/>
        <v>0</v>
      </c>
      <c r="AM126" s="369">
        <f t="shared" si="112"/>
        <v>0</v>
      </c>
      <c r="AN126" s="370">
        <f t="shared" si="112"/>
        <v>0</v>
      </c>
      <c r="AO126" s="509"/>
      <c r="AP126" s="369">
        <f t="shared" si="113"/>
        <v>0</v>
      </c>
      <c r="AQ126" s="369">
        <f t="shared" si="113"/>
        <v>0</v>
      </c>
      <c r="AR126" s="369">
        <f t="shared" si="113"/>
        <v>0</v>
      </c>
      <c r="AS126" s="369">
        <f t="shared" si="113"/>
        <v>0</v>
      </c>
      <c r="AT126" s="369">
        <f t="shared" si="113"/>
        <v>0</v>
      </c>
      <c r="AU126" s="512">
        <f t="shared" si="113"/>
        <v>0</v>
      </c>
      <c r="AV126" s="371"/>
      <c r="AW126" s="369">
        <f t="shared" si="114"/>
        <v>0</v>
      </c>
      <c r="AX126" s="369">
        <f t="shared" si="115"/>
        <v>0</v>
      </c>
      <c r="AY126" s="369">
        <f t="shared" si="116"/>
        <v>0</v>
      </c>
      <c r="AZ126" s="369">
        <f t="shared" si="117"/>
        <v>0</v>
      </c>
      <c r="BA126" s="369">
        <f t="shared" si="118"/>
        <v>0</v>
      </c>
      <c r="BB126" s="370">
        <f t="shared" si="119"/>
        <v>0</v>
      </c>
    </row>
    <row r="127" spans="1:54" outlineLevel="1" collapsed="1" x14ac:dyDescent="0.2">
      <c r="N127" s="360"/>
      <c r="O127" s="360"/>
      <c r="P127" s="360"/>
      <c r="AH127" s="371">
        <v>14</v>
      </c>
      <c r="AI127" s="369">
        <f t="shared" si="112"/>
        <v>0</v>
      </c>
      <c r="AJ127" s="369">
        <f t="shared" si="112"/>
        <v>0</v>
      </c>
      <c r="AK127" s="369">
        <f t="shared" si="112"/>
        <v>0</v>
      </c>
      <c r="AL127" s="369">
        <f t="shared" si="112"/>
        <v>0</v>
      </c>
      <c r="AM127" s="369">
        <f t="shared" si="112"/>
        <v>0</v>
      </c>
      <c r="AN127" s="370">
        <f t="shared" si="112"/>
        <v>0</v>
      </c>
      <c r="AO127" s="509"/>
      <c r="AP127" s="369">
        <f t="shared" si="113"/>
        <v>0</v>
      </c>
      <c r="AQ127" s="369">
        <f t="shared" si="113"/>
        <v>0</v>
      </c>
      <c r="AR127" s="369">
        <f t="shared" si="113"/>
        <v>0</v>
      </c>
      <c r="AS127" s="369">
        <f t="shared" si="113"/>
        <v>0</v>
      </c>
      <c r="AT127" s="369">
        <f t="shared" si="113"/>
        <v>0</v>
      </c>
      <c r="AU127" s="512">
        <f t="shared" si="113"/>
        <v>0</v>
      </c>
      <c r="AV127" s="371"/>
      <c r="AW127" s="369">
        <f t="shared" si="114"/>
        <v>0</v>
      </c>
      <c r="AX127" s="369">
        <f t="shared" si="115"/>
        <v>0</v>
      </c>
      <c r="AY127" s="369">
        <f t="shared" si="116"/>
        <v>0</v>
      </c>
      <c r="AZ127" s="369">
        <f t="shared" si="117"/>
        <v>0</v>
      </c>
      <c r="BA127" s="369">
        <f t="shared" si="118"/>
        <v>0</v>
      </c>
      <c r="BB127" s="370">
        <f t="shared" si="119"/>
        <v>0</v>
      </c>
    </row>
    <row r="128" spans="1:54" ht="15.75" outlineLevel="1" collapsed="1" x14ac:dyDescent="0.2">
      <c r="C128" s="209">
        <v>2</v>
      </c>
      <c r="D128" s="72" t="str">
        <f>INDEX(MBSIncNames,C128)</f>
        <v>** NOT USED **</v>
      </c>
      <c r="E128" s="72"/>
      <c r="F128" s="105"/>
      <c r="G128" s="105"/>
      <c r="H128" s="105"/>
      <c r="I128" s="105"/>
      <c r="J128" s="588" t="str">
        <f>IF(D128&lt;&gt;MsgNotUsed,"Co-payment group " &amp; K64,"")</f>
        <v/>
      </c>
      <c r="K128" s="588"/>
      <c r="L128" s="105"/>
      <c r="M128" s="105"/>
      <c r="N128" s="105"/>
      <c r="O128" s="105"/>
      <c r="P128" s="105"/>
      <c r="Q128" s="105"/>
      <c r="R128" s="105"/>
      <c r="S128" s="105"/>
      <c r="T128" s="105"/>
      <c r="U128" s="105"/>
      <c r="V128" s="105"/>
      <c r="AH128" s="371">
        <v>15</v>
      </c>
      <c r="AI128" s="369">
        <f t="shared" si="112"/>
        <v>0</v>
      </c>
      <c r="AJ128" s="369">
        <f t="shared" si="112"/>
        <v>0</v>
      </c>
      <c r="AK128" s="369">
        <f t="shared" si="112"/>
        <v>0</v>
      </c>
      <c r="AL128" s="369">
        <f t="shared" si="112"/>
        <v>0</v>
      </c>
      <c r="AM128" s="369">
        <f t="shared" si="112"/>
        <v>0</v>
      </c>
      <c r="AN128" s="370">
        <f t="shared" si="112"/>
        <v>0</v>
      </c>
      <c r="AO128" s="509"/>
      <c r="AP128" s="369">
        <f t="shared" si="113"/>
        <v>0</v>
      </c>
      <c r="AQ128" s="369">
        <f t="shared" si="113"/>
        <v>0</v>
      </c>
      <c r="AR128" s="369">
        <f t="shared" si="113"/>
        <v>0</v>
      </c>
      <c r="AS128" s="369">
        <f t="shared" si="113"/>
        <v>0</v>
      </c>
      <c r="AT128" s="369">
        <f t="shared" si="113"/>
        <v>0</v>
      </c>
      <c r="AU128" s="512">
        <f t="shared" si="113"/>
        <v>0</v>
      </c>
      <c r="AV128" s="371"/>
      <c r="AW128" s="369">
        <f t="shared" si="114"/>
        <v>0</v>
      </c>
      <c r="AX128" s="369">
        <f t="shared" si="115"/>
        <v>0</v>
      </c>
      <c r="AY128" s="369">
        <f t="shared" si="116"/>
        <v>0</v>
      </c>
      <c r="AZ128" s="369">
        <f t="shared" si="117"/>
        <v>0</v>
      </c>
      <c r="BA128" s="369">
        <f t="shared" si="118"/>
        <v>0</v>
      </c>
      <c r="BB128" s="370">
        <f t="shared" si="119"/>
        <v>0</v>
      </c>
    </row>
    <row r="129" spans="1:54" hidden="1" outlineLevel="2" x14ac:dyDescent="0.2">
      <c r="F129" s="357">
        <v>2</v>
      </c>
      <c r="G129" s="357">
        <v>3</v>
      </c>
      <c r="H129" s="357">
        <v>4</v>
      </c>
      <c r="I129" s="357">
        <v>5</v>
      </c>
      <c r="J129" s="357">
        <v>6</v>
      </c>
      <c r="K129" s="357">
        <v>7</v>
      </c>
      <c r="L129" s="357"/>
      <c r="AH129" s="371">
        <v>16</v>
      </c>
      <c r="AI129" s="369">
        <f t="shared" si="112"/>
        <v>0</v>
      </c>
      <c r="AJ129" s="369">
        <f t="shared" si="112"/>
        <v>0</v>
      </c>
      <c r="AK129" s="369">
        <f t="shared" si="112"/>
        <v>0</v>
      </c>
      <c r="AL129" s="369">
        <f t="shared" si="112"/>
        <v>0</v>
      </c>
      <c r="AM129" s="369">
        <f t="shared" si="112"/>
        <v>0</v>
      </c>
      <c r="AN129" s="370">
        <f t="shared" si="112"/>
        <v>0</v>
      </c>
      <c r="AO129" s="509"/>
      <c r="AP129" s="369">
        <f t="shared" si="113"/>
        <v>0</v>
      </c>
      <c r="AQ129" s="369">
        <f t="shared" si="113"/>
        <v>0</v>
      </c>
      <c r="AR129" s="369">
        <f t="shared" si="113"/>
        <v>0</v>
      </c>
      <c r="AS129" s="369">
        <f t="shared" si="113"/>
        <v>0</v>
      </c>
      <c r="AT129" s="369">
        <f t="shared" si="113"/>
        <v>0</v>
      </c>
      <c r="AU129" s="512">
        <f t="shared" si="113"/>
        <v>0</v>
      </c>
      <c r="AV129" s="371"/>
      <c r="AW129" s="369">
        <f t="shared" si="114"/>
        <v>0</v>
      </c>
      <c r="AX129" s="369">
        <f t="shared" si="115"/>
        <v>0</v>
      </c>
      <c r="AY129" s="369">
        <f t="shared" si="116"/>
        <v>0</v>
      </c>
      <c r="AZ129" s="369">
        <f t="shared" si="117"/>
        <v>0</v>
      </c>
      <c r="BA129" s="369">
        <f t="shared" si="118"/>
        <v>0</v>
      </c>
      <c r="BB129" s="370">
        <f t="shared" si="119"/>
        <v>0</v>
      </c>
    </row>
    <row r="130" spans="1:54" ht="15" hidden="1" outlineLevel="2" x14ac:dyDescent="0.2">
      <c r="D130" s="462" t="s">
        <v>0</v>
      </c>
      <c r="E130" s="462"/>
      <c r="F130" s="74">
        <f>FirstYear</f>
        <v>2026</v>
      </c>
      <c r="G130" s="74">
        <f>F130+1</f>
        <v>2027</v>
      </c>
      <c r="H130" s="74">
        <f>G130+1</f>
        <v>2028</v>
      </c>
      <c r="I130" s="74">
        <f>H130+1</f>
        <v>2029</v>
      </c>
      <c r="J130" s="74">
        <f>I130+1</f>
        <v>2030</v>
      </c>
      <c r="K130" s="74">
        <f>J130+1</f>
        <v>2031</v>
      </c>
      <c r="N130" s="470"/>
      <c r="O130" s="470"/>
      <c r="P130" s="470"/>
      <c r="Q130" s="223"/>
      <c r="R130" s="223"/>
      <c r="S130" s="223"/>
      <c r="T130" s="223"/>
      <c r="U130" s="223"/>
      <c r="V130" s="223"/>
      <c r="X130" s="223"/>
      <c r="Y130" s="223"/>
      <c r="Z130" s="223"/>
      <c r="AA130" s="223"/>
      <c r="AH130" s="371">
        <v>17</v>
      </c>
      <c r="AI130" s="369">
        <f t="shared" si="112"/>
        <v>0</v>
      </c>
      <c r="AJ130" s="369">
        <f t="shared" si="112"/>
        <v>0</v>
      </c>
      <c r="AK130" s="369">
        <f t="shared" si="112"/>
        <v>0</v>
      </c>
      <c r="AL130" s="369">
        <f t="shared" si="112"/>
        <v>0</v>
      </c>
      <c r="AM130" s="369">
        <f t="shared" si="112"/>
        <v>0</v>
      </c>
      <c r="AN130" s="370">
        <f t="shared" si="112"/>
        <v>0</v>
      </c>
      <c r="AO130" s="509"/>
      <c r="AP130" s="369">
        <f t="shared" si="113"/>
        <v>0</v>
      </c>
      <c r="AQ130" s="369">
        <f t="shared" si="113"/>
        <v>0</v>
      </c>
      <c r="AR130" s="369">
        <f t="shared" si="113"/>
        <v>0</v>
      </c>
      <c r="AS130" s="369">
        <f t="shared" si="113"/>
        <v>0</v>
      </c>
      <c r="AT130" s="369">
        <f t="shared" si="113"/>
        <v>0</v>
      </c>
      <c r="AU130" s="512">
        <f t="shared" si="113"/>
        <v>0</v>
      </c>
      <c r="AV130" s="371"/>
      <c r="AW130" s="369">
        <f t="shared" si="114"/>
        <v>0</v>
      </c>
      <c r="AX130" s="369">
        <f t="shared" si="115"/>
        <v>0</v>
      </c>
      <c r="AY130" s="369">
        <f t="shared" si="116"/>
        <v>0</v>
      </c>
      <c r="AZ130" s="369">
        <f t="shared" si="117"/>
        <v>0</v>
      </c>
      <c r="BA130" s="369">
        <f t="shared" si="118"/>
        <v>0</v>
      </c>
      <c r="BB130" s="370">
        <f t="shared" si="119"/>
        <v>0</v>
      </c>
    </row>
    <row r="131" spans="1:54" hidden="1" outlineLevel="2" x14ac:dyDescent="0.2">
      <c r="E131" s="82" t="s">
        <v>938</v>
      </c>
      <c r="F131" s="239">
        <f t="shared" ref="F131:K131" si="122">F132*INDEX(MBSIncCalc,$C128,3)</f>
        <v>0</v>
      </c>
      <c r="G131" s="239">
        <f t="shared" si="122"/>
        <v>0</v>
      </c>
      <c r="H131" s="239">
        <f t="shared" si="122"/>
        <v>0</v>
      </c>
      <c r="I131" s="239">
        <f t="shared" si="122"/>
        <v>0</v>
      </c>
      <c r="J131" s="239">
        <f t="shared" si="122"/>
        <v>0</v>
      </c>
      <c r="K131" s="239">
        <f t="shared" si="122"/>
        <v>0</v>
      </c>
      <c r="M131" s="471"/>
      <c r="N131" s="463"/>
      <c r="O131" s="463"/>
      <c r="P131" s="463"/>
      <c r="Q131" s="472"/>
      <c r="R131" s="472"/>
      <c r="S131" s="472"/>
      <c r="T131" s="472"/>
      <c r="U131" s="472"/>
      <c r="V131" s="472"/>
      <c r="X131" s="402">
        <f>INDEX(MBSIncItems,C128,1)</f>
        <v>0</v>
      </c>
      <c r="Y131" s="402">
        <f>FirstYear</f>
        <v>2026</v>
      </c>
      <c r="Z131" s="401">
        <f>IF(F132&lt;&gt;0,F132-F134,0)</f>
        <v>0</v>
      </c>
      <c r="AA131" s="401">
        <f>IF(F140&lt;&gt;0,F140-F142,0)</f>
        <v>0</v>
      </c>
      <c r="AB131" s="223"/>
      <c r="AH131" s="371">
        <v>18</v>
      </c>
      <c r="AI131" s="369">
        <f t="shared" si="112"/>
        <v>0</v>
      </c>
      <c r="AJ131" s="369">
        <f t="shared" si="112"/>
        <v>0</v>
      </c>
      <c r="AK131" s="369">
        <f t="shared" si="112"/>
        <v>0</v>
      </c>
      <c r="AL131" s="369">
        <f t="shared" si="112"/>
        <v>0</v>
      </c>
      <c r="AM131" s="369">
        <f t="shared" si="112"/>
        <v>0</v>
      </c>
      <c r="AN131" s="370">
        <f t="shared" si="112"/>
        <v>0</v>
      </c>
      <c r="AO131" s="509"/>
      <c r="AP131" s="369">
        <f t="shared" si="113"/>
        <v>0</v>
      </c>
      <c r="AQ131" s="369">
        <f t="shared" si="113"/>
        <v>0</v>
      </c>
      <c r="AR131" s="369">
        <f t="shared" si="113"/>
        <v>0</v>
      </c>
      <c r="AS131" s="369">
        <f t="shared" si="113"/>
        <v>0</v>
      </c>
      <c r="AT131" s="369">
        <f t="shared" si="113"/>
        <v>0</v>
      </c>
      <c r="AU131" s="512">
        <f t="shared" si="113"/>
        <v>0</v>
      </c>
      <c r="AV131" s="371"/>
      <c r="AW131" s="369">
        <f t="shared" si="114"/>
        <v>0</v>
      </c>
      <c r="AX131" s="369">
        <f t="shared" si="115"/>
        <v>0</v>
      </c>
      <c r="AY131" s="369">
        <f t="shared" si="116"/>
        <v>0</v>
      </c>
      <c r="AZ131" s="369">
        <f t="shared" si="117"/>
        <v>0</v>
      </c>
      <c r="BA131" s="369">
        <f t="shared" si="118"/>
        <v>0</v>
      </c>
      <c r="BB131" s="370">
        <f t="shared" si="119"/>
        <v>0</v>
      </c>
    </row>
    <row r="132" spans="1:54" hidden="1" outlineLevel="2" x14ac:dyDescent="0.2">
      <c r="B132" s="468"/>
      <c r="C132" s="209" t="str">
        <f>INDEX(MBSIncCalc,C128,2)</f>
        <v/>
      </c>
      <c r="E132" s="56" t="s">
        <v>1297</v>
      </c>
      <c r="F132" s="57">
        <f t="shared" ref="F132:K132" si="123">IF(INDEX(MBSIncRate,$C128,2)=2,IFERROR(INDEX(PBSScriptsNew,$C132,F129),0),IFERROR(INDEX(MBSPBSInc,$C128,INDEX(MBSIncRate,$C128,3)*7+F129),0) * IFERROR(INDEX(MBSIncPopSplit,$C128),0)) * INDEX(MBSIncRate,$C128,1) * INDEX(MBSIncRate,$C128,4)</f>
        <v>0</v>
      </c>
      <c r="G132" s="57">
        <f t="shared" si="123"/>
        <v>0</v>
      </c>
      <c r="H132" s="57">
        <f t="shared" si="123"/>
        <v>0</v>
      </c>
      <c r="I132" s="57">
        <f t="shared" si="123"/>
        <v>0</v>
      </c>
      <c r="J132" s="57">
        <f t="shared" si="123"/>
        <v>0</v>
      </c>
      <c r="K132" s="57">
        <f t="shared" si="123"/>
        <v>0</v>
      </c>
      <c r="O132" s="463"/>
      <c r="P132" s="463"/>
      <c r="Q132" s="472"/>
      <c r="R132" s="472"/>
      <c r="S132" s="472"/>
      <c r="T132" s="472"/>
      <c r="U132" s="472"/>
      <c r="V132" s="472"/>
      <c r="X132" s="402">
        <f>X131</f>
        <v>0</v>
      </c>
      <c r="Y132" s="402">
        <f>Y131+1</f>
        <v>2027</v>
      </c>
      <c r="Z132" s="401">
        <f>IF(G132&lt;&gt;0,G132-G134,0)</f>
        <v>0</v>
      </c>
      <c r="AA132" s="401">
        <f>IF(G140&lt;&gt;0,G140-G142,0)</f>
        <v>0</v>
      </c>
      <c r="AB132" s="223"/>
      <c r="AH132" s="371">
        <v>19</v>
      </c>
      <c r="AI132" s="369">
        <f t="shared" si="112"/>
        <v>0</v>
      </c>
      <c r="AJ132" s="369">
        <f t="shared" si="112"/>
        <v>0</v>
      </c>
      <c r="AK132" s="369">
        <f t="shared" si="112"/>
        <v>0</v>
      </c>
      <c r="AL132" s="369">
        <f t="shared" si="112"/>
        <v>0</v>
      </c>
      <c r="AM132" s="369">
        <f t="shared" si="112"/>
        <v>0</v>
      </c>
      <c r="AN132" s="370">
        <f t="shared" si="112"/>
        <v>0</v>
      </c>
      <c r="AO132" s="509"/>
      <c r="AP132" s="369">
        <f t="shared" si="113"/>
        <v>0</v>
      </c>
      <c r="AQ132" s="369">
        <f t="shared" si="113"/>
        <v>0</v>
      </c>
      <c r="AR132" s="369">
        <f t="shared" si="113"/>
        <v>0</v>
      </c>
      <c r="AS132" s="369">
        <f t="shared" si="113"/>
        <v>0</v>
      </c>
      <c r="AT132" s="369">
        <f t="shared" si="113"/>
        <v>0</v>
      </c>
      <c r="AU132" s="512">
        <f t="shared" si="113"/>
        <v>0</v>
      </c>
      <c r="AV132" s="371"/>
      <c r="AW132" s="369">
        <f t="shared" si="114"/>
        <v>0</v>
      </c>
      <c r="AX132" s="369">
        <f t="shared" si="115"/>
        <v>0</v>
      </c>
      <c r="AY132" s="369">
        <f t="shared" si="116"/>
        <v>0</v>
      </c>
      <c r="AZ132" s="369">
        <f t="shared" si="117"/>
        <v>0</v>
      </c>
      <c r="BA132" s="369">
        <f t="shared" si="118"/>
        <v>0</v>
      </c>
      <c r="BB132" s="370">
        <f t="shared" si="119"/>
        <v>0</v>
      </c>
    </row>
    <row r="133" spans="1:54" ht="13.5" hidden="1" outlineLevel="2" thickBot="1" x14ac:dyDescent="0.25">
      <c r="B133" s="209">
        <v>5</v>
      </c>
      <c r="C133" s="209">
        <v>6</v>
      </c>
      <c r="E133" s="358" t="s">
        <v>1294</v>
      </c>
      <c r="F133" s="57" t="str">
        <f t="shared" ref="F133:K133" si="124">IFERROR(F132*INDEX(MBSIncItems,$C128,$B133)*INDEX(MBSIncItems,$C128,$C133),"")</f>
        <v/>
      </c>
      <c r="G133" s="57" t="str">
        <f t="shared" si="124"/>
        <v/>
      </c>
      <c r="H133" s="57" t="str">
        <f t="shared" si="124"/>
        <v/>
      </c>
      <c r="I133" s="57" t="str">
        <f t="shared" si="124"/>
        <v/>
      </c>
      <c r="J133" s="57" t="str">
        <f t="shared" si="124"/>
        <v/>
      </c>
      <c r="K133" s="57" t="str">
        <f t="shared" si="124"/>
        <v/>
      </c>
      <c r="O133" s="473"/>
      <c r="P133" s="514"/>
      <c r="Q133" s="472"/>
      <c r="R133" s="472"/>
      <c r="S133" s="472"/>
      <c r="T133" s="472"/>
      <c r="U133" s="472"/>
      <c r="V133" s="472"/>
      <c r="X133" s="402">
        <f t="shared" ref="X133:X136" si="125">X132</f>
        <v>0</v>
      </c>
      <c r="Y133" s="402">
        <f>Y132+1</f>
        <v>2028</v>
      </c>
      <c r="Z133" s="401">
        <f>IF(H132&lt;&gt;0,H132-H134,0)</f>
        <v>0</v>
      </c>
      <c r="AA133" s="401">
        <f>IF(H140&lt;&gt;0,H140-H142,0)</f>
        <v>0</v>
      </c>
      <c r="AB133" s="469"/>
      <c r="AH133" s="374">
        <v>20</v>
      </c>
      <c r="AI133" s="372">
        <f t="shared" si="112"/>
        <v>0</v>
      </c>
      <c r="AJ133" s="372">
        <f t="shared" si="112"/>
        <v>0</v>
      </c>
      <c r="AK133" s="372">
        <f t="shared" si="112"/>
        <v>0</v>
      </c>
      <c r="AL133" s="372">
        <f t="shared" si="112"/>
        <v>0</v>
      </c>
      <c r="AM133" s="372">
        <f t="shared" si="112"/>
        <v>0</v>
      </c>
      <c r="AN133" s="373">
        <f t="shared" si="112"/>
        <v>0</v>
      </c>
      <c r="AO133" s="510"/>
      <c r="AP133" s="372">
        <f t="shared" si="113"/>
        <v>0</v>
      </c>
      <c r="AQ133" s="372">
        <f t="shared" si="113"/>
        <v>0</v>
      </c>
      <c r="AR133" s="372">
        <f t="shared" si="113"/>
        <v>0</v>
      </c>
      <c r="AS133" s="372">
        <f t="shared" si="113"/>
        <v>0</v>
      </c>
      <c r="AT133" s="372">
        <f t="shared" si="113"/>
        <v>0</v>
      </c>
      <c r="AU133" s="513">
        <f t="shared" si="113"/>
        <v>0</v>
      </c>
      <c r="AV133" s="374"/>
      <c r="AW133" s="372">
        <f t="shared" si="114"/>
        <v>0</v>
      </c>
      <c r="AX133" s="372">
        <f t="shared" si="115"/>
        <v>0</v>
      </c>
      <c r="AY133" s="372">
        <f t="shared" si="116"/>
        <v>0</v>
      </c>
      <c r="AZ133" s="372">
        <f t="shared" si="117"/>
        <v>0</v>
      </c>
      <c r="BA133" s="372">
        <f t="shared" si="118"/>
        <v>0</v>
      </c>
      <c r="BB133" s="373">
        <f t="shared" si="119"/>
        <v>0</v>
      </c>
    </row>
    <row r="134" spans="1:54" hidden="1" outlineLevel="2" x14ac:dyDescent="0.2">
      <c r="A134"/>
      <c r="B134" s="209">
        <v>4</v>
      </c>
      <c r="C134" s="209">
        <v>6</v>
      </c>
      <c r="E134" s="358" t="s">
        <v>1293</v>
      </c>
      <c r="F134" s="57" t="str">
        <f t="shared" ref="F134:K134" si="126">IFERROR(F132*INDEX(MBSIncItems,$C128,$B134)*INDEX(MBSIncItems,$C128,$C134),"")</f>
        <v/>
      </c>
      <c r="G134" s="57" t="str">
        <f t="shared" si="126"/>
        <v/>
      </c>
      <c r="H134" s="57" t="str">
        <f t="shared" si="126"/>
        <v/>
      </c>
      <c r="I134" s="57" t="str">
        <f t="shared" si="126"/>
        <v/>
      </c>
      <c r="J134" s="57" t="str">
        <f t="shared" si="126"/>
        <v/>
      </c>
      <c r="K134" s="57" t="str">
        <f t="shared" si="126"/>
        <v/>
      </c>
      <c r="L134"/>
      <c r="M134"/>
      <c r="N134"/>
      <c r="O134"/>
      <c r="P134"/>
      <c r="Q134"/>
      <c r="R134"/>
      <c r="S134"/>
      <c r="T134"/>
      <c r="U134"/>
      <c r="V134"/>
      <c r="X134" s="402">
        <f t="shared" si="125"/>
        <v>0</v>
      </c>
      <c r="Y134" s="402">
        <f>Y133+1</f>
        <v>2029</v>
      </c>
      <c r="Z134" s="401">
        <f>IF(I132&lt;&gt;0,I132-I134,0)</f>
        <v>0</v>
      </c>
      <c r="AA134" s="401">
        <f>IF(I140&lt;&gt;0,I140-I142,0)</f>
        <v>0</v>
      </c>
      <c r="AB134" s="469"/>
    </row>
    <row r="135" spans="1:54" hidden="1" outlineLevel="2" x14ac:dyDescent="0.2">
      <c r="B135" s="209"/>
      <c r="C135" s="209">
        <v>7</v>
      </c>
      <c r="E135" s="359" t="s">
        <v>1295</v>
      </c>
      <c r="F135" s="57" t="str">
        <f t="shared" ref="F135:K135" si="127">IFERROR(F132*INDEX(MBSIncItems,$C128,$C135),"")</f>
        <v/>
      </c>
      <c r="G135" s="57" t="str">
        <f t="shared" si="127"/>
        <v/>
      </c>
      <c r="H135" s="57" t="str">
        <f t="shared" si="127"/>
        <v/>
      </c>
      <c r="I135" s="57" t="str">
        <f t="shared" si="127"/>
        <v/>
      </c>
      <c r="J135" s="57" t="str">
        <f t="shared" si="127"/>
        <v/>
      </c>
      <c r="K135" s="57" t="str">
        <f t="shared" si="127"/>
        <v/>
      </c>
      <c r="O135" s="473"/>
      <c r="P135" s="514"/>
      <c r="Q135" s="472"/>
      <c r="R135" s="472"/>
      <c r="S135" s="472"/>
      <c r="T135" s="472"/>
      <c r="U135" s="472"/>
      <c r="V135" s="472"/>
      <c r="X135" s="402">
        <f t="shared" si="125"/>
        <v>0</v>
      </c>
      <c r="Y135" s="402">
        <f>Y134+1</f>
        <v>2030</v>
      </c>
      <c r="Z135" s="401">
        <f>IF(J132&lt;&gt;0,J132-J134,0)</f>
        <v>0</v>
      </c>
      <c r="AA135" s="401">
        <f>IF(J140&lt;&gt;0,J140-J142,0)</f>
        <v>0</v>
      </c>
      <c r="AB135" s="469"/>
    </row>
    <row r="136" spans="1:54" hidden="1" outlineLevel="2" x14ac:dyDescent="0.2">
      <c r="O136" s="473"/>
      <c r="P136" s="473"/>
      <c r="Q136" s="472"/>
      <c r="R136" s="472"/>
      <c r="S136" s="472"/>
      <c r="T136" s="472"/>
      <c r="U136" s="472"/>
      <c r="V136" s="472"/>
      <c r="X136" s="402">
        <f t="shared" si="125"/>
        <v>0</v>
      </c>
      <c r="Y136" s="402">
        <f>Y135+1</f>
        <v>2031</v>
      </c>
      <c r="Z136" s="401">
        <f>IF(K132&lt;&gt;0,K132-K134,0)</f>
        <v>0</v>
      </c>
      <c r="AA136" s="401">
        <f>IF(K140&lt;&gt;0,K140-K142,0)</f>
        <v>0</v>
      </c>
      <c r="AB136" s="469"/>
    </row>
    <row r="137" spans="1:54" hidden="1" outlineLevel="2" x14ac:dyDescent="0.2">
      <c r="D137" s="360"/>
      <c r="E137" s="360"/>
      <c r="F137" s="357">
        <v>2</v>
      </c>
      <c r="G137" s="357">
        <v>3</v>
      </c>
      <c r="H137" s="357">
        <v>4</v>
      </c>
      <c r="I137" s="357">
        <v>5</v>
      </c>
      <c r="J137" s="357">
        <v>6</v>
      </c>
      <c r="K137" s="357">
        <v>7</v>
      </c>
      <c r="N137" s="360"/>
      <c r="O137" s="360"/>
      <c r="P137" s="360"/>
      <c r="AB137" s="469"/>
    </row>
    <row r="138" spans="1:54" ht="15.75" hidden="1" outlineLevel="2" x14ac:dyDescent="0.2">
      <c r="D138" s="462" t="s">
        <v>1</v>
      </c>
      <c r="E138" s="462"/>
      <c r="F138" s="74">
        <f>FirstYear</f>
        <v>2026</v>
      </c>
      <c r="G138" s="74">
        <f>F138+1</f>
        <v>2027</v>
      </c>
      <c r="H138" s="74">
        <f>G138+1</f>
        <v>2028</v>
      </c>
      <c r="I138" s="74">
        <f>H138+1</f>
        <v>2029</v>
      </c>
      <c r="J138" s="74">
        <f>I138+1</f>
        <v>2030</v>
      </c>
      <c r="K138" s="74">
        <f>J138+1</f>
        <v>2031</v>
      </c>
      <c r="N138" s="466"/>
      <c r="O138" s="466"/>
      <c r="P138" s="466"/>
    </row>
    <row r="139" spans="1:54" hidden="1" outlineLevel="2" x14ac:dyDescent="0.2">
      <c r="E139" s="82" t="s">
        <v>938</v>
      </c>
      <c r="F139" s="239">
        <f t="shared" ref="F139:K139" si="128">F140*INDEX(MBSIncCalc,$C128,3)</f>
        <v>0</v>
      </c>
      <c r="G139" s="239">
        <f t="shared" si="128"/>
        <v>0</v>
      </c>
      <c r="H139" s="239">
        <f t="shared" si="128"/>
        <v>0</v>
      </c>
      <c r="I139" s="239">
        <f t="shared" si="128"/>
        <v>0</v>
      </c>
      <c r="J139" s="239">
        <f t="shared" si="128"/>
        <v>0</v>
      </c>
      <c r="K139" s="239">
        <f t="shared" si="128"/>
        <v>0</v>
      </c>
      <c r="M139"/>
      <c r="N139"/>
      <c r="O139" s="360"/>
      <c r="P139" s="360"/>
    </row>
    <row r="140" spans="1:54" hidden="1" outlineLevel="2" x14ac:dyDescent="0.2">
      <c r="B140" s="468"/>
      <c r="C140" s="209" t="str">
        <f>C132</f>
        <v/>
      </c>
      <c r="E140" s="56" t="s">
        <v>1297</v>
      </c>
      <c r="F140" s="57">
        <f t="shared" ref="F140:K140" si="129">IF(INDEX(MBSIncRate,$C128,2)=2,IFERROR(INDEX(RPBSScriptsNew,$C140,F137),0),IFERROR(INDEX(MBSRPBSInc,$C128,INDEX(MBSIncRate,$C128,3)*7+F137),0) * IFERROR(INDEX(MBSIncPopSplit,$C128),0)) * INDEX(MBSIncRate,$C128,1) * INDEX(MBSIncRate,$C128,4)</f>
        <v>0</v>
      </c>
      <c r="G140" s="57">
        <f t="shared" si="129"/>
        <v>0</v>
      </c>
      <c r="H140" s="57">
        <f t="shared" si="129"/>
        <v>0</v>
      </c>
      <c r="I140" s="57">
        <f t="shared" si="129"/>
        <v>0</v>
      </c>
      <c r="J140" s="57">
        <f t="shared" si="129"/>
        <v>0</v>
      </c>
      <c r="K140" s="57">
        <f t="shared" si="129"/>
        <v>0</v>
      </c>
      <c r="N140" s="344"/>
      <c r="O140" s="360"/>
      <c r="P140" s="360"/>
    </row>
    <row r="141" spans="1:54" hidden="1" outlineLevel="2" x14ac:dyDescent="0.2">
      <c r="B141" s="209">
        <v>5</v>
      </c>
      <c r="C141" s="209">
        <v>6</v>
      </c>
      <c r="E141" s="358" t="s">
        <v>1294</v>
      </c>
      <c r="F141" s="57" t="str">
        <f t="shared" ref="F141:K141" si="130">IFERROR(F140*INDEX(MBSIncItems,$C128,$B141)*INDEX(MBSIncItems,$C128,$C141),"")</f>
        <v/>
      </c>
      <c r="G141" s="57" t="str">
        <f t="shared" si="130"/>
        <v/>
      </c>
      <c r="H141" s="57" t="str">
        <f t="shared" si="130"/>
        <v/>
      </c>
      <c r="I141" s="57" t="str">
        <f t="shared" si="130"/>
        <v/>
      </c>
      <c r="J141" s="57" t="str">
        <f t="shared" si="130"/>
        <v/>
      </c>
      <c r="K141" s="57" t="str">
        <f t="shared" si="130"/>
        <v/>
      </c>
      <c r="M141" s="474"/>
      <c r="N141" s="344"/>
      <c r="O141" s="360"/>
      <c r="P141" s="360"/>
    </row>
    <row r="142" spans="1:54" hidden="1" outlineLevel="2" x14ac:dyDescent="0.2">
      <c r="B142" s="209">
        <v>4</v>
      </c>
      <c r="C142" s="209">
        <v>6</v>
      </c>
      <c r="E142" s="358" t="s">
        <v>1293</v>
      </c>
      <c r="F142" s="57" t="str">
        <f t="shared" ref="F142:K142" si="131">IFERROR(F140*INDEX(MBSIncItems,$C128,$B142)*INDEX(MBSIncItems,$C128,$C142),"")</f>
        <v/>
      </c>
      <c r="G142" s="57" t="str">
        <f t="shared" si="131"/>
        <v/>
      </c>
      <c r="H142" s="57" t="str">
        <f t="shared" si="131"/>
        <v/>
      </c>
      <c r="I142" s="57" t="str">
        <f t="shared" si="131"/>
        <v/>
      </c>
      <c r="J142" s="57" t="str">
        <f t="shared" si="131"/>
        <v/>
      </c>
      <c r="K142" s="57" t="str">
        <f t="shared" si="131"/>
        <v/>
      </c>
      <c r="M142" s="475"/>
      <c r="N142" s="473"/>
      <c r="O142" s="360"/>
      <c r="P142" s="360"/>
    </row>
    <row r="143" spans="1:54" hidden="1" outlineLevel="2" x14ac:dyDescent="0.2">
      <c r="B143" s="209"/>
      <c r="C143" s="209">
        <v>7</v>
      </c>
      <c r="E143" s="359" t="s">
        <v>1295</v>
      </c>
      <c r="F143" s="57" t="str">
        <f t="shared" ref="F143:K143" si="132">IFERROR(F140*INDEX(MBSIncItems,$C128,$C143),"")</f>
        <v/>
      </c>
      <c r="G143" s="57" t="str">
        <f t="shared" si="132"/>
        <v/>
      </c>
      <c r="H143" s="57" t="str">
        <f t="shared" si="132"/>
        <v/>
      </c>
      <c r="I143" s="57" t="str">
        <f t="shared" si="132"/>
        <v/>
      </c>
      <c r="J143" s="57" t="str">
        <f t="shared" si="132"/>
        <v/>
      </c>
      <c r="K143" s="57" t="str">
        <f t="shared" si="132"/>
        <v/>
      </c>
      <c r="M143" s="475"/>
      <c r="N143" s="473"/>
      <c r="O143" s="360"/>
      <c r="P143" s="360"/>
    </row>
    <row r="144" spans="1:54" outlineLevel="1" collapsed="1" x14ac:dyDescent="0.2">
      <c r="D144" s="360"/>
      <c r="E144" s="360"/>
      <c r="N144" s="360"/>
      <c r="O144" s="360"/>
      <c r="P144" s="360"/>
    </row>
    <row r="145" spans="1:28" ht="15.75" outlineLevel="1" collapsed="1" x14ac:dyDescent="0.2">
      <c r="C145" s="209">
        <v>3</v>
      </c>
      <c r="D145" s="72" t="str">
        <f>INDEX(MBSIncNames,C145)</f>
        <v>** NOT USED **</v>
      </c>
      <c r="E145" s="72"/>
      <c r="F145" s="105"/>
      <c r="G145" s="105"/>
      <c r="H145" s="105"/>
      <c r="I145" s="105"/>
      <c r="J145" s="588" t="str">
        <f>IF(D145&lt;&gt;MsgNotUsed,"Co-payment group " &amp; K65,"")</f>
        <v/>
      </c>
      <c r="K145" s="588"/>
      <c r="L145" s="105"/>
      <c r="M145" s="105"/>
      <c r="N145" s="105"/>
      <c r="O145" s="105"/>
      <c r="P145" s="105"/>
      <c r="Q145" s="105"/>
      <c r="R145" s="105"/>
      <c r="S145" s="105"/>
      <c r="T145" s="105"/>
      <c r="U145" s="105"/>
      <c r="V145" s="105"/>
    </row>
    <row r="146" spans="1:28" hidden="1" outlineLevel="2" x14ac:dyDescent="0.2">
      <c r="F146" s="357">
        <v>2</v>
      </c>
      <c r="G146" s="357">
        <v>3</v>
      </c>
      <c r="H146" s="357">
        <v>4</v>
      </c>
      <c r="I146" s="357">
        <v>5</v>
      </c>
      <c r="J146" s="357">
        <v>6</v>
      </c>
      <c r="K146" s="357">
        <v>7</v>
      </c>
      <c r="L146" s="357"/>
    </row>
    <row r="147" spans="1:28" ht="15" hidden="1" outlineLevel="2" x14ac:dyDescent="0.2">
      <c r="D147" s="462" t="s">
        <v>0</v>
      </c>
      <c r="E147" s="462"/>
      <c r="F147" s="74">
        <f>FirstYear</f>
        <v>2026</v>
      </c>
      <c r="G147" s="74">
        <f>F147+1</f>
        <v>2027</v>
      </c>
      <c r="H147" s="74">
        <f>G147+1</f>
        <v>2028</v>
      </c>
      <c r="I147" s="74">
        <f>H147+1</f>
        <v>2029</v>
      </c>
      <c r="J147" s="74">
        <f>I147+1</f>
        <v>2030</v>
      </c>
      <c r="K147" s="74">
        <f>J147+1</f>
        <v>2031</v>
      </c>
      <c r="N147" s="470"/>
      <c r="O147" s="470"/>
      <c r="P147" s="470"/>
      <c r="Q147" s="223"/>
      <c r="R147" s="223"/>
      <c r="S147" s="223"/>
      <c r="T147" s="223"/>
      <c r="U147" s="223"/>
      <c r="V147" s="223"/>
      <c r="X147" s="223"/>
      <c r="Y147" s="223"/>
      <c r="Z147" s="223"/>
      <c r="AA147" s="223"/>
    </row>
    <row r="148" spans="1:28" hidden="1" outlineLevel="2" x14ac:dyDescent="0.2">
      <c r="E148" s="82" t="s">
        <v>938</v>
      </c>
      <c r="F148" s="239">
        <f t="shared" ref="F148:K148" si="133">F149*INDEX(MBSIncCalc,$C145,3)</f>
        <v>0</v>
      </c>
      <c r="G148" s="239">
        <f t="shared" si="133"/>
        <v>0</v>
      </c>
      <c r="H148" s="239">
        <f t="shared" si="133"/>
        <v>0</v>
      </c>
      <c r="I148" s="239">
        <f t="shared" si="133"/>
        <v>0</v>
      </c>
      <c r="J148" s="239">
        <f t="shared" si="133"/>
        <v>0</v>
      </c>
      <c r="K148" s="239">
        <f t="shared" si="133"/>
        <v>0</v>
      </c>
      <c r="M148" s="471"/>
      <c r="N148" s="463"/>
      <c r="O148" s="463"/>
      <c r="P148" s="463"/>
      <c r="Q148" s="472"/>
      <c r="R148" s="472"/>
      <c r="S148" s="472"/>
      <c r="T148" s="472"/>
      <c r="U148" s="472"/>
      <c r="V148" s="472"/>
      <c r="X148" s="402">
        <f>INDEX(MBSIncItems,C145,1)</f>
        <v>0</v>
      </c>
      <c r="Y148" s="402">
        <f>FirstYear</f>
        <v>2026</v>
      </c>
      <c r="Z148" s="401">
        <f>IF(F149&lt;&gt;0,F149-F151,0)</f>
        <v>0</v>
      </c>
      <c r="AA148" s="401">
        <f>IF(F157&lt;&gt;0,F157-F159,0)</f>
        <v>0</v>
      </c>
      <c r="AB148" s="223"/>
    </row>
    <row r="149" spans="1:28" hidden="1" outlineLevel="2" x14ac:dyDescent="0.2">
      <c r="B149" s="468"/>
      <c r="C149" s="209" t="str">
        <f>INDEX(MBSIncCalc,C145,2)</f>
        <v/>
      </c>
      <c r="E149" s="56" t="s">
        <v>1297</v>
      </c>
      <c r="F149" s="57">
        <f t="shared" ref="F149:K149" si="134">IF(INDEX(MBSIncRate,$C145,2)=2,IFERROR(INDEX(PBSScriptsNew,$C149,F146),0),IFERROR(INDEX(MBSPBSInc,$C145,INDEX(MBSIncRate,$C145,3)*7+F146),0) * IFERROR(INDEX(MBSIncPopSplit,$C145),0)) * INDEX(MBSIncRate,$C145,1) * INDEX(MBSIncRate,$C145,4)</f>
        <v>0</v>
      </c>
      <c r="G149" s="57">
        <f t="shared" si="134"/>
        <v>0</v>
      </c>
      <c r="H149" s="57">
        <f t="shared" si="134"/>
        <v>0</v>
      </c>
      <c r="I149" s="57">
        <f t="shared" si="134"/>
        <v>0</v>
      </c>
      <c r="J149" s="57">
        <f t="shared" si="134"/>
        <v>0</v>
      </c>
      <c r="K149" s="57">
        <f t="shared" si="134"/>
        <v>0</v>
      </c>
      <c r="O149" s="463"/>
      <c r="P149" s="463"/>
      <c r="Q149" s="472"/>
      <c r="R149" s="472"/>
      <c r="S149" s="472"/>
      <c r="T149" s="472"/>
      <c r="U149" s="472"/>
      <c r="V149" s="472"/>
      <c r="X149" s="402">
        <f>X148</f>
        <v>0</v>
      </c>
      <c r="Y149" s="402">
        <f>Y148+1</f>
        <v>2027</v>
      </c>
      <c r="Z149" s="401">
        <f>IF(G149&lt;&gt;0,G149-G151,0)</f>
        <v>0</v>
      </c>
      <c r="AA149" s="401">
        <f>IF(G157&lt;&gt;0,G157-G159,0)</f>
        <v>0</v>
      </c>
      <c r="AB149" s="223"/>
    </row>
    <row r="150" spans="1:28" hidden="1" outlineLevel="2" x14ac:dyDescent="0.2">
      <c r="B150" s="209">
        <v>5</v>
      </c>
      <c r="C150" s="209">
        <v>6</v>
      </c>
      <c r="E150" s="358" t="s">
        <v>1294</v>
      </c>
      <c r="F150" s="57" t="str">
        <f t="shared" ref="F150:K150" si="135">IFERROR(F149*INDEX(MBSIncItems,$C145,$B150)*INDEX(MBSIncItems,$C145,$C150),"")</f>
        <v/>
      </c>
      <c r="G150" s="57" t="str">
        <f t="shared" si="135"/>
        <v/>
      </c>
      <c r="H150" s="57" t="str">
        <f t="shared" si="135"/>
        <v/>
      </c>
      <c r="I150" s="57" t="str">
        <f t="shared" si="135"/>
        <v/>
      </c>
      <c r="J150" s="57" t="str">
        <f t="shared" si="135"/>
        <v/>
      </c>
      <c r="K150" s="57" t="str">
        <f t="shared" si="135"/>
        <v/>
      </c>
      <c r="O150" s="473"/>
      <c r="P150" s="514"/>
      <c r="Q150" s="472"/>
      <c r="R150" s="472"/>
      <c r="S150" s="472"/>
      <c r="T150" s="472"/>
      <c r="U150" s="472"/>
      <c r="V150" s="472"/>
      <c r="X150" s="402">
        <f t="shared" ref="X150:X153" si="136">X149</f>
        <v>0</v>
      </c>
      <c r="Y150" s="402">
        <f>Y149+1</f>
        <v>2028</v>
      </c>
      <c r="Z150" s="401">
        <f>IF(H149&lt;&gt;0,H149-H151,0)</f>
        <v>0</v>
      </c>
      <c r="AA150" s="401">
        <f>IF(H157&lt;&gt;0,H157-H159,0)</f>
        <v>0</v>
      </c>
      <c r="AB150" s="469"/>
    </row>
    <row r="151" spans="1:28" hidden="1" outlineLevel="2" x14ac:dyDescent="0.2">
      <c r="A151"/>
      <c r="B151" s="209">
        <v>4</v>
      </c>
      <c r="C151" s="209">
        <v>6</v>
      </c>
      <c r="E151" s="358" t="s">
        <v>1293</v>
      </c>
      <c r="F151" s="57" t="str">
        <f t="shared" ref="F151:K151" si="137">IFERROR(F149*INDEX(MBSIncItems,$C145,$B151)*INDEX(MBSIncItems,$C145,$C151),"")</f>
        <v/>
      </c>
      <c r="G151" s="57" t="str">
        <f t="shared" si="137"/>
        <v/>
      </c>
      <c r="H151" s="57" t="str">
        <f t="shared" si="137"/>
        <v/>
      </c>
      <c r="I151" s="57" t="str">
        <f t="shared" si="137"/>
        <v/>
      </c>
      <c r="J151" s="57" t="str">
        <f t="shared" si="137"/>
        <v/>
      </c>
      <c r="K151" s="57" t="str">
        <f t="shared" si="137"/>
        <v/>
      </c>
      <c r="L151"/>
      <c r="M151"/>
      <c r="N151"/>
      <c r="O151"/>
      <c r="P151"/>
      <c r="Q151"/>
      <c r="R151"/>
      <c r="S151"/>
      <c r="T151"/>
      <c r="U151"/>
      <c r="V151"/>
      <c r="X151" s="402">
        <f t="shared" si="136"/>
        <v>0</v>
      </c>
      <c r="Y151" s="402">
        <f>Y150+1</f>
        <v>2029</v>
      </c>
      <c r="Z151" s="401">
        <f>IF(I149&lt;&gt;0,I149-I151,0)</f>
        <v>0</v>
      </c>
      <c r="AA151" s="401">
        <f>IF(I157&lt;&gt;0,I157-I159,0)</f>
        <v>0</v>
      </c>
      <c r="AB151" s="469"/>
    </row>
    <row r="152" spans="1:28" hidden="1" outlineLevel="2" x14ac:dyDescent="0.2">
      <c r="B152" s="209"/>
      <c r="C152" s="209">
        <v>7</v>
      </c>
      <c r="E152" s="359" t="s">
        <v>1295</v>
      </c>
      <c r="F152" s="57" t="str">
        <f t="shared" ref="F152:K152" si="138">IFERROR(F149*INDEX(MBSIncItems,$C145,$C152),"")</f>
        <v/>
      </c>
      <c r="G152" s="57" t="str">
        <f t="shared" si="138"/>
        <v/>
      </c>
      <c r="H152" s="57" t="str">
        <f t="shared" si="138"/>
        <v/>
      </c>
      <c r="I152" s="57" t="str">
        <f t="shared" si="138"/>
        <v/>
      </c>
      <c r="J152" s="57" t="str">
        <f t="shared" si="138"/>
        <v/>
      </c>
      <c r="K152" s="57" t="str">
        <f t="shared" si="138"/>
        <v/>
      </c>
      <c r="O152" s="473"/>
      <c r="P152" s="514"/>
      <c r="Q152" s="472"/>
      <c r="R152" s="472"/>
      <c r="S152" s="472"/>
      <c r="T152" s="472"/>
      <c r="U152" s="472"/>
      <c r="V152" s="472"/>
      <c r="X152" s="402">
        <f t="shared" si="136"/>
        <v>0</v>
      </c>
      <c r="Y152" s="402">
        <f>Y151+1</f>
        <v>2030</v>
      </c>
      <c r="Z152" s="401">
        <f>IF(J149&lt;&gt;0,J149-J151,0)</f>
        <v>0</v>
      </c>
      <c r="AA152" s="401">
        <f>IF(J157&lt;&gt;0,J157-J159,0)</f>
        <v>0</v>
      </c>
      <c r="AB152" s="469"/>
    </row>
    <row r="153" spans="1:28" hidden="1" outlineLevel="2" x14ac:dyDescent="0.2">
      <c r="O153" s="473"/>
      <c r="P153" s="473"/>
      <c r="Q153" s="472"/>
      <c r="R153" s="472"/>
      <c r="S153" s="472"/>
      <c r="T153" s="472"/>
      <c r="U153" s="472"/>
      <c r="V153" s="472"/>
      <c r="X153" s="402">
        <f t="shared" si="136"/>
        <v>0</v>
      </c>
      <c r="Y153" s="402">
        <f>Y152+1</f>
        <v>2031</v>
      </c>
      <c r="Z153" s="401">
        <f>IF(K149&lt;&gt;0,K149-K151,0)</f>
        <v>0</v>
      </c>
      <c r="AA153" s="401">
        <f>IF(K157&lt;&gt;0,K157-K159,0)</f>
        <v>0</v>
      </c>
      <c r="AB153" s="469"/>
    </row>
    <row r="154" spans="1:28" hidden="1" outlineLevel="2" x14ac:dyDescent="0.2">
      <c r="D154" s="360"/>
      <c r="E154" s="360"/>
      <c r="F154" s="357">
        <v>2</v>
      </c>
      <c r="G154" s="357">
        <v>3</v>
      </c>
      <c r="H154" s="357">
        <v>4</v>
      </c>
      <c r="I154" s="357">
        <v>5</v>
      </c>
      <c r="J154" s="357">
        <v>6</v>
      </c>
      <c r="K154" s="357">
        <v>7</v>
      </c>
      <c r="N154" s="360"/>
      <c r="O154" s="360"/>
      <c r="P154" s="360"/>
      <c r="AB154" s="469"/>
    </row>
    <row r="155" spans="1:28" ht="15.75" hidden="1" outlineLevel="2" x14ac:dyDescent="0.2">
      <c r="D155" s="462" t="s">
        <v>1</v>
      </c>
      <c r="E155" s="462"/>
      <c r="F155" s="74">
        <f>FirstYear</f>
        <v>2026</v>
      </c>
      <c r="G155" s="74">
        <f>F155+1</f>
        <v>2027</v>
      </c>
      <c r="H155" s="74">
        <f>G155+1</f>
        <v>2028</v>
      </c>
      <c r="I155" s="74">
        <f>H155+1</f>
        <v>2029</v>
      </c>
      <c r="J155" s="74">
        <f>I155+1</f>
        <v>2030</v>
      </c>
      <c r="K155" s="74">
        <f>J155+1</f>
        <v>2031</v>
      </c>
      <c r="N155" s="466"/>
      <c r="O155" s="466"/>
      <c r="P155" s="466"/>
    </row>
    <row r="156" spans="1:28" hidden="1" outlineLevel="2" x14ac:dyDescent="0.2">
      <c r="E156" s="82" t="s">
        <v>938</v>
      </c>
      <c r="F156" s="239">
        <f t="shared" ref="F156:K156" si="139">F157*INDEX(MBSIncCalc,$C145,3)</f>
        <v>0</v>
      </c>
      <c r="G156" s="239">
        <f t="shared" si="139"/>
        <v>0</v>
      </c>
      <c r="H156" s="239">
        <f t="shared" si="139"/>
        <v>0</v>
      </c>
      <c r="I156" s="239">
        <f t="shared" si="139"/>
        <v>0</v>
      </c>
      <c r="J156" s="239">
        <f t="shared" si="139"/>
        <v>0</v>
      </c>
      <c r="K156" s="239">
        <f t="shared" si="139"/>
        <v>0</v>
      </c>
      <c r="M156"/>
      <c r="N156"/>
      <c r="O156" s="360"/>
      <c r="P156" s="360"/>
    </row>
    <row r="157" spans="1:28" hidden="1" outlineLevel="2" x14ac:dyDescent="0.2">
      <c r="B157" s="468"/>
      <c r="C157" s="209" t="str">
        <f>C149</f>
        <v/>
      </c>
      <c r="E157" s="56" t="s">
        <v>1297</v>
      </c>
      <c r="F157" s="57">
        <f t="shared" ref="F157:K157" si="140">IF(INDEX(MBSIncRate,$C145,2)=2,IFERROR(INDEX(RPBSScriptsNew,$C157,F154),0),IFERROR(INDEX(MBSRPBSInc,$C145,INDEX(MBSIncRate,$C145,3)*7+F154),0) * IFERROR(INDEX(MBSIncPopSplit,$C145),0)) * INDEX(MBSIncRate,$C145,1) * INDEX(MBSIncRate,$C145,4)</f>
        <v>0</v>
      </c>
      <c r="G157" s="57">
        <f t="shared" si="140"/>
        <v>0</v>
      </c>
      <c r="H157" s="57">
        <f t="shared" si="140"/>
        <v>0</v>
      </c>
      <c r="I157" s="57">
        <f t="shared" si="140"/>
        <v>0</v>
      </c>
      <c r="J157" s="57">
        <f t="shared" si="140"/>
        <v>0</v>
      </c>
      <c r="K157" s="57">
        <f t="shared" si="140"/>
        <v>0</v>
      </c>
      <c r="N157" s="344"/>
      <c r="O157" s="360"/>
      <c r="P157" s="360"/>
    </row>
    <row r="158" spans="1:28" hidden="1" outlineLevel="2" x14ac:dyDescent="0.2">
      <c r="B158" s="209">
        <v>5</v>
      </c>
      <c r="C158" s="209">
        <v>6</v>
      </c>
      <c r="E158" s="358" t="s">
        <v>1294</v>
      </c>
      <c r="F158" s="57" t="str">
        <f t="shared" ref="F158:K158" si="141">IFERROR(F157*INDEX(MBSIncItems,$C145,$B158)*INDEX(MBSIncItems,$C145,$C158),"")</f>
        <v/>
      </c>
      <c r="G158" s="57" t="str">
        <f t="shared" si="141"/>
        <v/>
      </c>
      <c r="H158" s="57" t="str">
        <f t="shared" si="141"/>
        <v/>
      </c>
      <c r="I158" s="57" t="str">
        <f t="shared" si="141"/>
        <v/>
      </c>
      <c r="J158" s="57" t="str">
        <f t="shared" si="141"/>
        <v/>
      </c>
      <c r="K158" s="57" t="str">
        <f t="shared" si="141"/>
        <v/>
      </c>
      <c r="M158" s="474"/>
      <c r="N158" s="344"/>
      <c r="O158" s="360"/>
      <c r="P158" s="360"/>
    </row>
    <row r="159" spans="1:28" hidden="1" outlineLevel="2" x14ac:dyDescent="0.2">
      <c r="B159" s="209">
        <v>4</v>
      </c>
      <c r="C159" s="209">
        <v>6</v>
      </c>
      <c r="E159" s="358" t="s">
        <v>1293</v>
      </c>
      <c r="F159" s="57" t="str">
        <f t="shared" ref="F159:K159" si="142">IFERROR(F157*INDEX(MBSIncItems,$C145,$B159)*INDEX(MBSIncItems,$C145,$C159),"")</f>
        <v/>
      </c>
      <c r="G159" s="57" t="str">
        <f t="shared" si="142"/>
        <v/>
      </c>
      <c r="H159" s="57" t="str">
        <f t="shared" si="142"/>
        <v/>
      </c>
      <c r="I159" s="57" t="str">
        <f t="shared" si="142"/>
        <v/>
      </c>
      <c r="J159" s="57" t="str">
        <f t="shared" si="142"/>
        <v/>
      </c>
      <c r="K159" s="57" t="str">
        <f t="shared" si="142"/>
        <v/>
      </c>
      <c r="M159" s="475"/>
      <c r="N159" s="473"/>
      <c r="O159" s="360"/>
      <c r="P159" s="360"/>
    </row>
    <row r="160" spans="1:28" hidden="1" outlineLevel="2" x14ac:dyDescent="0.2">
      <c r="B160" s="209"/>
      <c r="C160" s="209">
        <v>7</v>
      </c>
      <c r="E160" s="359" t="s">
        <v>1295</v>
      </c>
      <c r="F160" s="57" t="str">
        <f t="shared" ref="F160:K160" si="143">IFERROR(F157*INDEX(MBSIncItems,$C145,$C160),"")</f>
        <v/>
      </c>
      <c r="G160" s="57" t="str">
        <f t="shared" si="143"/>
        <v/>
      </c>
      <c r="H160" s="57" t="str">
        <f t="shared" si="143"/>
        <v/>
      </c>
      <c r="I160" s="57" t="str">
        <f t="shared" si="143"/>
        <v/>
      </c>
      <c r="J160" s="57" t="str">
        <f t="shared" si="143"/>
        <v/>
      </c>
      <c r="K160" s="57" t="str">
        <f t="shared" si="143"/>
        <v/>
      </c>
      <c r="M160" s="475"/>
      <c r="N160" s="473"/>
      <c r="O160" s="360"/>
      <c r="P160" s="360"/>
    </row>
    <row r="161" spans="1:28" outlineLevel="1" collapsed="1" x14ac:dyDescent="0.2">
      <c r="D161" s="360"/>
      <c r="E161" s="360"/>
      <c r="N161" s="360"/>
      <c r="O161" s="360"/>
      <c r="P161" s="360"/>
    </row>
    <row r="162" spans="1:28" ht="15.75" outlineLevel="1" collapsed="1" x14ac:dyDescent="0.2">
      <c r="C162" s="209">
        <v>4</v>
      </c>
      <c r="D162" s="72" t="str">
        <f>INDEX(MBSIncNames,C162)</f>
        <v>** NOT USED **</v>
      </c>
      <c r="E162" s="72"/>
      <c r="F162" s="105"/>
      <c r="G162" s="105"/>
      <c r="H162" s="105"/>
      <c r="I162" s="105"/>
      <c r="J162" s="588" t="str">
        <f>IF(D162&lt;&gt;MsgNotUsed,"Co-payment group " &amp; K66,"")</f>
        <v/>
      </c>
      <c r="K162" s="588"/>
      <c r="L162" s="105"/>
      <c r="M162" s="105"/>
      <c r="N162" s="105"/>
      <c r="O162" s="105"/>
      <c r="P162" s="105"/>
      <c r="Q162" s="105"/>
      <c r="R162" s="105"/>
      <c r="S162" s="105"/>
      <c r="T162" s="105"/>
      <c r="U162" s="105"/>
      <c r="V162" s="105"/>
    </row>
    <row r="163" spans="1:28" hidden="1" outlineLevel="2" x14ac:dyDescent="0.2">
      <c r="F163" s="357">
        <v>2</v>
      </c>
      <c r="G163" s="357">
        <v>3</v>
      </c>
      <c r="H163" s="357">
        <v>4</v>
      </c>
      <c r="I163" s="357">
        <v>5</v>
      </c>
      <c r="J163" s="357">
        <v>6</v>
      </c>
      <c r="K163" s="357">
        <v>7</v>
      </c>
      <c r="L163" s="357"/>
    </row>
    <row r="164" spans="1:28" ht="15" hidden="1" outlineLevel="2" x14ac:dyDescent="0.2">
      <c r="D164" s="462" t="s">
        <v>0</v>
      </c>
      <c r="E164" s="462"/>
      <c r="F164" s="74">
        <f>FirstYear</f>
        <v>2026</v>
      </c>
      <c r="G164" s="74">
        <f>F164+1</f>
        <v>2027</v>
      </c>
      <c r="H164" s="74">
        <f>G164+1</f>
        <v>2028</v>
      </c>
      <c r="I164" s="74">
        <f>H164+1</f>
        <v>2029</v>
      </c>
      <c r="J164" s="74">
        <f>I164+1</f>
        <v>2030</v>
      </c>
      <c r="K164" s="74">
        <f>J164+1</f>
        <v>2031</v>
      </c>
      <c r="N164" s="470"/>
      <c r="O164" s="470"/>
      <c r="P164" s="470"/>
      <c r="Q164" s="223"/>
      <c r="R164" s="223"/>
      <c r="S164" s="223"/>
      <c r="T164" s="223"/>
      <c r="U164" s="223"/>
      <c r="V164" s="223"/>
      <c r="X164" s="223"/>
      <c r="Y164" s="223"/>
      <c r="Z164" s="223"/>
      <c r="AA164" s="223"/>
    </row>
    <row r="165" spans="1:28" hidden="1" outlineLevel="2" x14ac:dyDescent="0.2">
      <c r="E165" s="82" t="s">
        <v>938</v>
      </c>
      <c r="F165" s="239">
        <f t="shared" ref="F165:K165" si="144">F166*INDEX(MBSIncCalc,$C162,3)</f>
        <v>0</v>
      </c>
      <c r="G165" s="239">
        <f t="shared" si="144"/>
        <v>0</v>
      </c>
      <c r="H165" s="239">
        <f t="shared" si="144"/>
        <v>0</v>
      </c>
      <c r="I165" s="239">
        <f t="shared" si="144"/>
        <v>0</v>
      </c>
      <c r="J165" s="239">
        <f t="shared" si="144"/>
        <v>0</v>
      </c>
      <c r="K165" s="239">
        <f t="shared" si="144"/>
        <v>0</v>
      </c>
      <c r="M165" s="471"/>
      <c r="N165" s="463"/>
      <c r="O165" s="463"/>
      <c r="P165" s="463"/>
      <c r="Q165" s="472"/>
      <c r="R165" s="472"/>
      <c r="S165" s="472"/>
      <c r="T165" s="472"/>
      <c r="U165" s="472"/>
      <c r="V165" s="472"/>
      <c r="X165" s="402">
        <f>INDEX(MBSIncItems,C162,1)</f>
        <v>0</v>
      </c>
      <c r="Y165" s="402">
        <f>FirstYear</f>
        <v>2026</v>
      </c>
      <c r="Z165" s="401">
        <f>IF(F166&lt;&gt;0,F166-F168,0)</f>
        <v>0</v>
      </c>
      <c r="AA165" s="401">
        <f>IF(F174&lt;&gt;0,F174-F176,0)</f>
        <v>0</v>
      </c>
      <c r="AB165" s="223"/>
    </row>
    <row r="166" spans="1:28" hidden="1" outlineLevel="2" x14ac:dyDescent="0.2">
      <c r="B166" s="468"/>
      <c r="C166" s="209" t="str">
        <f>INDEX(MBSIncCalc,C162,2)</f>
        <v/>
      </c>
      <c r="E166" s="56" t="s">
        <v>1297</v>
      </c>
      <c r="F166" s="57">
        <f t="shared" ref="F166:K166" si="145">IF(INDEX(MBSIncRate,$C162,2)=2,IFERROR(INDEX(PBSScriptsNew,$C166,F163),0),IFERROR(INDEX(MBSPBSInc,$C162,INDEX(MBSIncRate,$C162,3)*7+F163),0) * IFERROR(INDEX(MBSIncPopSplit,$C162),0)) * INDEX(MBSIncRate,$C162,1) * INDEX(MBSIncRate,$C162,4)</f>
        <v>0</v>
      </c>
      <c r="G166" s="57">
        <f t="shared" si="145"/>
        <v>0</v>
      </c>
      <c r="H166" s="57">
        <f t="shared" si="145"/>
        <v>0</v>
      </c>
      <c r="I166" s="57">
        <f t="shared" si="145"/>
        <v>0</v>
      </c>
      <c r="J166" s="57">
        <f t="shared" si="145"/>
        <v>0</v>
      </c>
      <c r="K166" s="57">
        <f t="shared" si="145"/>
        <v>0</v>
      </c>
      <c r="O166" s="463"/>
      <c r="P166" s="463"/>
      <c r="Q166" s="472"/>
      <c r="R166" s="472"/>
      <c r="S166" s="472"/>
      <c r="T166" s="472"/>
      <c r="U166" s="472"/>
      <c r="V166" s="472"/>
      <c r="X166" s="402">
        <f>X165</f>
        <v>0</v>
      </c>
      <c r="Y166" s="402">
        <f>Y165+1</f>
        <v>2027</v>
      </c>
      <c r="Z166" s="401">
        <f>IF(G166&lt;&gt;0,G166-G168,0)</f>
        <v>0</v>
      </c>
      <c r="AA166" s="401">
        <f>IF(G174&lt;&gt;0,G174-G176,0)</f>
        <v>0</v>
      </c>
      <c r="AB166" s="223"/>
    </row>
    <row r="167" spans="1:28" hidden="1" outlineLevel="2" x14ac:dyDescent="0.2">
      <c r="B167" s="209">
        <v>5</v>
      </c>
      <c r="C167" s="209">
        <v>6</v>
      </c>
      <c r="E167" s="358" t="s">
        <v>1294</v>
      </c>
      <c r="F167" s="57" t="str">
        <f t="shared" ref="F167:K167" si="146">IFERROR(F166*INDEX(MBSIncItems,$C162,$B167)*INDEX(MBSIncItems,$C162,$C167),"")</f>
        <v/>
      </c>
      <c r="G167" s="57" t="str">
        <f t="shared" si="146"/>
        <v/>
      </c>
      <c r="H167" s="57" t="str">
        <f t="shared" si="146"/>
        <v/>
      </c>
      <c r="I167" s="57" t="str">
        <f t="shared" si="146"/>
        <v/>
      </c>
      <c r="J167" s="57" t="str">
        <f t="shared" si="146"/>
        <v/>
      </c>
      <c r="K167" s="57" t="str">
        <f t="shared" si="146"/>
        <v/>
      </c>
      <c r="O167" s="473"/>
      <c r="P167" s="514"/>
      <c r="Q167" s="472"/>
      <c r="R167" s="472"/>
      <c r="S167" s="472"/>
      <c r="T167" s="472"/>
      <c r="U167" s="472"/>
      <c r="V167" s="472"/>
      <c r="X167" s="402">
        <f t="shared" ref="X167:X170" si="147">X166</f>
        <v>0</v>
      </c>
      <c r="Y167" s="402">
        <f>Y166+1</f>
        <v>2028</v>
      </c>
      <c r="Z167" s="401">
        <f>IF(H166&lt;&gt;0,H166-H168,0)</f>
        <v>0</v>
      </c>
      <c r="AA167" s="401">
        <f>IF(H174&lt;&gt;0,H174-H176,0)</f>
        <v>0</v>
      </c>
      <c r="AB167" s="469"/>
    </row>
    <row r="168" spans="1:28" hidden="1" outlineLevel="2" x14ac:dyDescent="0.2">
      <c r="A168"/>
      <c r="B168" s="209">
        <v>4</v>
      </c>
      <c r="C168" s="209">
        <v>6</v>
      </c>
      <c r="E168" s="358" t="s">
        <v>1293</v>
      </c>
      <c r="F168" s="57" t="str">
        <f t="shared" ref="F168:K168" si="148">IFERROR(F166*INDEX(MBSIncItems,$C162,$B168)*INDEX(MBSIncItems,$C162,$C168),"")</f>
        <v/>
      </c>
      <c r="G168" s="57" t="str">
        <f t="shared" si="148"/>
        <v/>
      </c>
      <c r="H168" s="57" t="str">
        <f t="shared" si="148"/>
        <v/>
      </c>
      <c r="I168" s="57" t="str">
        <f t="shared" si="148"/>
        <v/>
      </c>
      <c r="J168" s="57" t="str">
        <f t="shared" si="148"/>
        <v/>
      </c>
      <c r="K168" s="57" t="str">
        <f t="shared" si="148"/>
        <v/>
      </c>
      <c r="L168"/>
      <c r="M168"/>
      <c r="N168"/>
      <c r="O168"/>
      <c r="P168"/>
      <c r="Q168"/>
      <c r="R168"/>
      <c r="S168"/>
      <c r="T168"/>
      <c r="U168"/>
      <c r="V168"/>
      <c r="X168" s="402">
        <f t="shared" si="147"/>
        <v>0</v>
      </c>
      <c r="Y168" s="402">
        <f>Y167+1</f>
        <v>2029</v>
      </c>
      <c r="Z168" s="401">
        <f>IF(I166&lt;&gt;0,I166-I168,0)</f>
        <v>0</v>
      </c>
      <c r="AA168" s="401">
        <f>IF(I174&lt;&gt;0,I174-I176,0)</f>
        <v>0</v>
      </c>
      <c r="AB168" s="469"/>
    </row>
    <row r="169" spans="1:28" hidden="1" outlineLevel="2" x14ac:dyDescent="0.2">
      <c r="B169" s="209"/>
      <c r="C169" s="209">
        <v>7</v>
      </c>
      <c r="E169" s="359" t="s">
        <v>1295</v>
      </c>
      <c r="F169" s="57" t="str">
        <f t="shared" ref="F169:K169" si="149">IFERROR(F166*INDEX(MBSIncItems,$C162,$C169),"")</f>
        <v/>
      </c>
      <c r="G169" s="57" t="str">
        <f t="shared" si="149"/>
        <v/>
      </c>
      <c r="H169" s="57" t="str">
        <f t="shared" si="149"/>
        <v/>
      </c>
      <c r="I169" s="57" t="str">
        <f t="shared" si="149"/>
        <v/>
      </c>
      <c r="J169" s="57" t="str">
        <f t="shared" si="149"/>
        <v/>
      </c>
      <c r="K169" s="57" t="str">
        <f t="shared" si="149"/>
        <v/>
      </c>
      <c r="O169" s="473"/>
      <c r="P169" s="514"/>
      <c r="Q169" s="472"/>
      <c r="R169" s="472"/>
      <c r="S169" s="472"/>
      <c r="T169" s="472"/>
      <c r="U169" s="472"/>
      <c r="V169" s="472"/>
      <c r="X169" s="402">
        <f t="shared" si="147"/>
        <v>0</v>
      </c>
      <c r="Y169" s="402">
        <f>Y168+1</f>
        <v>2030</v>
      </c>
      <c r="Z169" s="401">
        <f>IF(J166&lt;&gt;0,J166-J168,0)</f>
        <v>0</v>
      </c>
      <c r="AA169" s="401">
        <f>IF(J174&lt;&gt;0,J174-J176,0)</f>
        <v>0</v>
      </c>
      <c r="AB169" s="469"/>
    </row>
    <row r="170" spans="1:28" hidden="1" outlineLevel="2" x14ac:dyDescent="0.2">
      <c r="O170" s="473"/>
      <c r="P170" s="473"/>
      <c r="Q170" s="472"/>
      <c r="R170" s="472"/>
      <c r="S170" s="472"/>
      <c r="T170" s="472"/>
      <c r="U170" s="472"/>
      <c r="V170" s="472"/>
      <c r="X170" s="402">
        <f t="shared" si="147"/>
        <v>0</v>
      </c>
      <c r="Y170" s="402">
        <f>Y169+1</f>
        <v>2031</v>
      </c>
      <c r="Z170" s="401">
        <f>IF(K166&lt;&gt;0,K166-K168,0)</f>
        <v>0</v>
      </c>
      <c r="AA170" s="401">
        <f>IF(K174&lt;&gt;0,K174-K176,0)</f>
        <v>0</v>
      </c>
      <c r="AB170" s="469"/>
    </row>
    <row r="171" spans="1:28" hidden="1" outlineLevel="2" x14ac:dyDescent="0.2">
      <c r="D171" s="360"/>
      <c r="E171" s="360"/>
      <c r="F171" s="357">
        <v>2</v>
      </c>
      <c r="G171" s="357">
        <v>3</v>
      </c>
      <c r="H171" s="357">
        <v>4</v>
      </c>
      <c r="I171" s="357">
        <v>5</v>
      </c>
      <c r="J171" s="357">
        <v>6</v>
      </c>
      <c r="K171" s="357">
        <v>7</v>
      </c>
      <c r="N171" s="360"/>
      <c r="O171" s="360"/>
      <c r="P171" s="360"/>
      <c r="AB171" s="469"/>
    </row>
    <row r="172" spans="1:28" ht="15.75" hidden="1" outlineLevel="2" x14ac:dyDescent="0.2">
      <c r="D172" s="462" t="s">
        <v>1</v>
      </c>
      <c r="E172" s="462"/>
      <c r="F172" s="74">
        <f>FirstYear</f>
        <v>2026</v>
      </c>
      <c r="G172" s="74">
        <f>F172+1</f>
        <v>2027</v>
      </c>
      <c r="H172" s="74">
        <f>G172+1</f>
        <v>2028</v>
      </c>
      <c r="I172" s="74">
        <f>H172+1</f>
        <v>2029</v>
      </c>
      <c r="J172" s="74">
        <f>I172+1</f>
        <v>2030</v>
      </c>
      <c r="K172" s="74">
        <f>J172+1</f>
        <v>2031</v>
      </c>
      <c r="N172" s="466"/>
      <c r="O172" s="466"/>
      <c r="P172" s="466"/>
    </row>
    <row r="173" spans="1:28" hidden="1" outlineLevel="2" x14ac:dyDescent="0.2">
      <c r="E173" s="82" t="s">
        <v>938</v>
      </c>
      <c r="F173" s="239">
        <f t="shared" ref="F173:K173" si="150">F174*INDEX(MBSIncCalc,$C162,3)</f>
        <v>0</v>
      </c>
      <c r="G173" s="239">
        <f t="shared" si="150"/>
        <v>0</v>
      </c>
      <c r="H173" s="239">
        <f t="shared" si="150"/>
        <v>0</v>
      </c>
      <c r="I173" s="239">
        <f t="shared" si="150"/>
        <v>0</v>
      </c>
      <c r="J173" s="239">
        <f t="shared" si="150"/>
        <v>0</v>
      </c>
      <c r="K173" s="239">
        <f t="shared" si="150"/>
        <v>0</v>
      </c>
      <c r="M173"/>
      <c r="N173"/>
      <c r="O173" s="360"/>
      <c r="P173" s="360"/>
    </row>
    <row r="174" spans="1:28" hidden="1" outlineLevel="2" x14ac:dyDescent="0.2">
      <c r="B174" s="468"/>
      <c r="C174" s="209" t="str">
        <f>C166</f>
        <v/>
      </c>
      <c r="E174" s="56" t="s">
        <v>1297</v>
      </c>
      <c r="F174" s="57">
        <f t="shared" ref="F174:K174" si="151">IF(INDEX(MBSIncRate,$C162,2)=2,IFERROR(INDEX(RPBSScriptsNew,$C174,F171),0),IFERROR(INDEX(MBSRPBSInc,$C162,INDEX(MBSIncRate,$C162,3)*7+F171),0) * IFERROR(INDEX(MBSIncPopSplit,$C162),0)) * INDEX(MBSIncRate,$C162,1) * INDEX(MBSIncRate,$C162,4)</f>
        <v>0</v>
      </c>
      <c r="G174" s="57">
        <f t="shared" si="151"/>
        <v>0</v>
      </c>
      <c r="H174" s="57">
        <f t="shared" si="151"/>
        <v>0</v>
      </c>
      <c r="I174" s="57">
        <f t="shared" si="151"/>
        <v>0</v>
      </c>
      <c r="J174" s="57">
        <f t="shared" si="151"/>
        <v>0</v>
      </c>
      <c r="K174" s="57">
        <f t="shared" si="151"/>
        <v>0</v>
      </c>
      <c r="N174" s="344"/>
      <c r="O174" s="360"/>
      <c r="P174" s="360"/>
    </row>
    <row r="175" spans="1:28" hidden="1" outlineLevel="2" x14ac:dyDescent="0.2">
      <c r="B175" s="209">
        <v>5</v>
      </c>
      <c r="C175" s="209">
        <v>6</v>
      </c>
      <c r="E175" s="358" t="s">
        <v>1294</v>
      </c>
      <c r="F175" s="57" t="str">
        <f t="shared" ref="F175:K175" si="152">IFERROR(F174*INDEX(MBSIncItems,$C162,$B175)*INDEX(MBSIncItems,$C162,$C175),"")</f>
        <v/>
      </c>
      <c r="G175" s="57" t="str">
        <f t="shared" si="152"/>
        <v/>
      </c>
      <c r="H175" s="57" t="str">
        <f t="shared" si="152"/>
        <v/>
      </c>
      <c r="I175" s="57" t="str">
        <f t="shared" si="152"/>
        <v/>
      </c>
      <c r="J175" s="57" t="str">
        <f t="shared" si="152"/>
        <v/>
      </c>
      <c r="K175" s="57" t="str">
        <f t="shared" si="152"/>
        <v/>
      </c>
      <c r="M175" s="474"/>
      <c r="N175" s="344"/>
      <c r="O175" s="360"/>
      <c r="P175" s="360"/>
    </row>
    <row r="176" spans="1:28" hidden="1" outlineLevel="2" x14ac:dyDescent="0.2">
      <c r="B176" s="209">
        <v>4</v>
      </c>
      <c r="C176" s="209">
        <v>6</v>
      </c>
      <c r="E176" s="358" t="s">
        <v>1293</v>
      </c>
      <c r="F176" s="57" t="str">
        <f t="shared" ref="F176:K176" si="153">IFERROR(F174*INDEX(MBSIncItems,$C162,$B176)*INDEX(MBSIncItems,$C162,$C176),"")</f>
        <v/>
      </c>
      <c r="G176" s="57" t="str">
        <f t="shared" si="153"/>
        <v/>
      </c>
      <c r="H176" s="57" t="str">
        <f t="shared" si="153"/>
        <v/>
      </c>
      <c r="I176" s="57" t="str">
        <f t="shared" si="153"/>
        <v/>
      </c>
      <c r="J176" s="57" t="str">
        <f t="shared" si="153"/>
        <v/>
      </c>
      <c r="K176" s="57" t="str">
        <f t="shared" si="153"/>
        <v/>
      </c>
      <c r="M176" s="475"/>
      <c r="N176" s="473"/>
      <c r="O176" s="360"/>
      <c r="P176" s="360"/>
    </row>
    <row r="177" spans="1:28" hidden="1" outlineLevel="2" x14ac:dyDescent="0.2">
      <c r="B177" s="209"/>
      <c r="C177" s="209">
        <v>7</v>
      </c>
      <c r="E177" s="359" t="s">
        <v>1295</v>
      </c>
      <c r="F177" s="57" t="str">
        <f t="shared" ref="F177:K177" si="154">IFERROR(F174*INDEX(MBSIncItems,$C162,$C177),"")</f>
        <v/>
      </c>
      <c r="G177" s="57" t="str">
        <f t="shared" si="154"/>
        <v/>
      </c>
      <c r="H177" s="57" t="str">
        <f t="shared" si="154"/>
        <v/>
      </c>
      <c r="I177" s="57" t="str">
        <f t="shared" si="154"/>
        <v/>
      </c>
      <c r="J177" s="57" t="str">
        <f t="shared" si="154"/>
        <v/>
      </c>
      <c r="K177" s="57" t="str">
        <f t="shared" si="154"/>
        <v/>
      </c>
      <c r="M177" s="475"/>
      <c r="N177" s="473"/>
      <c r="O177" s="360"/>
      <c r="P177" s="360"/>
    </row>
    <row r="178" spans="1:28" outlineLevel="1" collapsed="1" x14ac:dyDescent="0.2">
      <c r="D178" s="360"/>
      <c r="E178" s="360"/>
      <c r="N178" s="360"/>
      <c r="O178" s="360"/>
      <c r="P178" s="360"/>
    </row>
    <row r="179" spans="1:28" ht="15.75" outlineLevel="1" collapsed="1" x14ac:dyDescent="0.2">
      <c r="C179" s="209">
        <v>5</v>
      </c>
      <c r="D179" s="72" t="str">
        <f>INDEX(MBSIncNames,C179)</f>
        <v>** NOT USED **</v>
      </c>
      <c r="E179" s="72"/>
      <c r="F179" s="105"/>
      <c r="G179" s="105"/>
      <c r="H179" s="105"/>
      <c r="I179" s="105"/>
      <c r="J179" s="588" t="str">
        <f>IF(D179&lt;&gt;MsgNotUsed,"Co-payment group " &amp; K67,"")</f>
        <v/>
      </c>
      <c r="K179" s="588"/>
      <c r="L179" s="105"/>
      <c r="M179" s="105"/>
      <c r="N179" s="105"/>
      <c r="O179" s="105"/>
      <c r="P179" s="105"/>
      <c r="Q179" s="105"/>
      <c r="R179" s="105"/>
      <c r="S179" s="105"/>
      <c r="T179" s="105"/>
      <c r="U179" s="105"/>
      <c r="V179" s="105"/>
    </row>
    <row r="180" spans="1:28" hidden="1" outlineLevel="2" x14ac:dyDescent="0.2">
      <c r="F180" s="357">
        <v>2</v>
      </c>
      <c r="G180" s="357">
        <v>3</v>
      </c>
      <c r="H180" s="357">
        <v>4</v>
      </c>
      <c r="I180" s="357">
        <v>5</v>
      </c>
      <c r="J180" s="357">
        <v>6</v>
      </c>
      <c r="K180" s="357">
        <v>7</v>
      </c>
      <c r="L180" s="357"/>
    </row>
    <row r="181" spans="1:28" ht="15" hidden="1" outlineLevel="2" x14ac:dyDescent="0.2">
      <c r="D181" s="462" t="s">
        <v>0</v>
      </c>
      <c r="E181" s="462"/>
      <c r="F181" s="74">
        <f>FirstYear</f>
        <v>2026</v>
      </c>
      <c r="G181" s="74">
        <f>F181+1</f>
        <v>2027</v>
      </c>
      <c r="H181" s="74">
        <f>G181+1</f>
        <v>2028</v>
      </c>
      <c r="I181" s="74">
        <f>H181+1</f>
        <v>2029</v>
      </c>
      <c r="J181" s="74">
        <f>I181+1</f>
        <v>2030</v>
      </c>
      <c r="K181" s="74">
        <f>J181+1</f>
        <v>2031</v>
      </c>
      <c r="N181" s="470"/>
      <c r="O181" s="470"/>
      <c r="P181" s="470"/>
      <c r="Q181" s="223"/>
      <c r="R181" s="223"/>
      <c r="S181" s="223"/>
      <c r="T181" s="223"/>
      <c r="U181" s="223"/>
      <c r="V181" s="223"/>
      <c r="X181" s="223"/>
      <c r="Y181" s="223"/>
      <c r="Z181" s="223"/>
      <c r="AA181" s="223"/>
    </row>
    <row r="182" spans="1:28" hidden="1" outlineLevel="2" x14ac:dyDescent="0.2">
      <c r="E182" s="82" t="s">
        <v>938</v>
      </c>
      <c r="F182" s="239">
        <f t="shared" ref="F182:K182" si="155">F183*INDEX(MBSIncCalc,$C179,3)</f>
        <v>0</v>
      </c>
      <c r="G182" s="239">
        <f t="shared" si="155"/>
        <v>0</v>
      </c>
      <c r="H182" s="239">
        <f t="shared" si="155"/>
        <v>0</v>
      </c>
      <c r="I182" s="239">
        <f t="shared" si="155"/>
        <v>0</v>
      </c>
      <c r="J182" s="239">
        <f t="shared" si="155"/>
        <v>0</v>
      </c>
      <c r="K182" s="239">
        <f t="shared" si="155"/>
        <v>0</v>
      </c>
      <c r="M182" s="471"/>
      <c r="N182" s="463"/>
      <c r="O182" s="463"/>
      <c r="P182" s="463"/>
      <c r="Q182" s="472"/>
      <c r="R182" s="472"/>
      <c r="S182" s="472"/>
      <c r="T182" s="472"/>
      <c r="U182" s="472"/>
      <c r="V182" s="472"/>
      <c r="X182" s="402">
        <f>INDEX(MBSIncItems,C179,1)</f>
        <v>0</v>
      </c>
      <c r="Y182" s="402">
        <f>FirstYear</f>
        <v>2026</v>
      </c>
      <c r="Z182" s="401">
        <f>IF(F183&lt;&gt;0,F183-F185,0)</f>
        <v>0</v>
      </c>
      <c r="AA182" s="401">
        <f>IF(F191&lt;&gt;0,F191-F193,0)</f>
        <v>0</v>
      </c>
      <c r="AB182" s="223"/>
    </row>
    <row r="183" spans="1:28" hidden="1" outlineLevel="2" x14ac:dyDescent="0.2">
      <c r="B183" s="468"/>
      <c r="C183" s="209" t="str">
        <f>INDEX(MBSIncCalc,C179,2)</f>
        <v/>
      </c>
      <c r="E183" s="56" t="s">
        <v>1297</v>
      </c>
      <c r="F183" s="57">
        <f t="shared" ref="F183:K183" si="156">IF(INDEX(MBSIncRate,$C179,2)=2,IFERROR(INDEX(PBSScriptsNew,$C183,F180),0),IFERROR(INDEX(MBSPBSInc,$C179,INDEX(MBSIncRate,$C179,3)*7+F180),0) * IFERROR(INDEX(MBSIncPopSplit,$C179),0)) * INDEX(MBSIncRate,$C179,1) * INDEX(MBSIncRate,$C179,4)</f>
        <v>0</v>
      </c>
      <c r="G183" s="57">
        <f t="shared" si="156"/>
        <v>0</v>
      </c>
      <c r="H183" s="57">
        <f t="shared" si="156"/>
        <v>0</v>
      </c>
      <c r="I183" s="57">
        <f t="shared" si="156"/>
        <v>0</v>
      </c>
      <c r="J183" s="57">
        <f t="shared" si="156"/>
        <v>0</v>
      </c>
      <c r="K183" s="57">
        <f t="shared" si="156"/>
        <v>0</v>
      </c>
      <c r="O183" s="463"/>
      <c r="P183" s="463"/>
      <c r="Q183" s="472"/>
      <c r="R183" s="472"/>
      <c r="S183" s="472"/>
      <c r="T183" s="472"/>
      <c r="U183" s="472"/>
      <c r="V183" s="472"/>
      <c r="X183" s="402">
        <f>X182</f>
        <v>0</v>
      </c>
      <c r="Y183" s="402">
        <f>Y182+1</f>
        <v>2027</v>
      </c>
      <c r="Z183" s="401">
        <f>IF(G183&lt;&gt;0,G183-G185,0)</f>
        <v>0</v>
      </c>
      <c r="AA183" s="401">
        <f>IF(G191&lt;&gt;0,G191-G193,0)</f>
        <v>0</v>
      </c>
      <c r="AB183" s="223"/>
    </row>
    <row r="184" spans="1:28" hidden="1" outlineLevel="2" x14ac:dyDescent="0.2">
      <c r="B184" s="209">
        <v>5</v>
      </c>
      <c r="C184" s="209">
        <v>6</v>
      </c>
      <c r="E184" s="358" t="s">
        <v>1294</v>
      </c>
      <c r="F184" s="57" t="str">
        <f t="shared" ref="F184:K184" si="157">IFERROR(F183*INDEX(MBSIncItems,$C179,$B184)*INDEX(MBSIncItems,$C179,$C184),"")</f>
        <v/>
      </c>
      <c r="G184" s="57" t="str">
        <f t="shared" si="157"/>
        <v/>
      </c>
      <c r="H184" s="57" t="str">
        <f t="shared" si="157"/>
        <v/>
      </c>
      <c r="I184" s="57" t="str">
        <f t="shared" si="157"/>
        <v/>
      </c>
      <c r="J184" s="57" t="str">
        <f t="shared" si="157"/>
        <v/>
      </c>
      <c r="K184" s="57" t="str">
        <f t="shared" si="157"/>
        <v/>
      </c>
      <c r="O184" s="473"/>
      <c r="P184" s="514"/>
      <c r="Q184" s="472"/>
      <c r="R184" s="472"/>
      <c r="S184" s="472"/>
      <c r="T184" s="472"/>
      <c r="U184" s="472"/>
      <c r="V184" s="472"/>
      <c r="X184" s="402">
        <f t="shared" ref="X184:X187" si="158">X183</f>
        <v>0</v>
      </c>
      <c r="Y184" s="402">
        <f>Y183+1</f>
        <v>2028</v>
      </c>
      <c r="Z184" s="401">
        <f>IF(H183&lt;&gt;0,H183-H185,0)</f>
        <v>0</v>
      </c>
      <c r="AA184" s="401">
        <f>IF(H191&lt;&gt;0,H191-H193,0)</f>
        <v>0</v>
      </c>
      <c r="AB184" s="469"/>
    </row>
    <row r="185" spans="1:28" hidden="1" outlineLevel="2" x14ac:dyDescent="0.2">
      <c r="A185"/>
      <c r="B185" s="209">
        <v>4</v>
      </c>
      <c r="C185" s="209">
        <v>6</v>
      </c>
      <c r="E185" s="358" t="s">
        <v>1293</v>
      </c>
      <c r="F185" s="57" t="str">
        <f t="shared" ref="F185:K185" si="159">IFERROR(F183*INDEX(MBSIncItems,$C179,$B185)*INDEX(MBSIncItems,$C179,$C185),"")</f>
        <v/>
      </c>
      <c r="G185" s="57" t="str">
        <f t="shared" si="159"/>
        <v/>
      </c>
      <c r="H185" s="57" t="str">
        <f t="shared" si="159"/>
        <v/>
      </c>
      <c r="I185" s="57" t="str">
        <f t="shared" si="159"/>
        <v/>
      </c>
      <c r="J185" s="57" t="str">
        <f t="shared" si="159"/>
        <v/>
      </c>
      <c r="K185" s="57" t="str">
        <f t="shared" si="159"/>
        <v/>
      </c>
      <c r="L185"/>
      <c r="M185"/>
      <c r="N185"/>
      <c r="O185"/>
      <c r="P185"/>
      <c r="Q185"/>
      <c r="R185"/>
      <c r="S185"/>
      <c r="T185"/>
      <c r="U185"/>
      <c r="V185"/>
      <c r="X185" s="402">
        <f t="shared" si="158"/>
        <v>0</v>
      </c>
      <c r="Y185" s="402">
        <f>Y184+1</f>
        <v>2029</v>
      </c>
      <c r="Z185" s="401">
        <f>IF(I183&lt;&gt;0,I183-I185,0)</f>
        <v>0</v>
      </c>
      <c r="AA185" s="401">
        <f>IF(I191&lt;&gt;0,I191-I193,0)</f>
        <v>0</v>
      </c>
      <c r="AB185" s="469"/>
    </row>
    <row r="186" spans="1:28" hidden="1" outlineLevel="2" x14ac:dyDescent="0.2">
      <c r="B186" s="209"/>
      <c r="C186" s="209">
        <v>7</v>
      </c>
      <c r="E186" s="359" t="s">
        <v>1295</v>
      </c>
      <c r="F186" s="57" t="str">
        <f t="shared" ref="F186:K186" si="160">IFERROR(F183*INDEX(MBSIncItems,$C179,$C186),"")</f>
        <v/>
      </c>
      <c r="G186" s="57" t="str">
        <f t="shared" si="160"/>
        <v/>
      </c>
      <c r="H186" s="57" t="str">
        <f t="shared" si="160"/>
        <v/>
      </c>
      <c r="I186" s="57" t="str">
        <f t="shared" si="160"/>
        <v/>
      </c>
      <c r="J186" s="57" t="str">
        <f t="shared" si="160"/>
        <v/>
      </c>
      <c r="K186" s="57" t="str">
        <f t="shared" si="160"/>
        <v/>
      </c>
      <c r="O186" s="473"/>
      <c r="P186" s="514"/>
      <c r="Q186" s="472"/>
      <c r="R186" s="472"/>
      <c r="S186" s="472"/>
      <c r="T186" s="472"/>
      <c r="U186" s="472"/>
      <c r="V186" s="472"/>
      <c r="X186" s="402">
        <f t="shared" si="158"/>
        <v>0</v>
      </c>
      <c r="Y186" s="402">
        <f>Y185+1</f>
        <v>2030</v>
      </c>
      <c r="Z186" s="401">
        <f>IF(J183&lt;&gt;0,J183-J185,0)</f>
        <v>0</v>
      </c>
      <c r="AA186" s="401">
        <f>IF(J191&lt;&gt;0,J191-J193,0)</f>
        <v>0</v>
      </c>
      <c r="AB186" s="469"/>
    </row>
    <row r="187" spans="1:28" hidden="1" outlineLevel="2" x14ac:dyDescent="0.2">
      <c r="O187" s="473"/>
      <c r="P187" s="473"/>
      <c r="Q187" s="472"/>
      <c r="R187" s="472"/>
      <c r="S187" s="472"/>
      <c r="T187" s="472"/>
      <c r="U187" s="472"/>
      <c r="V187" s="472"/>
      <c r="X187" s="402">
        <f t="shared" si="158"/>
        <v>0</v>
      </c>
      <c r="Y187" s="402">
        <f>Y186+1</f>
        <v>2031</v>
      </c>
      <c r="Z187" s="401">
        <f>IF(K183&lt;&gt;0,K183-K185,0)</f>
        <v>0</v>
      </c>
      <c r="AA187" s="401">
        <f>IF(K191&lt;&gt;0,K191-K193,0)</f>
        <v>0</v>
      </c>
      <c r="AB187" s="469"/>
    </row>
    <row r="188" spans="1:28" hidden="1" outlineLevel="2" x14ac:dyDescent="0.2">
      <c r="D188" s="360"/>
      <c r="E188" s="360"/>
      <c r="F188" s="357">
        <v>2</v>
      </c>
      <c r="G188" s="357">
        <v>3</v>
      </c>
      <c r="H188" s="357">
        <v>4</v>
      </c>
      <c r="I188" s="357">
        <v>5</v>
      </c>
      <c r="J188" s="357">
        <v>6</v>
      </c>
      <c r="K188" s="357">
        <v>7</v>
      </c>
      <c r="N188" s="360"/>
      <c r="O188" s="360"/>
      <c r="P188" s="360"/>
      <c r="AB188" s="469"/>
    </row>
    <row r="189" spans="1:28" ht="15.75" hidden="1" outlineLevel="2" x14ac:dyDescent="0.2">
      <c r="D189" s="462" t="s">
        <v>1</v>
      </c>
      <c r="E189" s="462"/>
      <c r="F189" s="74">
        <f>FirstYear</f>
        <v>2026</v>
      </c>
      <c r="G189" s="74">
        <f>F189+1</f>
        <v>2027</v>
      </c>
      <c r="H189" s="74">
        <f>G189+1</f>
        <v>2028</v>
      </c>
      <c r="I189" s="74">
        <f>H189+1</f>
        <v>2029</v>
      </c>
      <c r="J189" s="74">
        <f>I189+1</f>
        <v>2030</v>
      </c>
      <c r="K189" s="74">
        <f>J189+1</f>
        <v>2031</v>
      </c>
      <c r="N189" s="466"/>
      <c r="O189" s="466"/>
      <c r="P189" s="466"/>
    </row>
    <row r="190" spans="1:28" hidden="1" outlineLevel="2" x14ac:dyDescent="0.2">
      <c r="E190" s="82" t="s">
        <v>938</v>
      </c>
      <c r="F190" s="239">
        <f t="shared" ref="F190:K190" si="161">F191*INDEX(MBSIncCalc,$C179,3)</f>
        <v>0</v>
      </c>
      <c r="G190" s="239">
        <f t="shared" si="161"/>
        <v>0</v>
      </c>
      <c r="H190" s="239">
        <f t="shared" si="161"/>
        <v>0</v>
      </c>
      <c r="I190" s="239">
        <f t="shared" si="161"/>
        <v>0</v>
      </c>
      <c r="J190" s="239">
        <f t="shared" si="161"/>
        <v>0</v>
      </c>
      <c r="K190" s="239">
        <f t="shared" si="161"/>
        <v>0</v>
      </c>
      <c r="M190"/>
      <c r="N190"/>
      <c r="O190" s="360"/>
      <c r="P190" s="360"/>
    </row>
    <row r="191" spans="1:28" hidden="1" outlineLevel="2" x14ac:dyDescent="0.2">
      <c r="B191" s="468"/>
      <c r="C191" s="209" t="str">
        <f>C183</f>
        <v/>
      </c>
      <c r="E191" s="56" t="s">
        <v>1297</v>
      </c>
      <c r="F191" s="57">
        <f t="shared" ref="F191:K191" si="162">IF(INDEX(MBSIncRate,$C179,2)=2,IFERROR(INDEX(RPBSScriptsNew,$C191,F188),0),IFERROR(INDEX(MBSRPBSInc,$C179,INDEX(MBSIncRate,$C179,3)*7+F188),0) * IFERROR(INDEX(MBSIncPopSplit,$C179),0)) * INDEX(MBSIncRate,$C179,1) * INDEX(MBSIncRate,$C179,4)</f>
        <v>0</v>
      </c>
      <c r="G191" s="57">
        <f t="shared" si="162"/>
        <v>0</v>
      </c>
      <c r="H191" s="57">
        <f t="shared" si="162"/>
        <v>0</v>
      </c>
      <c r="I191" s="57">
        <f t="shared" si="162"/>
        <v>0</v>
      </c>
      <c r="J191" s="57">
        <f t="shared" si="162"/>
        <v>0</v>
      </c>
      <c r="K191" s="57">
        <f t="shared" si="162"/>
        <v>0</v>
      </c>
      <c r="N191" s="344"/>
      <c r="O191" s="360"/>
      <c r="P191" s="360"/>
    </row>
    <row r="192" spans="1:28" hidden="1" outlineLevel="2" x14ac:dyDescent="0.2">
      <c r="B192" s="209">
        <v>5</v>
      </c>
      <c r="C192" s="209">
        <v>6</v>
      </c>
      <c r="E192" s="358" t="s">
        <v>1294</v>
      </c>
      <c r="F192" s="57" t="str">
        <f t="shared" ref="F192:K192" si="163">IFERROR(F191*INDEX(MBSIncItems,$C179,$B192)*INDEX(MBSIncItems,$C179,$C192),"")</f>
        <v/>
      </c>
      <c r="G192" s="57" t="str">
        <f t="shared" si="163"/>
        <v/>
      </c>
      <c r="H192" s="57" t="str">
        <f t="shared" si="163"/>
        <v/>
      </c>
      <c r="I192" s="57" t="str">
        <f t="shared" si="163"/>
        <v/>
      </c>
      <c r="J192" s="57" t="str">
        <f t="shared" si="163"/>
        <v/>
      </c>
      <c r="K192" s="57" t="str">
        <f t="shared" si="163"/>
        <v/>
      </c>
      <c r="M192" s="474"/>
      <c r="N192" s="344"/>
      <c r="O192" s="360"/>
      <c r="P192" s="360"/>
    </row>
    <row r="193" spans="1:28" hidden="1" outlineLevel="2" x14ac:dyDescent="0.2">
      <c r="B193" s="209">
        <v>4</v>
      </c>
      <c r="C193" s="209">
        <v>6</v>
      </c>
      <c r="E193" s="358" t="s">
        <v>1293</v>
      </c>
      <c r="F193" s="57" t="str">
        <f t="shared" ref="F193:K193" si="164">IFERROR(F191*INDEX(MBSIncItems,$C179,$B193)*INDEX(MBSIncItems,$C179,$C193),"")</f>
        <v/>
      </c>
      <c r="G193" s="57" t="str">
        <f t="shared" si="164"/>
        <v/>
      </c>
      <c r="H193" s="57" t="str">
        <f t="shared" si="164"/>
        <v/>
      </c>
      <c r="I193" s="57" t="str">
        <f t="shared" si="164"/>
        <v/>
      </c>
      <c r="J193" s="57" t="str">
        <f t="shared" si="164"/>
        <v/>
      </c>
      <c r="K193" s="57" t="str">
        <f t="shared" si="164"/>
        <v/>
      </c>
      <c r="M193" s="475"/>
      <c r="N193" s="473"/>
      <c r="O193" s="360"/>
      <c r="P193" s="360"/>
    </row>
    <row r="194" spans="1:28" hidden="1" outlineLevel="2" x14ac:dyDescent="0.2">
      <c r="B194" s="209"/>
      <c r="C194" s="209">
        <v>7</v>
      </c>
      <c r="E194" s="359" t="s">
        <v>1295</v>
      </c>
      <c r="F194" s="57" t="str">
        <f t="shared" ref="F194:K194" si="165">IFERROR(F191*INDEX(MBSIncItems,$C179,$C194),"")</f>
        <v/>
      </c>
      <c r="G194" s="57" t="str">
        <f t="shared" si="165"/>
        <v/>
      </c>
      <c r="H194" s="57" t="str">
        <f t="shared" si="165"/>
        <v/>
      </c>
      <c r="I194" s="57" t="str">
        <f t="shared" si="165"/>
        <v/>
      </c>
      <c r="J194" s="57" t="str">
        <f t="shared" si="165"/>
        <v/>
      </c>
      <c r="K194" s="57" t="str">
        <f t="shared" si="165"/>
        <v/>
      </c>
      <c r="M194" s="475"/>
      <c r="N194" s="473"/>
      <c r="O194" s="360"/>
      <c r="P194" s="360"/>
    </row>
    <row r="195" spans="1:28" outlineLevel="1" collapsed="1" x14ac:dyDescent="0.2">
      <c r="D195" s="360"/>
      <c r="E195" s="360"/>
      <c r="N195" s="360"/>
      <c r="O195" s="360"/>
      <c r="P195" s="360"/>
    </row>
    <row r="196" spans="1:28" ht="15.75" outlineLevel="1" collapsed="1" x14ac:dyDescent="0.2">
      <c r="C196" s="209">
        <v>6</v>
      </c>
      <c r="D196" s="72" t="str">
        <f>INDEX(MBSIncNames,C196)</f>
        <v>** NOT USED **</v>
      </c>
      <c r="E196" s="72"/>
      <c r="F196" s="105"/>
      <c r="G196" s="105"/>
      <c r="H196" s="105"/>
      <c r="I196" s="105"/>
      <c r="J196" s="588" t="str">
        <f>IF(D196&lt;&gt;MsgNotUsed,"Co-payment group " &amp; K68,"")</f>
        <v/>
      </c>
      <c r="K196" s="588"/>
      <c r="L196" s="105"/>
      <c r="M196" s="105"/>
      <c r="N196" s="105"/>
      <c r="O196" s="105"/>
      <c r="P196" s="105"/>
      <c r="Q196" s="105"/>
      <c r="R196" s="105"/>
      <c r="S196" s="105"/>
      <c r="T196" s="105"/>
      <c r="U196" s="105"/>
      <c r="V196" s="105"/>
    </row>
    <row r="197" spans="1:28" hidden="1" outlineLevel="2" x14ac:dyDescent="0.2">
      <c r="F197" s="357">
        <v>2</v>
      </c>
      <c r="G197" s="357">
        <v>3</v>
      </c>
      <c r="H197" s="357">
        <v>4</v>
      </c>
      <c r="I197" s="357">
        <v>5</v>
      </c>
      <c r="J197" s="357">
        <v>6</v>
      </c>
      <c r="K197" s="357">
        <v>7</v>
      </c>
      <c r="L197" s="357"/>
    </row>
    <row r="198" spans="1:28" ht="15" hidden="1" outlineLevel="2" x14ac:dyDescent="0.2">
      <c r="D198" s="462" t="s">
        <v>0</v>
      </c>
      <c r="E198" s="462"/>
      <c r="F198" s="74">
        <f>FirstYear</f>
        <v>2026</v>
      </c>
      <c r="G198" s="74">
        <f>F198+1</f>
        <v>2027</v>
      </c>
      <c r="H198" s="74">
        <f>G198+1</f>
        <v>2028</v>
      </c>
      <c r="I198" s="74">
        <f>H198+1</f>
        <v>2029</v>
      </c>
      <c r="J198" s="74">
        <f>I198+1</f>
        <v>2030</v>
      </c>
      <c r="K198" s="74">
        <f>J198+1</f>
        <v>2031</v>
      </c>
      <c r="N198" s="470"/>
      <c r="O198" s="470"/>
      <c r="P198" s="470"/>
      <c r="Q198" s="223"/>
      <c r="R198" s="223"/>
      <c r="S198" s="223"/>
      <c r="T198" s="223"/>
      <c r="U198" s="223"/>
      <c r="V198" s="223"/>
      <c r="X198" s="223"/>
      <c r="Y198" s="223"/>
      <c r="Z198" s="223"/>
      <c r="AA198" s="223"/>
    </row>
    <row r="199" spans="1:28" hidden="1" outlineLevel="2" x14ac:dyDescent="0.2">
      <c r="E199" s="82" t="s">
        <v>938</v>
      </c>
      <c r="F199" s="239">
        <f t="shared" ref="F199:K199" si="166">F200*INDEX(MBSIncCalc,$C196,3)</f>
        <v>0</v>
      </c>
      <c r="G199" s="239">
        <f t="shared" si="166"/>
        <v>0</v>
      </c>
      <c r="H199" s="239">
        <f t="shared" si="166"/>
        <v>0</v>
      </c>
      <c r="I199" s="239">
        <f t="shared" si="166"/>
        <v>0</v>
      </c>
      <c r="J199" s="239">
        <f t="shared" si="166"/>
        <v>0</v>
      </c>
      <c r="K199" s="239">
        <f t="shared" si="166"/>
        <v>0</v>
      </c>
      <c r="M199" s="471"/>
      <c r="N199" s="463"/>
      <c r="O199" s="463"/>
      <c r="P199" s="463"/>
      <c r="Q199" s="472"/>
      <c r="R199" s="472"/>
      <c r="S199" s="472"/>
      <c r="T199" s="472"/>
      <c r="U199" s="472"/>
      <c r="V199" s="472"/>
      <c r="X199" s="402">
        <f>INDEX(MBSIncItems,C196,1)</f>
        <v>0</v>
      </c>
      <c r="Y199" s="402">
        <f>FirstYear</f>
        <v>2026</v>
      </c>
      <c r="Z199" s="401">
        <f>IF(F200&lt;&gt;0,F200-F202,0)</f>
        <v>0</v>
      </c>
      <c r="AA199" s="401">
        <f>IF(F208&lt;&gt;0,F208-F210,0)</f>
        <v>0</v>
      </c>
      <c r="AB199" s="223"/>
    </row>
    <row r="200" spans="1:28" hidden="1" outlineLevel="2" x14ac:dyDescent="0.2">
      <c r="B200" s="468"/>
      <c r="C200" s="209" t="str">
        <f>INDEX(MBSIncCalc,C196,2)</f>
        <v/>
      </c>
      <c r="E200" s="56" t="s">
        <v>1297</v>
      </c>
      <c r="F200" s="57">
        <f t="shared" ref="F200:K200" si="167">IF(INDEX(MBSIncRate,$C196,2)=2,IFERROR(INDEX(PBSScriptsNew,$C200,F197),0),IFERROR(INDEX(MBSPBSInc,$C196,INDEX(MBSIncRate,$C196,3)*7+F197),0) * IFERROR(INDEX(MBSIncPopSplit,$C196),0)) * INDEX(MBSIncRate,$C196,1) * INDEX(MBSIncRate,$C196,4)</f>
        <v>0</v>
      </c>
      <c r="G200" s="57">
        <f t="shared" si="167"/>
        <v>0</v>
      </c>
      <c r="H200" s="57">
        <f t="shared" si="167"/>
        <v>0</v>
      </c>
      <c r="I200" s="57">
        <f t="shared" si="167"/>
        <v>0</v>
      </c>
      <c r="J200" s="57">
        <f t="shared" si="167"/>
        <v>0</v>
      </c>
      <c r="K200" s="57">
        <f t="shared" si="167"/>
        <v>0</v>
      </c>
      <c r="O200" s="463"/>
      <c r="P200" s="463"/>
      <c r="Q200" s="472"/>
      <c r="R200" s="472"/>
      <c r="S200" s="472"/>
      <c r="T200" s="472"/>
      <c r="U200" s="472"/>
      <c r="V200" s="472"/>
      <c r="X200" s="402">
        <f>X199</f>
        <v>0</v>
      </c>
      <c r="Y200" s="402">
        <f>Y199+1</f>
        <v>2027</v>
      </c>
      <c r="Z200" s="401">
        <f>IF(G200&lt;&gt;0,G200-G202,0)</f>
        <v>0</v>
      </c>
      <c r="AA200" s="401">
        <f>IF(G208&lt;&gt;0,G208-G210,0)</f>
        <v>0</v>
      </c>
      <c r="AB200" s="223"/>
    </row>
    <row r="201" spans="1:28" hidden="1" outlineLevel="2" x14ac:dyDescent="0.2">
      <c r="B201" s="209">
        <v>5</v>
      </c>
      <c r="C201" s="209">
        <v>6</v>
      </c>
      <c r="E201" s="358" t="s">
        <v>1294</v>
      </c>
      <c r="F201" s="57" t="str">
        <f t="shared" ref="F201:K201" si="168">IFERROR(F200*INDEX(MBSIncItems,$C196,$B201)*INDEX(MBSIncItems,$C196,$C201),"")</f>
        <v/>
      </c>
      <c r="G201" s="57" t="str">
        <f t="shared" si="168"/>
        <v/>
      </c>
      <c r="H201" s="57" t="str">
        <f t="shared" si="168"/>
        <v/>
      </c>
      <c r="I201" s="57" t="str">
        <f t="shared" si="168"/>
        <v/>
      </c>
      <c r="J201" s="57" t="str">
        <f t="shared" si="168"/>
        <v/>
      </c>
      <c r="K201" s="57" t="str">
        <f t="shared" si="168"/>
        <v/>
      </c>
      <c r="O201" s="473"/>
      <c r="P201" s="514"/>
      <c r="Q201" s="472"/>
      <c r="R201" s="472"/>
      <c r="S201" s="472"/>
      <c r="T201" s="472"/>
      <c r="U201" s="472"/>
      <c r="V201" s="472"/>
      <c r="X201" s="402">
        <f t="shared" ref="X201:X204" si="169">X200</f>
        <v>0</v>
      </c>
      <c r="Y201" s="402">
        <f>Y200+1</f>
        <v>2028</v>
      </c>
      <c r="Z201" s="401">
        <f>IF(H200&lt;&gt;0,H200-H202,0)</f>
        <v>0</v>
      </c>
      <c r="AA201" s="401">
        <f>IF(H208&lt;&gt;0,H208-H210,0)</f>
        <v>0</v>
      </c>
      <c r="AB201" s="469"/>
    </row>
    <row r="202" spans="1:28" hidden="1" outlineLevel="2" x14ac:dyDescent="0.2">
      <c r="A202"/>
      <c r="B202" s="209">
        <v>4</v>
      </c>
      <c r="C202" s="209">
        <v>6</v>
      </c>
      <c r="E202" s="358" t="s">
        <v>1293</v>
      </c>
      <c r="F202" s="57" t="str">
        <f t="shared" ref="F202:K202" si="170">IFERROR(F200*INDEX(MBSIncItems,$C196,$B202)*INDEX(MBSIncItems,$C196,$C202),"")</f>
        <v/>
      </c>
      <c r="G202" s="57" t="str">
        <f t="shared" si="170"/>
        <v/>
      </c>
      <c r="H202" s="57" t="str">
        <f t="shared" si="170"/>
        <v/>
      </c>
      <c r="I202" s="57" t="str">
        <f t="shared" si="170"/>
        <v/>
      </c>
      <c r="J202" s="57" t="str">
        <f t="shared" si="170"/>
        <v/>
      </c>
      <c r="K202" s="57" t="str">
        <f t="shared" si="170"/>
        <v/>
      </c>
      <c r="L202"/>
      <c r="M202"/>
      <c r="N202"/>
      <c r="O202"/>
      <c r="P202"/>
      <c r="Q202"/>
      <c r="R202"/>
      <c r="S202"/>
      <c r="T202"/>
      <c r="U202"/>
      <c r="V202"/>
      <c r="X202" s="402">
        <f t="shared" si="169"/>
        <v>0</v>
      </c>
      <c r="Y202" s="402">
        <f>Y201+1</f>
        <v>2029</v>
      </c>
      <c r="Z202" s="401">
        <f>IF(I200&lt;&gt;0,I200-I202,0)</f>
        <v>0</v>
      </c>
      <c r="AA202" s="401">
        <f>IF(I208&lt;&gt;0,I208-I210,0)</f>
        <v>0</v>
      </c>
      <c r="AB202" s="469"/>
    </row>
    <row r="203" spans="1:28" hidden="1" outlineLevel="2" x14ac:dyDescent="0.2">
      <c r="B203" s="209"/>
      <c r="C203" s="209">
        <v>7</v>
      </c>
      <c r="E203" s="359" t="s">
        <v>1295</v>
      </c>
      <c r="F203" s="57" t="str">
        <f t="shared" ref="F203:K203" si="171">IFERROR(F200*INDEX(MBSIncItems,$C196,$C203),"")</f>
        <v/>
      </c>
      <c r="G203" s="57" t="str">
        <f t="shared" si="171"/>
        <v/>
      </c>
      <c r="H203" s="57" t="str">
        <f t="shared" si="171"/>
        <v/>
      </c>
      <c r="I203" s="57" t="str">
        <f t="shared" si="171"/>
        <v/>
      </c>
      <c r="J203" s="57" t="str">
        <f t="shared" si="171"/>
        <v/>
      </c>
      <c r="K203" s="57" t="str">
        <f t="shared" si="171"/>
        <v/>
      </c>
      <c r="O203" s="473"/>
      <c r="P203" s="514"/>
      <c r="Q203" s="472"/>
      <c r="R203" s="472"/>
      <c r="S203" s="472"/>
      <c r="T203" s="472"/>
      <c r="U203" s="472"/>
      <c r="V203" s="472"/>
      <c r="X203" s="402">
        <f t="shared" si="169"/>
        <v>0</v>
      </c>
      <c r="Y203" s="402">
        <f>Y202+1</f>
        <v>2030</v>
      </c>
      <c r="Z203" s="401">
        <f>IF(J200&lt;&gt;0,J200-J202,0)</f>
        <v>0</v>
      </c>
      <c r="AA203" s="401">
        <f>IF(J208&lt;&gt;0,J208-J210,0)</f>
        <v>0</v>
      </c>
      <c r="AB203" s="469"/>
    </row>
    <row r="204" spans="1:28" hidden="1" outlineLevel="2" x14ac:dyDescent="0.2">
      <c r="O204" s="473"/>
      <c r="P204" s="473"/>
      <c r="Q204" s="472"/>
      <c r="R204" s="472"/>
      <c r="S204" s="472"/>
      <c r="T204" s="472"/>
      <c r="U204" s="472"/>
      <c r="V204" s="472"/>
      <c r="X204" s="402">
        <f t="shared" si="169"/>
        <v>0</v>
      </c>
      <c r="Y204" s="402">
        <f>Y203+1</f>
        <v>2031</v>
      </c>
      <c r="Z204" s="401">
        <f>IF(K200&lt;&gt;0,K200-K202,0)</f>
        <v>0</v>
      </c>
      <c r="AA204" s="401">
        <f>IF(K208&lt;&gt;0,K208-K210,0)</f>
        <v>0</v>
      </c>
      <c r="AB204" s="469"/>
    </row>
    <row r="205" spans="1:28" hidden="1" outlineLevel="2" x14ac:dyDescent="0.2">
      <c r="D205" s="360"/>
      <c r="E205" s="360"/>
      <c r="F205" s="357">
        <v>2</v>
      </c>
      <c r="G205" s="357">
        <v>3</v>
      </c>
      <c r="H205" s="357">
        <v>4</v>
      </c>
      <c r="I205" s="357">
        <v>5</v>
      </c>
      <c r="J205" s="357">
        <v>6</v>
      </c>
      <c r="K205" s="357">
        <v>7</v>
      </c>
      <c r="N205" s="360"/>
      <c r="O205" s="360"/>
      <c r="P205" s="360"/>
      <c r="AB205" s="469"/>
    </row>
    <row r="206" spans="1:28" ht="15.75" hidden="1" outlineLevel="2" x14ac:dyDescent="0.2">
      <c r="D206" s="462" t="s">
        <v>1</v>
      </c>
      <c r="E206" s="462"/>
      <c r="F206" s="74">
        <f>FirstYear</f>
        <v>2026</v>
      </c>
      <c r="G206" s="74">
        <f>F206+1</f>
        <v>2027</v>
      </c>
      <c r="H206" s="74">
        <f>G206+1</f>
        <v>2028</v>
      </c>
      <c r="I206" s="74">
        <f>H206+1</f>
        <v>2029</v>
      </c>
      <c r="J206" s="74">
        <f>I206+1</f>
        <v>2030</v>
      </c>
      <c r="K206" s="74">
        <f>J206+1</f>
        <v>2031</v>
      </c>
      <c r="N206" s="466"/>
      <c r="O206" s="466"/>
      <c r="P206" s="466"/>
    </row>
    <row r="207" spans="1:28" hidden="1" outlineLevel="2" x14ac:dyDescent="0.2">
      <c r="E207" s="82" t="s">
        <v>938</v>
      </c>
      <c r="F207" s="239">
        <f t="shared" ref="F207:K207" si="172">F208*INDEX(MBSIncCalc,$C196,3)</f>
        <v>0</v>
      </c>
      <c r="G207" s="239">
        <f t="shared" si="172"/>
        <v>0</v>
      </c>
      <c r="H207" s="239">
        <f t="shared" si="172"/>
        <v>0</v>
      </c>
      <c r="I207" s="239">
        <f t="shared" si="172"/>
        <v>0</v>
      </c>
      <c r="J207" s="239">
        <f t="shared" si="172"/>
        <v>0</v>
      </c>
      <c r="K207" s="239">
        <f t="shared" si="172"/>
        <v>0</v>
      </c>
      <c r="M207"/>
      <c r="N207"/>
      <c r="O207" s="360"/>
      <c r="P207" s="360"/>
    </row>
    <row r="208" spans="1:28" hidden="1" outlineLevel="2" x14ac:dyDescent="0.2">
      <c r="B208" s="468"/>
      <c r="C208" s="209" t="str">
        <f>C200</f>
        <v/>
      </c>
      <c r="E208" s="56" t="s">
        <v>1297</v>
      </c>
      <c r="F208" s="57">
        <f t="shared" ref="F208:K208" si="173">IF(INDEX(MBSIncRate,$C196,2)=2,IFERROR(INDEX(RPBSScriptsNew,$C208,F205),0),IFERROR(INDEX(MBSRPBSInc,$C196,INDEX(MBSIncRate,$C196,3)*7+F205),0) * IFERROR(INDEX(MBSIncPopSplit,$C196),0)) * INDEX(MBSIncRate,$C196,1) * INDEX(MBSIncRate,$C196,4)</f>
        <v>0</v>
      </c>
      <c r="G208" s="57">
        <f t="shared" si="173"/>
        <v>0</v>
      </c>
      <c r="H208" s="57">
        <f t="shared" si="173"/>
        <v>0</v>
      </c>
      <c r="I208" s="57">
        <f t="shared" si="173"/>
        <v>0</v>
      </c>
      <c r="J208" s="57">
        <f t="shared" si="173"/>
        <v>0</v>
      </c>
      <c r="K208" s="57">
        <f t="shared" si="173"/>
        <v>0</v>
      </c>
      <c r="N208" s="344"/>
      <c r="O208" s="360"/>
      <c r="P208" s="360"/>
    </row>
    <row r="209" spans="1:28" hidden="1" outlineLevel="2" x14ac:dyDescent="0.2">
      <c r="B209" s="209">
        <v>5</v>
      </c>
      <c r="C209" s="209">
        <v>6</v>
      </c>
      <c r="E209" s="358" t="s">
        <v>1294</v>
      </c>
      <c r="F209" s="57" t="str">
        <f t="shared" ref="F209:K209" si="174">IFERROR(F208*INDEX(MBSIncItems,$C196,$B209)*INDEX(MBSIncItems,$C196,$C209),"")</f>
        <v/>
      </c>
      <c r="G209" s="57" t="str">
        <f t="shared" si="174"/>
        <v/>
      </c>
      <c r="H209" s="57" t="str">
        <f t="shared" si="174"/>
        <v/>
      </c>
      <c r="I209" s="57" t="str">
        <f t="shared" si="174"/>
        <v/>
      </c>
      <c r="J209" s="57" t="str">
        <f t="shared" si="174"/>
        <v/>
      </c>
      <c r="K209" s="57" t="str">
        <f t="shared" si="174"/>
        <v/>
      </c>
      <c r="M209" s="474"/>
      <c r="N209" s="344"/>
      <c r="O209" s="360"/>
      <c r="P209" s="360"/>
    </row>
    <row r="210" spans="1:28" hidden="1" outlineLevel="2" x14ac:dyDescent="0.2">
      <c r="B210" s="209">
        <v>4</v>
      </c>
      <c r="C210" s="209">
        <v>6</v>
      </c>
      <c r="E210" s="358" t="s">
        <v>1293</v>
      </c>
      <c r="F210" s="57" t="str">
        <f t="shared" ref="F210:K210" si="175">IFERROR(F208*INDEX(MBSIncItems,$C196,$B210)*INDEX(MBSIncItems,$C196,$C210),"")</f>
        <v/>
      </c>
      <c r="G210" s="57" t="str">
        <f t="shared" si="175"/>
        <v/>
      </c>
      <c r="H210" s="57" t="str">
        <f t="shared" si="175"/>
        <v/>
      </c>
      <c r="I210" s="57" t="str">
        <f t="shared" si="175"/>
        <v/>
      </c>
      <c r="J210" s="57" t="str">
        <f t="shared" si="175"/>
        <v/>
      </c>
      <c r="K210" s="57" t="str">
        <f t="shared" si="175"/>
        <v/>
      </c>
      <c r="M210" s="475"/>
      <c r="N210" s="473"/>
      <c r="O210" s="360"/>
      <c r="P210" s="360"/>
    </row>
    <row r="211" spans="1:28" hidden="1" outlineLevel="2" x14ac:dyDescent="0.2">
      <c r="B211" s="209"/>
      <c r="C211" s="209">
        <v>7</v>
      </c>
      <c r="E211" s="359" t="s">
        <v>1295</v>
      </c>
      <c r="F211" s="57" t="str">
        <f t="shared" ref="F211:K211" si="176">IFERROR(F208*INDEX(MBSIncItems,$C196,$C211),"")</f>
        <v/>
      </c>
      <c r="G211" s="57" t="str">
        <f t="shared" si="176"/>
        <v/>
      </c>
      <c r="H211" s="57" t="str">
        <f t="shared" si="176"/>
        <v/>
      </c>
      <c r="I211" s="57" t="str">
        <f t="shared" si="176"/>
        <v/>
      </c>
      <c r="J211" s="57" t="str">
        <f t="shared" si="176"/>
        <v/>
      </c>
      <c r="K211" s="57" t="str">
        <f t="shared" si="176"/>
        <v/>
      </c>
      <c r="M211" s="475"/>
      <c r="N211" s="473"/>
      <c r="O211" s="360"/>
      <c r="P211" s="360"/>
    </row>
    <row r="212" spans="1:28" outlineLevel="1" collapsed="1" x14ac:dyDescent="0.2">
      <c r="D212" s="360"/>
      <c r="E212" s="360"/>
      <c r="N212" s="360"/>
      <c r="O212" s="360"/>
      <c r="P212" s="360"/>
    </row>
    <row r="213" spans="1:28" ht="15.75" outlineLevel="1" collapsed="1" x14ac:dyDescent="0.2">
      <c r="C213" s="209">
        <v>7</v>
      </c>
      <c r="D213" s="72" t="str">
        <f>INDEX(MBSIncNames,C213)</f>
        <v>** NOT USED **</v>
      </c>
      <c r="E213" s="72"/>
      <c r="F213" s="105"/>
      <c r="G213" s="105"/>
      <c r="H213" s="105"/>
      <c r="I213" s="105"/>
      <c r="J213" s="588" t="str">
        <f>IF(D213&lt;&gt;MsgNotUsed,"Co-payment group " &amp; K69,"")</f>
        <v/>
      </c>
      <c r="K213" s="588"/>
      <c r="L213" s="105"/>
      <c r="M213" s="105"/>
      <c r="N213" s="105"/>
      <c r="O213" s="105"/>
      <c r="P213" s="105"/>
      <c r="Q213" s="105"/>
      <c r="R213" s="105"/>
      <c r="S213" s="105"/>
      <c r="T213" s="105"/>
      <c r="U213" s="105"/>
      <c r="V213" s="105"/>
    </row>
    <row r="214" spans="1:28" hidden="1" outlineLevel="2" x14ac:dyDescent="0.2">
      <c r="F214" s="357">
        <v>2</v>
      </c>
      <c r="G214" s="357">
        <v>3</v>
      </c>
      <c r="H214" s="357">
        <v>4</v>
      </c>
      <c r="I214" s="357">
        <v>5</v>
      </c>
      <c r="J214" s="357">
        <v>6</v>
      </c>
      <c r="K214" s="357">
        <v>7</v>
      </c>
      <c r="L214" s="357"/>
    </row>
    <row r="215" spans="1:28" ht="15" hidden="1" outlineLevel="2" x14ac:dyDescent="0.2">
      <c r="D215" s="462" t="s">
        <v>0</v>
      </c>
      <c r="E215" s="462"/>
      <c r="F215" s="74">
        <f>FirstYear</f>
        <v>2026</v>
      </c>
      <c r="G215" s="74">
        <f>F215+1</f>
        <v>2027</v>
      </c>
      <c r="H215" s="74">
        <f>G215+1</f>
        <v>2028</v>
      </c>
      <c r="I215" s="74">
        <f>H215+1</f>
        <v>2029</v>
      </c>
      <c r="J215" s="74">
        <f>I215+1</f>
        <v>2030</v>
      </c>
      <c r="K215" s="74">
        <f>J215+1</f>
        <v>2031</v>
      </c>
      <c r="N215" s="470"/>
      <c r="O215" s="470"/>
      <c r="P215" s="470"/>
      <c r="Q215" s="223"/>
      <c r="R215" s="223"/>
      <c r="S215" s="223"/>
      <c r="T215" s="223"/>
      <c r="U215" s="223"/>
      <c r="V215" s="223"/>
      <c r="X215" s="223"/>
      <c r="Y215" s="223"/>
      <c r="Z215" s="223"/>
      <c r="AA215" s="223"/>
    </row>
    <row r="216" spans="1:28" hidden="1" outlineLevel="2" x14ac:dyDescent="0.2">
      <c r="E216" s="82" t="s">
        <v>938</v>
      </c>
      <c r="F216" s="239">
        <f t="shared" ref="F216:K216" si="177">F217*INDEX(MBSIncCalc,$C213,3)</f>
        <v>0</v>
      </c>
      <c r="G216" s="239">
        <f t="shared" si="177"/>
        <v>0</v>
      </c>
      <c r="H216" s="239">
        <f t="shared" si="177"/>
        <v>0</v>
      </c>
      <c r="I216" s="239">
        <f t="shared" si="177"/>
        <v>0</v>
      </c>
      <c r="J216" s="239">
        <f t="shared" si="177"/>
        <v>0</v>
      </c>
      <c r="K216" s="239">
        <f t="shared" si="177"/>
        <v>0</v>
      </c>
      <c r="M216" s="471"/>
      <c r="N216" s="463"/>
      <c r="O216" s="463"/>
      <c r="P216" s="463"/>
      <c r="Q216" s="472"/>
      <c r="R216" s="472"/>
      <c r="S216" s="472"/>
      <c r="T216" s="472"/>
      <c r="U216" s="472"/>
      <c r="V216" s="472"/>
      <c r="X216" s="402">
        <f>INDEX(MBSIncItems,C213,1)</f>
        <v>0</v>
      </c>
      <c r="Y216" s="402">
        <f>FirstYear</f>
        <v>2026</v>
      </c>
      <c r="Z216" s="401">
        <f>IF(F217&lt;&gt;0,F217-F219,0)</f>
        <v>0</v>
      </c>
      <c r="AA216" s="401">
        <f>IF(F225&lt;&gt;0,F225-F227,0)</f>
        <v>0</v>
      </c>
      <c r="AB216" s="223"/>
    </row>
    <row r="217" spans="1:28" hidden="1" outlineLevel="2" x14ac:dyDescent="0.2">
      <c r="B217" s="468"/>
      <c r="C217" s="209" t="str">
        <f>INDEX(MBSIncCalc,C213,2)</f>
        <v/>
      </c>
      <c r="E217" s="56" t="s">
        <v>1297</v>
      </c>
      <c r="F217" s="57">
        <f t="shared" ref="F217:K217" si="178">IF(INDEX(MBSIncRate,$C213,2)=2,IFERROR(INDEX(PBSScriptsNew,$C217,F214),0),IFERROR(INDEX(MBSPBSInc,$C213,INDEX(MBSIncRate,$C213,3)*7+F214),0) * IFERROR(INDEX(MBSIncPopSplit,$C213),0)) * INDEX(MBSIncRate,$C213,1) * INDEX(MBSIncRate,$C213,4)</f>
        <v>0</v>
      </c>
      <c r="G217" s="57">
        <f t="shared" si="178"/>
        <v>0</v>
      </c>
      <c r="H217" s="57">
        <f t="shared" si="178"/>
        <v>0</v>
      </c>
      <c r="I217" s="57">
        <f t="shared" si="178"/>
        <v>0</v>
      </c>
      <c r="J217" s="57">
        <f t="shared" si="178"/>
        <v>0</v>
      </c>
      <c r="K217" s="57">
        <f t="shared" si="178"/>
        <v>0</v>
      </c>
      <c r="O217" s="463"/>
      <c r="P217" s="463"/>
      <c r="Q217" s="472"/>
      <c r="R217" s="472"/>
      <c r="S217" s="472"/>
      <c r="T217" s="472"/>
      <c r="U217" s="472"/>
      <c r="V217" s="472"/>
      <c r="X217" s="402">
        <f>X216</f>
        <v>0</v>
      </c>
      <c r="Y217" s="402">
        <f>Y216+1</f>
        <v>2027</v>
      </c>
      <c r="Z217" s="401">
        <f>IF(G217&lt;&gt;0,G217-G219,0)</f>
        <v>0</v>
      </c>
      <c r="AA217" s="401">
        <f>IF(G225&lt;&gt;0,G225-G227,0)</f>
        <v>0</v>
      </c>
      <c r="AB217" s="223"/>
    </row>
    <row r="218" spans="1:28" hidden="1" outlineLevel="2" x14ac:dyDescent="0.2">
      <c r="B218" s="209">
        <v>5</v>
      </c>
      <c r="C218" s="209">
        <v>6</v>
      </c>
      <c r="E218" s="358" t="s">
        <v>1294</v>
      </c>
      <c r="F218" s="57" t="str">
        <f t="shared" ref="F218:K218" si="179">IFERROR(F217*INDEX(MBSIncItems,$C213,$B218)*INDEX(MBSIncItems,$C213,$C218),"")</f>
        <v/>
      </c>
      <c r="G218" s="57" t="str">
        <f t="shared" si="179"/>
        <v/>
      </c>
      <c r="H218" s="57" t="str">
        <f t="shared" si="179"/>
        <v/>
      </c>
      <c r="I218" s="57" t="str">
        <f t="shared" si="179"/>
        <v/>
      </c>
      <c r="J218" s="57" t="str">
        <f t="shared" si="179"/>
        <v/>
      </c>
      <c r="K218" s="57" t="str">
        <f t="shared" si="179"/>
        <v/>
      </c>
      <c r="O218" s="473"/>
      <c r="P218" s="514"/>
      <c r="Q218" s="472"/>
      <c r="R218" s="472"/>
      <c r="S218" s="472"/>
      <c r="T218" s="472"/>
      <c r="U218" s="472"/>
      <c r="V218" s="472"/>
      <c r="X218" s="402">
        <f t="shared" ref="X218:X221" si="180">X217</f>
        <v>0</v>
      </c>
      <c r="Y218" s="402">
        <f>Y217+1</f>
        <v>2028</v>
      </c>
      <c r="Z218" s="401">
        <f>IF(H217&lt;&gt;0,H217-H219,0)</f>
        <v>0</v>
      </c>
      <c r="AA218" s="401">
        <f>IF(H225&lt;&gt;0,H225-H227,0)</f>
        <v>0</v>
      </c>
      <c r="AB218" s="469"/>
    </row>
    <row r="219" spans="1:28" hidden="1" outlineLevel="2" x14ac:dyDescent="0.2">
      <c r="A219"/>
      <c r="B219" s="209">
        <v>4</v>
      </c>
      <c r="C219" s="209">
        <v>6</v>
      </c>
      <c r="E219" s="358" t="s">
        <v>1293</v>
      </c>
      <c r="F219" s="57" t="str">
        <f t="shared" ref="F219:K219" si="181">IFERROR(F217*INDEX(MBSIncItems,$C213,$B219)*INDEX(MBSIncItems,$C213,$C219),"")</f>
        <v/>
      </c>
      <c r="G219" s="57" t="str">
        <f t="shared" si="181"/>
        <v/>
      </c>
      <c r="H219" s="57" t="str">
        <f t="shared" si="181"/>
        <v/>
      </c>
      <c r="I219" s="57" t="str">
        <f t="shared" si="181"/>
        <v/>
      </c>
      <c r="J219" s="57" t="str">
        <f t="shared" si="181"/>
        <v/>
      </c>
      <c r="K219" s="57" t="str">
        <f t="shared" si="181"/>
        <v/>
      </c>
      <c r="L219"/>
      <c r="M219"/>
      <c r="N219"/>
      <c r="O219"/>
      <c r="P219"/>
      <c r="Q219"/>
      <c r="R219"/>
      <c r="S219"/>
      <c r="T219"/>
      <c r="U219"/>
      <c r="V219"/>
      <c r="X219" s="402">
        <f t="shared" si="180"/>
        <v>0</v>
      </c>
      <c r="Y219" s="402">
        <f>Y218+1</f>
        <v>2029</v>
      </c>
      <c r="Z219" s="401">
        <f>IF(I217&lt;&gt;0,I217-I219,0)</f>
        <v>0</v>
      </c>
      <c r="AA219" s="401">
        <f>IF(I225&lt;&gt;0,I225-I227,0)</f>
        <v>0</v>
      </c>
      <c r="AB219" s="469"/>
    </row>
    <row r="220" spans="1:28" hidden="1" outlineLevel="2" x14ac:dyDescent="0.2">
      <c r="B220" s="209"/>
      <c r="C220" s="209">
        <v>7</v>
      </c>
      <c r="E220" s="359" t="s">
        <v>1295</v>
      </c>
      <c r="F220" s="57" t="str">
        <f t="shared" ref="F220:K220" si="182">IFERROR(F217*INDEX(MBSIncItems,$C213,$C220),"")</f>
        <v/>
      </c>
      <c r="G220" s="57" t="str">
        <f t="shared" si="182"/>
        <v/>
      </c>
      <c r="H220" s="57" t="str">
        <f t="shared" si="182"/>
        <v/>
      </c>
      <c r="I220" s="57" t="str">
        <f t="shared" si="182"/>
        <v/>
      </c>
      <c r="J220" s="57" t="str">
        <f t="shared" si="182"/>
        <v/>
      </c>
      <c r="K220" s="57" t="str">
        <f t="shared" si="182"/>
        <v/>
      </c>
      <c r="O220" s="473"/>
      <c r="P220" s="514"/>
      <c r="Q220" s="472"/>
      <c r="R220" s="472"/>
      <c r="S220" s="472"/>
      <c r="T220" s="472"/>
      <c r="U220" s="472"/>
      <c r="V220" s="472"/>
      <c r="X220" s="402">
        <f t="shared" si="180"/>
        <v>0</v>
      </c>
      <c r="Y220" s="402">
        <f>Y219+1</f>
        <v>2030</v>
      </c>
      <c r="Z220" s="401">
        <f>IF(J217&lt;&gt;0,J217-J219,0)</f>
        <v>0</v>
      </c>
      <c r="AA220" s="401">
        <f>IF(J225&lt;&gt;0,J225-J227,0)</f>
        <v>0</v>
      </c>
      <c r="AB220" s="469"/>
    </row>
    <row r="221" spans="1:28" hidden="1" outlineLevel="2" x14ac:dyDescent="0.2">
      <c r="O221" s="473"/>
      <c r="P221" s="473"/>
      <c r="Q221" s="472"/>
      <c r="R221" s="472"/>
      <c r="S221" s="472"/>
      <c r="T221" s="472"/>
      <c r="U221" s="472"/>
      <c r="V221" s="472"/>
      <c r="X221" s="402">
        <f t="shared" si="180"/>
        <v>0</v>
      </c>
      <c r="Y221" s="402">
        <f>Y220+1</f>
        <v>2031</v>
      </c>
      <c r="Z221" s="401">
        <f>IF(K217&lt;&gt;0,K217-K219,0)</f>
        <v>0</v>
      </c>
      <c r="AA221" s="401">
        <f>IF(K225&lt;&gt;0,K225-K227,0)</f>
        <v>0</v>
      </c>
      <c r="AB221" s="469"/>
    </row>
    <row r="222" spans="1:28" hidden="1" outlineLevel="2" x14ac:dyDescent="0.2">
      <c r="D222" s="360"/>
      <c r="E222" s="360"/>
      <c r="F222" s="357">
        <v>2</v>
      </c>
      <c r="G222" s="357">
        <v>3</v>
      </c>
      <c r="H222" s="357">
        <v>4</v>
      </c>
      <c r="I222" s="357">
        <v>5</v>
      </c>
      <c r="J222" s="357">
        <v>6</v>
      </c>
      <c r="K222" s="357">
        <v>7</v>
      </c>
      <c r="N222" s="360"/>
      <c r="O222" s="360"/>
      <c r="P222" s="360"/>
      <c r="AB222" s="469"/>
    </row>
    <row r="223" spans="1:28" ht="15.75" hidden="1" outlineLevel="2" x14ac:dyDescent="0.2">
      <c r="D223" s="462" t="s">
        <v>1</v>
      </c>
      <c r="E223" s="462"/>
      <c r="F223" s="74">
        <f>FirstYear</f>
        <v>2026</v>
      </c>
      <c r="G223" s="74">
        <f>F223+1</f>
        <v>2027</v>
      </c>
      <c r="H223" s="74">
        <f>G223+1</f>
        <v>2028</v>
      </c>
      <c r="I223" s="74">
        <f>H223+1</f>
        <v>2029</v>
      </c>
      <c r="J223" s="74">
        <f>I223+1</f>
        <v>2030</v>
      </c>
      <c r="K223" s="74">
        <f>J223+1</f>
        <v>2031</v>
      </c>
      <c r="N223" s="466"/>
      <c r="O223" s="466"/>
      <c r="P223" s="466"/>
    </row>
    <row r="224" spans="1:28" hidden="1" outlineLevel="2" x14ac:dyDescent="0.2">
      <c r="E224" s="82" t="s">
        <v>938</v>
      </c>
      <c r="F224" s="239">
        <f t="shared" ref="F224:K224" si="183">F225*INDEX(MBSIncCalc,$C213,3)</f>
        <v>0</v>
      </c>
      <c r="G224" s="239">
        <f t="shared" si="183"/>
        <v>0</v>
      </c>
      <c r="H224" s="239">
        <f t="shared" si="183"/>
        <v>0</v>
      </c>
      <c r="I224" s="239">
        <f t="shared" si="183"/>
        <v>0</v>
      </c>
      <c r="J224" s="239">
        <f t="shared" si="183"/>
        <v>0</v>
      </c>
      <c r="K224" s="239">
        <f t="shared" si="183"/>
        <v>0</v>
      </c>
      <c r="M224"/>
      <c r="N224"/>
      <c r="O224" s="360"/>
      <c r="P224" s="360"/>
    </row>
    <row r="225" spans="1:28" hidden="1" outlineLevel="2" x14ac:dyDescent="0.2">
      <c r="B225" s="468"/>
      <c r="C225" s="209" t="str">
        <f>C217</f>
        <v/>
      </c>
      <c r="E225" s="56" t="s">
        <v>1297</v>
      </c>
      <c r="F225" s="57">
        <f t="shared" ref="F225:K225" si="184">IF(INDEX(MBSIncRate,$C213,2)=2,IFERROR(INDEX(RPBSScriptsNew,$C225,F222),0),IFERROR(INDEX(MBSRPBSInc,$C213,INDEX(MBSIncRate,$C213,3)*7+F222),0) * IFERROR(INDEX(MBSIncPopSplit,$C213),0)) * INDEX(MBSIncRate,$C213,1) * INDEX(MBSIncRate,$C213,4)</f>
        <v>0</v>
      </c>
      <c r="G225" s="57">
        <f t="shared" si="184"/>
        <v>0</v>
      </c>
      <c r="H225" s="57">
        <f t="shared" si="184"/>
        <v>0</v>
      </c>
      <c r="I225" s="57">
        <f t="shared" si="184"/>
        <v>0</v>
      </c>
      <c r="J225" s="57">
        <f t="shared" si="184"/>
        <v>0</v>
      </c>
      <c r="K225" s="57">
        <f t="shared" si="184"/>
        <v>0</v>
      </c>
      <c r="N225" s="344"/>
      <c r="O225" s="360"/>
      <c r="P225" s="360"/>
    </row>
    <row r="226" spans="1:28" hidden="1" outlineLevel="2" x14ac:dyDescent="0.2">
      <c r="B226" s="209">
        <v>5</v>
      </c>
      <c r="C226" s="209">
        <v>6</v>
      </c>
      <c r="E226" s="358" t="s">
        <v>1294</v>
      </c>
      <c r="F226" s="57" t="str">
        <f t="shared" ref="F226:K226" si="185">IFERROR(F225*INDEX(MBSIncItems,$C213,$B226)*INDEX(MBSIncItems,$C213,$C226),"")</f>
        <v/>
      </c>
      <c r="G226" s="57" t="str">
        <f t="shared" si="185"/>
        <v/>
      </c>
      <c r="H226" s="57" t="str">
        <f t="shared" si="185"/>
        <v/>
      </c>
      <c r="I226" s="57" t="str">
        <f t="shared" si="185"/>
        <v/>
      </c>
      <c r="J226" s="57" t="str">
        <f t="shared" si="185"/>
        <v/>
      </c>
      <c r="K226" s="57" t="str">
        <f t="shared" si="185"/>
        <v/>
      </c>
      <c r="M226" s="474"/>
      <c r="N226" s="344"/>
      <c r="O226" s="360"/>
      <c r="P226" s="360"/>
    </row>
    <row r="227" spans="1:28" hidden="1" outlineLevel="2" x14ac:dyDescent="0.2">
      <c r="B227" s="209">
        <v>4</v>
      </c>
      <c r="C227" s="209">
        <v>6</v>
      </c>
      <c r="E227" s="358" t="s">
        <v>1293</v>
      </c>
      <c r="F227" s="57" t="str">
        <f t="shared" ref="F227:K227" si="186">IFERROR(F225*INDEX(MBSIncItems,$C213,$B227)*INDEX(MBSIncItems,$C213,$C227),"")</f>
        <v/>
      </c>
      <c r="G227" s="57" t="str">
        <f t="shared" si="186"/>
        <v/>
      </c>
      <c r="H227" s="57" t="str">
        <f t="shared" si="186"/>
        <v/>
      </c>
      <c r="I227" s="57" t="str">
        <f t="shared" si="186"/>
        <v/>
      </c>
      <c r="J227" s="57" t="str">
        <f t="shared" si="186"/>
        <v/>
      </c>
      <c r="K227" s="57" t="str">
        <f t="shared" si="186"/>
        <v/>
      </c>
      <c r="M227" s="475"/>
      <c r="N227" s="473"/>
      <c r="O227" s="360"/>
      <c r="P227" s="360"/>
    </row>
    <row r="228" spans="1:28" hidden="1" outlineLevel="2" x14ac:dyDescent="0.2">
      <c r="B228" s="209"/>
      <c r="C228" s="209">
        <v>7</v>
      </c>
      <c r="E228" s="359" t="s">
        <v>1295</v>
      </c>
      <c r="F228" s="57" t="str">
        <f t="shared" ref="F228:K228" si="187">IFERROR(F225*INDEX(MBSIncItems,$C213,$C228),"")</f>
        <v/>
      </c>
      <c r="G228" s="57" t="str">
        <f t="shared" si="187"/>
        <v/>
      </c>
      <c r="H228" s="57" t="str">
        <f t="shared" si="187"/>
        <v/>
      </c>
      <c r="I228" s="57" t="str">
        <f t="shared" si="187"/>
        <v/>
      </c>
      <c r="J228" s="57" t="str">
        <f t="shared" si="187"/>
        <v/>
      </c>
      <c r="K228" s="57" t="str">
        <f t="shared" si="187"/>
        <v/>
      </c>
      <c r="M228" s="475"/>
      <c r="N228" s="473"/>
      <c r="O228" s="360"/>
      <c r="P228" s="360"/>
    </row>
    <row r="229" spans="1:28" outlineLevel="1" collapsed="1" x14ac:dyDescent="0.2">
      <c r="D229" s="360"/>
      <c r="E229" s="360"/>
      <c r="N229" s="360"/>
      <c r="O229" s="360"/>
      <c r="P229" s="360"/>
    </row>
    <row r="230" spans="1:28" ht="15.75" outlineLevel="1" collapsed="1" x14ac:dyDescent="0.2">
      <c r="C230" s="209">
        <v>8</v>
      </c>
      <c r="D230" s="72" t="str">
        <f>INDEX(MBSIncNames,C230)</f>
        <v>** NOT USED **</v>
      </c>
      <c r="E230" s="72"/>
      <c r="F230" s="105"/>
      <c r="G230" s="105"/>
      <c r="H230" s="105"/>
      <c r="I230" s="105"/>
      <c r="J230" s="588" t="str">
        <f>IF(D230&lt;&gt;MsgNotUsed,"Co-payment group " &amp; K70,"")</f>
        <v/>
      </c>
      <c r="K230" s="588"/>
      <c r="L230" s="105"/>
      <c r="M230" s="105"/>
      <c r="N230" s="105"/>
      <c r="O230" s="105"/>
      <c r="P230" s="105"/>
      <c r="Q230" s="105"/>
      <c r="R230" s="105"/>
      <c r="S230" s="105"/>
      <c r="T230" s="105"/>
      <c r="U230" s="105"/>
      <c r="V230" s="105"/>
    </row>
    <row r="231" spans="1:28" hidden="1" outlineLevel="2" x14ac:dyDescent="0.2">
      <c r="F231" s="357">
        <v>2</v>
      </c>
      <c r="G231" s="357">
        <v>3</v>
      </c>
      <c r="H231" s="357">
        <v>4</v>
      </c>
      <c r="I231" s="357">
        <v>5</v>
      </c>
      <c r="J231" s="357">
        <v>6</v>
      </c>
      <c r="K231" s="357">
        <v>7</v>
      </c>
      <c r="L231" s="357"/>
    </row>
    <row r="232" spans="1:28" ht="15" hidden="1" outlineLevel="2" x14ac:dyDescent="0.2">
      <c r="D232" s="462" t="s">
        <v>0</v>
      </c>
      <c r="E232" s="462"/>
      <c r="F232" s="74">
        <f>FirstYear</f>
        <v>2026</v>
      </c>
      <c r="G232" s="74">
        <f>F232+1</f>
        <v>2027</v>
      </c>
      <c r="H232" s="74">
        <f>G232+1</f>
        <v>2028</v>
      </c>
      <c r="I232" s="74">
        <f>H232+1</f>
        <v>2029</v>
      </c>
      <c r="J232" s="74">
        <f>I232+1</f>
        <v>2030</v>
      </c>
      <c r="K232" s="74">
        <f>J232+1</f>
        <v>2031</v>
      </c>
      <c r="N232" s="470"/>
      <c r="O232" s="470"/>
      <c r="P232" s="470"/>
      <c r="Q232" s="223"/>
      <c r="R232" s="223"/>
      <c r="S232" s="223"/>
      <c r="T232" s="223"/>
      <c r="U232" s="223"/>
      <c r="V232" s="223"/>
      <c r="X232" s="223"/>
      <c r="Y232" s="223"/>
      <c r="Z232" s="223"/>
      <c r="AA232" s="223"/>
    </row>
    <row r="233" spans="1:28" hidden="1" outlineLevel="2" x14ac:dyDescent="0.2">
      <c r="E233" s="82" t="s">
        <v>938</v>
      </c>
      <c r="F233" s="239">
        <f t="shared" ref="F233:K233" si="188">F234*INDEX(MBSIncCalc,$C230,3)</f>
        <v>0</v>
      </c>
      <c r="G233" s="239">
        <f t="shared" si="188"/>
        <v>0</v>
      </c>
      <c r="H233" s="239">
        <f t="shared" si="188"/>
        <v>0</v>
      </c>
      <c r="I233" s="239">
        <f t="shared" si="188"/>
        <v>0</v>
      </c>
      <c r="J233" s="239">
        <f t="shared" si="188"/>
        <v>0</v>
      </c>
      <c r="K233" s="239">
        <f t="shared" si="188"/>
        <v>0</v>
      </c>
      <c r="M233" s="471"/>
      <c r="N233" s="463"/>
      <c r="O233" s="463"/>
      <c r="P233" s="463"/>
      <c r="Q233" s="472"/>
      <c r="R233" s="472"/>
      <c r="S233" s="472"/>
      <c r="T233" s="472"/>
      <c r="U233" s="472"/>
      <c r="V233" s="472"/>
      <c r="X233" s="402">
        <f>INDEX(MBSIncItems,C230,1)</f>
        <v>0</v>
      </c>
      <c r="Y233" s="402">
        <f>FirstYear</f>
        <v>2026</v>
      </c>
      <c r="Z233" s="401">
        <f>IF(F234&lt;&gt;0,F234-F236,0)</f>
        <v>0</v>
      </c>
      <c r="AA233" s="401">
        <f>IF(F242&lt;&gt;0,F242-F244,0)</f>
        <v>0</v>
      </c>
      <c r="AB233" s="223"/>
    </row>
    <row r="234" spans="1:28" hidden="1" outlineLevel="2" x14ac:dyDescent="0.2">
      <c r="B234" s="468"/>
      <c r="C234" s="209" t="str">
        <f>INDEX(MBSIncCalc,C230,2)</f>
        <v/>
      </c>
      <c r="E234" s="56" t="s">
        <v>1297</v>
      </c>
      <c r="F234" s="57">
        <f t="shared" ref="F234:K234" si="189">IF(INDEX(MBSIncRate,$C230,2)=2,IFERROR(INDEX(PBSScriptsNew,$C234,F231),0),IFERROR(INDEX(MBSPBSInc,$C230,INDEX(MBSIncRate,$C230,3)*7+F231),0) * IFERROR(INDEX(MBSIncPopSplit,$C230),0)) * INDEX(MBSIncRate,$C230,1) * INDEX(MBSIncRate,$C230,4)</f>
        <v>0</v>
      </c>
      <c r="G234" s="57">
        <f t="shared" si="189"/>
        <v>0</v>
      </c>
      <c r="H234" s="57">
        <f t="shared" si="189"/>
        <v>0</v>
      </c>
      <c r="I234" s="57">
        <f t="shared" si="189"/>
        <v>0</v>
      </c>
      <c r="J234" s="57">
        <f t="shared" si="189"/>
        <v>0</v>
      </c>
      <c r="K234" s="57">
        <f t="shared" si="189"/>
        <v>0</v>
      </c>
      <c r="O234" s="463"/>
      <c r="P234" s="463"/>
      <c r="Q234" s="472"/>
      <c r="R234" s="472"/>
      <c r="S234" s="472"/>
      <c r="T234" s="472"/>
      <c r="U234" s="472"/>
      <c r="V234" s="472"/>
      <c r="X234" s="402">
        <f>X233</f>
        <v>0</v>
      </c>
      <c r="Y234" s="402">
        <f>Y233+1</f>
        <v>2027</v>
      </c>
      <c r="Z234" s="401">
        <f>IF(G234&lt;&gt;0,G234-G236,0)</f>
        <v>0</v>
      </c>
      <c r="AA234" s="401">
        <f>IF(G242&lt;&gt;0,G242-G244,0)</f>
        <v>0</v>
      </c>
      <c r="AB234" s="223"/>
    </row>
    <row r="235" spans="1:28" hidden="1" outlineLevel="2" x14ac:dyDescent="0.2">
      <c r="B235" s="209">
        <v>5</v>
      </c>
      <c r="C235" s="209">
        <v>6</v>
      </c>
      <c r="E235" s="358" t="s">
        <v>1294</v>
      </c>
      <c r="F235" s="57" t="str">
        <f t="shared" ref="F235:K235" si="190">IFERROR(F234*INDEX(MBSIncItems,$C230,$B235)*INDEX(MBSIncItems,$C230,$C235),"")</f>
        <v/>
      </c>
      <c r="G235" s="57" t="str">
        <f t="shared" si="190"/>
        <v/>
      </c>
      <c r="H235" s="57" t="str">
        <f t="shared" si="190"/>
        <v/>
      </c>
      <c r="I235" s="57" t="str">
        <f t="shared" si="190"/>
        <v/>
      </c>
      <c r="J235" s="57" t="str">
        <f t="shared" si="190"/>
        <v/>
      </c>
      <c r="K235" s="57" t="str">
        <f t="shared" si="190"/>
        <v/>
      </c>
      <c r="O235" s="473"/>
      <c r="P235" s="514"/>
      <c r="Q235" s="472"/>
      <c r="R235" s="472"/>
      <c r="S235" s="472"/>
      <c r="T235" s="472"/>
      <c r="U235" s="472"/>
      <c r="V235" s="472"/>
      <c r="X235" s="402">
        <f t="shared" ref="X235:X238" si="191">X234</f>
        <v>0</v>
      </c>
      <c r="Y235" s="402">
        <f>Y234+1</f>
        <v>2028</v>
      </c>
      <c r="Z235" s="401">
        <f>IF(H234&lt;&gt;0,H234-H236,0)</f>
        <v>0</v>
      </c>
      <c r="AA235" s="401">
        <f>IF(H242&lt;&gt;0,H242-H244,0)</f>
        <v>0</v>
      </c>
      <c r="AB235" s="469"/>
    </row>
    <row r="236" spans="1:28" hidden="1" outlineLevel="2" x14ac:dyDescent="0.2">
      <c r="A236"/>
      <c r="B236" s="209">
        <v>4</v>
      </c>
      <c r="C236" s="209">
        <v>6</v>
      </c>
      <c r="E236" s="358" t="s">
        <v>1293</v>
      </c>
      <c r="F236" s="57" t="str">
        <f t="shared" ref="F236:K236" si="192">IFERROR(F234*INDEX(MBSIncItems,$C230,$B236)*INDEX(MBSIncItems,$C230,$C236),"")</f>
        <v/>
      </c>
      <c r="G236" s="57" t="str">
        <f t="shared" si="192"/>
        <v/>
      </c>
      <c r="H236" s="57" t="str">
        <f t="shared" si="192"/>
        <v/>
      </c>
      <c r="I236" s="57" t="str">
        <f t="shared" si="192"/>
        <v/>
      </c>
      <c r="J236" s="57" t="str">
        <f t="shared" si="192"/>
        <v/>
      </c>
      <c r="K236" s="57" t="str">
        <f t="shared" si="192"/>
        <v/>
      </c>
      <c r="L236"/>
      <c r="M236"/>
      <c r="N236"/>
      <c r="O236"/>
      <c r="P236"/>
      <c r="Q236"/>
      <c r="R236"/>
      <c r="S236"/>
      <c r="T236"/>
      <c r="U236"/>
      <c r="V236"/>
      <c r="X236" s="402">
        <f t="shared" si="191"/>
        <v>0</v>
      </c>
      <c r="Y236" s="402">
        <f>Y235+1</f>
        <v>2029</v>
      </c>
      <c r="Z236" s="401">
        <f>IF(I234&lt;&gt;0,I234-I236,0)</f>
        <v>0</v>
      </c>
      <c r="AA236" s="401">
        <f>IF(I242&lt;&gt;0,I242-I244,0)</f>
        <v>0</v>
      </c>
      <c r="AB236" s="469"/>
    </row>
    <row r="237" spans="1:28" hidden="1" outlineLevel="2" x14ac:dyDescent="0.2">
      <c r="B237" s="209"/>
      <c r="C237" s="209">
        <v>7</v>
      </c>
      <c r="E237" s="359" t="s">
        <v>1295</v>
      </c>
      <c r="F237" s="57" t="str">
        <f t="shared" ref="F237:K237" si="193">IFERROR(F234*INDEX(MBSIncItems,$C230,$C237),"")</f>
        <v/>
      </c>
      <c r="G237" s="57" t="str">
        <f t="shared" si="193"/>
        <v/>
      </c>
      <c r="H237" s="57" t="str">
        <f t="shared" si="193"/>
        <v/>
      </c>
      <c r="I237" s="57" t="str">
        <f t="shared" si="193"/>
        <v/>
      </c>
      <c r="J237" s="57" t="str">
        <f t="shared" si="193"/>
        <v/>
      </c>
      <c r="K237" s="57" t="str">
        <f t="shared" si="193"/>
        <v/>
      </c>
      <c r="O237" s="473"/>
      <c r="P237" s="514"/>
      <c r="Q237" s="472"/>
      <c r="R237" s="472"/>
      <c r="S237" s="472"/>
      <c r="T237" s="472"/>
      <c r="U237" s="472"/>
      <c r="V237" s="472"/>
      <c r="X237" s="402">
        <f t="shared" si="191"/>
        <v>0</v>
      </c>
      <c r="Y237" s="402">
        <f>Y236+1</f>
        <v>2030</v>
      </c>
      <c r="Z237" s="401">
        <f>IF(J234&lt;&gt;0,J234-J236,0)</f>
        <v>0</v>
      </c>
      <c r="AA237" s="401">
        <f>IF(J242&lt;&gt;0,J242-J244,0)</f>
        <v>0</v>
      </c>
      <c r="AB237" s="469"/>
    </row>
    <row r="238" spans="1:28" hidden="1" outlineLevel="2" x14ac:dyDescent="0.2">
      <c r="O238" s="473"/>
      <c r="P238" s="473"/>
      <c r="Q238" s="472"/>
      <c r="R238" s="472"/>
      <c r="S238" s="472"/>
      <c r="T238" s="472"/>
      <c r="U238" s="472"/>
      <c r="V238" s="472"/>
      <c r="X238" s="402">
        <f t="shared" si="191"/>
        <v>0</v>
      </c>
      <c r="Y238" s="402">
        <f>Y237+1</f>
        <v>2031</v>
      </c>
      <c r="Z238" s="401">
        <f>IF(K234&lt;&gt;0,K234-K236,0)</f>
        <v>0</v>
      </c>
      <c r="AA238" s="401">
        <f>IF(K242&lt;&gt;0,K242-K244,0)</f>
        <v>0</v>
      </c>
      <c r="AB238" s="469"/>
    </row>
    <row r="239" spans="1:28" hidden="1" outlineLevel="2" x14ac:dyDescent="0.2">
      <c r="D239" s="360"/>
      <c r="E239" s="360"/>
      <c r="F239" s="357">
        <v>2</v>
      </c>
      <c r="G239" s="357">
        <v>3</v>
      </c>
      <c r="H239" s="357">
        <v>4</v>
      </c>
      <c r="I239" s="357">
        <v>5</v>
      </c>
      <c r="J239" s="357">
        <v>6</v>
      </c>
      <c r="K239" s="357">
        <v>7</v>
      </c>
      <c r="N239" s="360"/>
      <c r="O239" s="360"/>
      <c r="P239" s="360"/>
      <c r="AB239" s="469"/>
    </row>
    <row r="240" spans="1:28" ht="15.75" hidden="1" outlineLevel="2" x14ac:dyDescent="0.2">
      <c r="D240" s="462" t="s">
        <v>1</v>
      </c>
      <c r="E240" s="462"/>
      <c r="F240" s="74">
        <f>FirstYear</f>
        <v>2026</v>
      </c>
      <c r="G240" s="74">
        <f>F240+1</f>
        <v>2027</v>
      </c>
      <c r="H240" s="74">
        <f>G240+1</f>
        <v>2028</v>
      </c>
      <c r="I240" s="74">
        <f>H240+1</f>
        <v>2029</v>
      </c>
      <c r="J240" s="74">
        <f>I240+1</f>
        <v>2030</v>
      </c>
      <c r="K240" s="74">
        <f>J240+1</f>
        <v>2031</v>
      </c>
      <c r="N240" s="466"/>
      <c r="O240" s="466"/>
      <c r="P240" s="466"/>
    </row>
    <row r="241" spans="1:28" hidden="1" outlineLevel="2" x14ac:dyDescent="0.2">
      <c r="E241" s="82" t="s">
        <v>938</v>
      </c>
      <c r="F241" s="239">
        <f t="shared" ref="F241:K241" si="194">F242*INDEX(MBSIncCalc,$C230,3)</f>
        <v>0</v>
      </c>
      <c r="G241" s="239">
        <f t="shared" si="194"/>
        <v>0</v>
      </c>
      <c r="H241" s="239">
        <f t="shared" si="194"/>
        <v>0</v>
      </c>
      <c r="I241" s="239">
        <f t="shared" si="194"/>
        <v>0</v>
      </c>
      <c r="J241" s="239">
        <f t="shared" si="194"/>
        <v>0</v>
      </c>
      <c r="K241" s="239">
        <f t="shared" si="194"/>
        <v>0</v>
      </c>
      <c r="M241"/>
      <c r="N241"/>
      <c r="O241" s="360"/>
      <c r="P241" s="360"/>
    </row>
    <row r="242" spans="1:28" hidden="1" outlineLevel="2" x14ac:dyDescent="0.2">
      <c r="B242" s="468"/>
      <c r="C242" s="209" t="str">
        <f>C234</f>
        <v/>
      </c>
      <c r="E242" s="56" t="s">
        <v>1297</v>
      </c>
      <c r="F242" s="57">
        <f t="shared" ref="F242:K242" si="195">IF(INDEX(MBSIncRate,$C230,2)=2,IFERROR(INDEX(RPBSScriptsNew,$C242,F239),0),IFERROR(INDEX(MBSRPBSInc,$C230,INDEX(MBSIncRate,$C230,3)*7+F239),0) * IFERROR(INDEX(MBSIncPopSplit,$C230),0)) * INDEX(MBSIncRate,$C230,1) * INDEX(MBSIncRate,$C230,4)</f>
        <v>0</v>
      </c>
      <c r="G242" s="57">
        <f t="shared" si="195"/>
        <v>0</v>
      </c>
      <c r="H242" s="57">
        <f t="shared" si="195"/>
        <v>0</v>
      </c>
      <c r="I242" s="57">
        <f t="shared" si="195"/>
        <v>0</v>
      </c>
      <c r="J242" s="57">
        <f t="shared" si="195"/>
        <v>0</v>
      </c>
      <c r="K242" s="57">
        <f t="shared" si="195"/>
        <v>0</v>
      </c>
      <c r="N242" s="344"/>
      <c r="O242" s="360"/>
      <c r="P242" s="360"/>
    </row>
    <row r="243" spans="1:28" hidden="1" outlineLevel="2" x14ac:dyDescent="0.2">
      <c r="B243" s="209">
        <v>5</v>
      </c>
      <c r="C243" s="209">
        <v>6</v>
      </c>
      <c r="E243" s="358" t="s">
        <v>1294</v>
      </c>
      <c r="F243" s="57" t="str">
        <f t="shared" ref="F243:K243" si="196">IFERROR(F242*INDEX(MBSIncItems,$C230,$B243)*INDEX(MBSIncItems,$C230,$C243),"")</f>
        <v/>
      </c>
      <c r="G243" s="57" t="str">
        <f t="shared" si="196"/>
        <v/>
      </c>
      <c r="H243" s="57" t="str">
        <f t="shared" si="196"/>
        <v/>
      </c>
      <c r="I243" s="57" t="str">
        <f t="shared" si="196"/>
        <v/>
      </c>
      <c r="J243" s="57" t="str">
        <f t="shared" si="196"/>
        <v/>
      </c>
      <c r="K243" s="57" t="str">
        <f t="shared" si="196"/>
        <v/>
      </c>
      <c r="M243" s="474"/>
      <c r="N243" s="344"/>
      <c r="O243" s="360"/>
      <c r="P243" s="360"/>
    </row>
    <row r="244" spans="1:28" hidden="1" outlineLevel="2" x14ac:dyDescent="0.2">
      <c r="B244" s="209">
        <v>4</v>
      </c>
      <c r="C244" s="209">
        <v>6</v>
      </c>
      <c r="E244" s="358" t="s">
        <v>1293</v>
      </c>
      <c r="F244" s="57" t="str">
        <f t="shared" ref="F244:K244" si="197">IFERROR(F242*INDEX(MBSIncItems,$C230,$B244)*INDEX(MBSIncItems,$C230,$C244),"")</f>
        <v/>
      </c>
      <c r="G244" s="57" t="str">
        <f t="shared" si="197"/>
        <v/>
      </c>
      <c r="H244" s="57" t="str">
        <f t="shared" si="197"/>
        <v/>
      </c>
      <c r="I244" s="57" t="str">
        <f t="shared" si="197"/>
        <v/>
      </c>
      <c r="J244" s="57" t="str">
        <f t="shared" si="197"/>
        <v/>
      </c>
      <c r="K244" s="57" t="str">
        <f t="shared" si="197"/>
        <v/>
      </c>
      <c r="M244" s="475"/>
      <c r="N244" s="473"/>
      <c r="O244" s="360"/>
      <c r="P244" s="360"/>
    </row>
    <row r="245" spans="1:28" hidden="1" outlineLevel="2" x14ac:dyDescent="0.2">
      <c r="B245" s="209"/>
      <c r="C245" s="209">
        <v>7</v>
      </c>
      <c r="E245" s="359" t="s">
        <v>1295</v>
      </c>
      <c r="F245" s="57" t="str">
        <f t="shared" ref="F245:K245" si="198">IFERROR(F242*INDEX(MBSIncItems,$C230,$C245),"")</f>
        <v/>
      </c>
      <c r="G245" s="57" t="str">
        <f t="shared" si="198"/>
        <v/>
      </c>
      <c r="H245" s="57" t="str">
        <f t="shared" si="198"/>
        <v/>
      </c>
      <c r="I245" s="57" t="str">
        <f t="shared" si="198"/>
        <v/>
      </c>
      <c r="J245" s="57" t="str">
        <f t="shared" si="198"/>
        <v/>
      </c>
      <c r="K245" s="57" t="str">
        <f t="shared" si="198"/>
        <v/>
      </c>
      <c r="M245" s="475"/>
      <c r="N245" s="473"/>
      <c r="O245" s="360"/>
      <c r="P245" s="360"/>
    </row>
    <row r="246" spans="1:28" outlineLevel="1" collapsed="1" x14ac:dyDescent="0.2">
      <c r="D246" s="360"/>
      <c r="E246" s="360"/>
      <c r="N246" s="360"/>
      <c r="O246" s="360"/>
      <c r="P246" s="360"/>
    </row>
    <row r="247" spans="1:28" ht="15.75" outlineLevel="1" collapsed="1" x14ac:dyDescent="0.2">
      <c r="C247" s="209">
        <v>9</v>
      </c>
      <c r="D247" s="72" t="str">
        <f>INDEX(MBSIncNames,C247)</f>
        <v>** NOT USED **</v>
      </c>
      <c r="E247" s="72"/>
      <c r="F247" s="105"/>
      <c r="G247" s="105"/>
      <c r="H247" s="105"/>
      <c r="I247" s="105"/>
      <c r="J247" s="588" t="str">
        <f>IF(D247&lt;&gt;MsgNotUsed,"Co-payment group " &amp; K71,"")</f>
        <v/>
      </c>
      <c r="K247" s="588"/>
      <c r="L247" s="105"/>
      <c r="M247" s="105"/>
      <c r="N247" s="105"/>
      <c r="O247" s="105"/>
      <c r="P247" s="105"/>
      <c r="Q247" s="105"/>
      <c r="R247" s="105"/>
      <c r="S247" s="105"/>
      <c r="T247" s="105"/>
      <c r="U247" s="105"/>
      <c r="V247" s="105"/>
    </row>
    <row r="248" spans="1:28" hidden="1" outlineLevel="2" x14ac:dyDescent="0.2">
      <c r="F248" s="357">
        <v>2</v>
      </c>
      <c r="G248" s="357">
        <v>3</v>
      </c>
      <c r="H248" s="357">
        <v>4</v>
      </c>
      <c r="I248" s="357">
        <v>5</v>
      </c>
      <c r="J248" s="357">
        <v>6</v>
      </c>
      <c r="K248" s="357">
        <v>7</v>
      </c>
      <c r="L248" s="357"/>
    </row>
    <row r="249" spans="1:28" ht="15" hidden="1" outlineLevel="2" x14ac:dyDescent="0.2">
      <c r="D249" s="462" t="s">
        <v>0</v>
      </c>
      <c r="E249" s="462"/>
      <c r="F249" s="74">
        <f>FirstYear</f>
        <v>2026</v>
      </c>
      <c r="G249" s="74">
        <f>F249+1</f>
        <v>2027</v>
      </c>
      <c r="H249" s="74">
        <f>G249+1</f>
        <v>2028</v>
      </c>
      <c r="I249" s="74">
        <f>H249+1</f>
        <v>2029</v>
      </c>
      <c r="J249" s="74">
        <f>I249+1</f>
        <v>2030</v>
      </c>
      <c r="K249" s="74">
        <f>J249+1</f>
        <v>2031</v>
      </c>
      <c r="N249" s="470"/>
      <c r="O249" s="470"/>
      <c r="P249" s="470"/>
      <c r="Q249" s="223"/>
      <c r="R249" s="223"/>
      <c r="S249" s="223"/>
      <c r="T249" s="223"/>
      <c r="U249" s="223"/>
      <c r="V249" s="223"/>
      <c r="X249" s="223"/>
      <c r="Y249" s="223"/>
      <c r="Z249" s="223"/>
      <c r="AA249" s="223"/>
    </row>
    <row r="250" spans="1:28" hidden="1" outlineLevel="2" x14ac:dyDescent="0.2">
      <c r="E250" s="82" t="s">
        <v>938</v>
      </c>
      <c r="F250" s="239">
        <f t="shared" ref="F250:K250" si="199">F251*INDEX(MBSIncCalc,$C247,3)</f>
        <v>0</v>
      </c>
      <c r="G250" s="239">
        <f t="shared" si="199"/>
        <v>0</v>
      </c>
      <c r="H250" s="239">
        <f t="shared" si="199"/>
        <v>0</v>
      </c>
      <c r="I250" s="239">
        <f t="shared" si="199"/>
        <v>0</v>
      </c>
      <c r="J250" s="239">
        <f t="shared" si="199"/>
        <v>0</v>
      </c>
      <c r="K250" s="239">
        <f t="shared" si="199"/>
        <v>0</v>
      </c>
      <c r="M250" s="471"/>
      <c r="N250" s="463"/>
      <c r="O250" s="463"/>
      <c r="P250" s="463"/>
      <c r="Q250" s="472"/>
      <c r="R250" s="472"/>
      <c r="S250" s="472"/>
      <c r="T250" s="472"/>
      <c r="U250" s="472"/>
      <c r="V250" s="472"/>
      <c r="X250" s="402">
        <f>INDEX(MBSIncItems,C247,1)</f>
        <v>0</v>
      </c>
      <c r="Y250" s="402">
        <f>FirstYear</f>
        <v>2026</v>
      </c>
      <c r="Z250" s="401">
        <f>IF(F251&lt;&gt;0,F251-F253,0)</f>
        <v>0</v>
      </c>
      <c r="AA250" s="401">
        <f>IF(F259&lt;&gt;0,F259-F261,0)</f>
        <v>0</v>
      </c>
      <c r="AB250" s="223"/>
    </row>
    <row r="251" spans="1:28" hidden="1" outlineLevel="2" x14ac:dyDescent="0.2">
      <c r="B251" s="468"/>
      <c r="C251" s="209" t="str">
        <f>INDEX(MBSIncCalc,C247,2)</f>
        <v/>
      </c>
      <c r="E251" s="56" t="s">
        <v>1297</v>
      </c>
      <c r="F251" s="57">
        <f t="shared" ref="F251:K251" si="200">IF(INDEX(MBSIncRate,$C247,2)=2,IFERROR(INDEX(PBSScriptsNew,$C251,F248),0),IFERROR(INDEX(MBSPBSInc,$C247,INDEX(MBSIncRate,$C247,3)*7+F248),0) * IFERROR(INDEX(MBSIncPopSplit,$C247),0)) * INDEX(MBSIncRate,$C247,1) * INDEX(MBSIncRate,$C247,4)</f>
        <v>0</v>
      </c>
      <c r="G251" s="57">
        <f t="shared" si="200"/>
        <v>0</v>
      </c>
      <c r="H251" s="57">
        <f t="shared" si="200"/>
        <v>0</v>
      </c>
      <c r="I251" s="57">
        <f t="shared" si="200"/>
        <v>0</v>
      </c>
      <c r="J251" s="57">
        <f t="shared" si="200"/>
        <v>0</v>
      </c>
      <c r="K251" s="57">
        <f t="shared" si="200"/>
        <v>0</v>
      </c>
      <c r="O251" s="463"/>
      <c r="P251" s="463"/>
      <c r="Q251" s="472"/>
      <c r="R251" s="472"/>
      <c r="S251" s="472"/>
      <c r="T251" s="472"/>
      <c r="U251" s="472"/>
      <c r="V251" s="472"/>
      <c r="X251" s="402">
        <f>X250</f>
        <v>0</v>
      </c>
      <c r="Y251" s="402">
        <f>Y250+1</f>
        <v>2027</v>
      </c>
      <c r="Z251" s="401">
        <f>IF(G251&lt;&gt;0,G251-G253,0)</f>
        <v>0</v>
      </c>
      <c r="AA251" s="401">
        <f>IF(G259&lt;&gt;0,G259-G261,0)</f>
        <v>0</v>
      </c>
      <c r="AB251" s="223"/>
    </row>
    <row r="252" spans="1:28" hidden="1" outlineLevel="2" x14ac:dyDescent="0.2">
      <c r="B252" s="209">
        <v>5</v>
      </c>
      <c r="C252" s="209">
        <v>6</v>
      </c>
      <c r="E252" s="358" t="s">
        <v>1294</v>
      </c>
      <c r="F252" s="57" t="str">
        <f t="shared" ref="F252:K252" si="201">IFERROR(F251*INDEX(MBSIncItems,$C247,$B252)*INDEX(MBSIncItems,$C247,$C252),"")</f>
        <v/>
      </c>
      <c r="G252" s="57" t="str">
        <f t="shared" si="201"/>
        <v/>
      </c>
      <c r="H252" s="57" t="str">
        <f t="shared" si="201"/>
        <v/>
      </c>
      <c r="I252" s="57" t="str">
        <f t="shared" si="201"/>
        <v/>
      </c>
      <c r="J252" s="57" t="str">
        <f t="shared" si="201"/>
        <v/>
      </c>
      <c r="K252" s="57" t="str">
        <f t="shared" si="201"/>
        <v/>
      </c>
      <c r="O252" s="473"/>
      <c r="P252" s="514"/>
      <c r="Q252" s="472"/>
      <c r="R252" s="472"/>
      <c r="S252" s="472"/>
      <c r="T252" s="472"/>
      <c r="U252" s="472"/>
      <c r="V252" s="472"/>
      <c r="X252" s="402">
        <f t="shared" ref="X252:X255" si="202">X251</f>
        <v>0</v>
      </c>
      <c r="Y252" s="402">
        <f>Y251+1</f>
        <v>2028</v>
      </c>
      <c r="Z252" s="401">
        <f>IF(H251&lt;&gt;0,H251-H253,0)</f>
        <v>0</v>
      </c>
      <c r="AA252" s="401">
        <f>IF(H259&lt;&gt;0,H259-H261,0)</f>
        <v>0</v>
      </c>
      <c r="AB252" s="469"/>
    </row>
    <row r="253" spans="1:28" hidden="1" outlineLevel="2" x14ac:dyDescent="0.2">
      <c r="A253"/>
      <c r="B253" s="209">
        <v>4</v>
      </c>
      <c r="C253" s="209">
        <v>6</v>
      </c>
      <c r="E253" s="358" t="s">
        <v>1293</v>
      </c>
      <c r="F253" s="57" t="str">
        <f t="shared" ref="F253:K253" si="203">IFERROR(F251*INDEX(MBSIncItems,$C247,$B253)*INDEX(MBSIncItems,$C247,$C253),"")</f>
        <v/>
      </c>
      <c r="G253" s="57" t="str">
        <f t="shared" si="203"/>
        <v/>
      </c>
      <c r="H253" s="57" t="str">
        <f t="shared" si="203"/>
        <v/>
      </c>
      <c r="I253" s="57" t="str">
        <f t="shared" si="203"/>
        <v/>
      </c>
      <c r="J253" s="57" t="str">
        <f t="shared" si="203"/>
        <v/>
      </c>
      <c r="K253" s="57" t="str">
        <f t="shared" si="203"/>
        <v/>
      </c>
      <c r="L253"/>
      <c r="M253"/>
      <c r="N253"/>
      <c r="O253"/>
      <c r="P253"/>
      <c r="Q253"/>
      <c r="R253"/>
      <c r="S253"/>
      <c r="T253"/>
      <c r="U253"/>
      <c r="V253"/>
      <c r="X253" s="402">
        <f t="shared" si="202"/>
        <v>0</v>
      </c>
      <c r="Y253" s="402">
        <f>Y252+1</f>
        <v>2029</v>
      </c>
      <c r="Z253" s="401">
        <f>IF(I251&lt;&gt;0,I251-I253,0)</f>
        <v>0</v>
      </c>
      <c r="AA253" s="401">
        <f>IF(I259&lt;&gt;0,I259-I261,0)</f>
        <v>0</v>
      </c>
      <c r="AB253" s="469"/>
    </row>
    <row r="254" spans="1:28" hidden="1" outlineLevel="2" x14ac:dyDescent="0.2">
      <c r="B254" s="209"/>
      <c r="C254" s="209">
        <v>7</v>
      </c>
      <c r="E254" s="359" t="s">
        <v>1295</v>
      </c>
      <c r="F254" s="57" t="str">
        <f t="shared" ref="F254:K254" si="204">IFERROR(F251*INDEX(MBSIncItems,$C247,$C254),"")</f>
        <v/>
      </c>
      <c r="G254" s="57" t="str">
        <f t="shared" si="204"/>
        <v/>
      </c>
      <c r="H254" s="57" t="str">
        <f t="shared" si="204"/>
        <v/>
      </c>
      <c r="I254" s="57" t="str">
        <f t="shared" si="204"/>
        <v/>
      </c>
      <c r="J254" s="57" t="str">
        <f t="shared" si="204"/>
        <v/>
      </c>
      <c r="K254" s="57" t="str">
        <f t="shared" si="204"/>
        <v/>
      </c>
      <c r="O254" s="473"/>
      <c r="P254" s="514"/>
      <c r="Q254" s="472"/>
      <c r="R254" s="472"/>
      <c r="S254" s="472"/>
      <c r="T254" s="472"/>
      <c r="U254" s="472"/>
      <c r="V254" s="472"/>
      <c r="X254" s="402">
        <f t="shared" si="202"/>
        <v>0</v>
      </c>
      <c r="Y254" s="402">
        <f>Y253+1</f>
        <v>2030</v>
      </c>
      <c r="Z254" s="401">
        <f>IF(J251&lt;&gt;0,J251-J253,0)</f>
        <v>0</v>
      </c>
      <c r="AA254" s="401">
        <f>IF(J259&lt;&gt;0,J259-J261,0)</f>
        <v>0</v>
      </c>
      <c r="AB254" s="469"/>
    </row>
    <row r="255" spans="1:28" hidden="1" outlineLevel="2" x14ac:dyDescent="0.2">
      <c r="O255" s="473"/>
      <c r="P255" s="473"/>
      <c r="Q255" s="472"/>
      <c r="R255" s="472"/>
      <c r="S255" s="472"/>
      <c r="T255" s="472"/>
      <c r="U255" s="472"/>
      <c r="V255" s="472"/>
      <c r="X255" s="402">
        <f t="shared" si="202"/>
        <v>0</v>
      </c>
      <c r="Y255" s="402">
        <f>Y254+1</f>
        <v>2031</v>
      </c>
      <c r="Z255" s="401">
        <f>IF(K251&lt;&gt;0,K251-K253,0)</f>
        <v>0</v>
      </c>
      <c r="AA255" s="401">
        <f>IF(K259&lt;&gt;0,K259-K261,0)</f>
        <v>0</v>
      </c>
      <c r="AB255" s="469"/>
    </row>
    <row r="256" spans="1:28" hidden="1" outlineLevel="2" x14ac:dyDescent="0.2">
      <c r="D256" s="360"/>
      <c r="E256" s="360"/>
      <c r="F256" s="357">
        <v>2</v>
      </c>
      <c r="G256" s="357">
        <v>3</v>
      </c>
      <c r="H256" s="357">
        <v>4</v>
      </c>
      <c r="I256" s="357">
        <v>5</v>
      </c>
      <c r="J256" s="357">
        <v>6</v>
      </c>
      <c r="K256" s="357">
        <v>7</v>
      </c>
      <c r="N256" s="360"/>
      <c r="O256" s="360"/>
      <c r="P256" s="360"/>
      <c r="AB256" s="469"/>
    </row>
    <row r="257" spans="1:28" ht="15.75" hidden="1" outlineLevel="2" x14ac:dyDescent="0.2">
      <c r="D257" s="462" t="s">
        <v>1</v>
      </c>
      <c r="E257" s="462"/>
      <c r="F257" s="74">
        <f>FirstYear</f>
        <v>2026</v>
      </c>
      <c r="G257" s="74">
        <f>F257+1</f>
        <v>2027</v>
      </c>
      <c r="H257" s="74">
        <f>G257+1</f>
        <v>2028</v>
      </c>
      <c r="I257" s="74">
        <f>H257+1</f>
        <v>2029</v>
      </c>
      <c r="J257" s="74">
        <f>I257+1</f>
        <v>2030</v>
      </c>
      <c r="K257" s="74">
        <f>J257+1</f>
        <v>2031</v>
      </c>
      <c r="N257" s="466"/>
      <c r="O257" s="466"/>
      <c r="P257" s="466"/>
    </row>
    <row r="258" spans="1:28" hidden="1" outlineLevel="2" x14ac:dyDescent="0.2">
      <c r="E258" s="82" t="s">
        <v>938</v>
      </c>
      <c r="F258" s="239">
        <f t="shared" ref="F258:K258" si="205">F259*INDEX(MBSIncCalc,$C247,3)</f>
        <v>0</v>
      </c>
      <c r="G258" s="239">
        <f t="shared" si="205"/>
        <v>0</v>
      </c>
      <c r="H258" s="239">
        <f t="shared" si="205"/>
        <v>0</v>
      </c>
      <c r="I258" s="239">
        <f t="shared" si="205"/>
        <v>0</v>
      </c>
      <c r="J258" s="239">
        <f t="shared" si="205"/>
        <v>0</v>
      </c>
      <c r="K258" s="239">
        <f t="shared" si="205"/>
        <v>0</v>
      </c>
      <c r="M258"/>
      <c r="N258"/>
      <c r="O258" s="360"/>
      <c r="P258" s="360"/>
    </row>
    <row r="259" spans="1:28" hidden="1" outlineLevel="2" x14ac:dyDescent="0.2">
      <c r="B259" s="468"/>
      <c r="C259" s="209" t="str">
        <f>C251</f>
        <v/>
      </c>
      <c r="E259" s="56" t="s">
        <v>1297</v>
      </c>
      <c r="F259" s="57">
        <f t="shared" ref="F259:K259" si="206">IF(INDEX(MBSIncRate,$C247,2)=2,IFERROR(INDEX(RPBSScriptsNew,$C259,F256),0),IFERROR(INDEX(MBSRPBSInc,$C247,INDEX(MBSIncRate,$C247,3)*7+F256),0) * IFERROR(INDEX(MBSIncPopSplit,$C247),0)) * INDEX(MBSIncRate,$C247,1) * INDEX(MBSIncRate,$C247,4)</f>
        <v>0</v>
      </c>
      <c r="G259" s="57">
        <f t="shared" si="206"/>
        <v>0</v>
      </c>
      <c r="H259" s="57">
        <f t="shared" si="206"/>
        <v>0</v>
      </c>
      <c r="I259" s="57">
        <f t="shared" si="206"/>
        <v>0</v>
      </c>
      <c r="J259" s="57">
        <f t="shared" si="206"/>
        <v>0</v>
      </c>
      <c r="K259" s="57">
        <f t="shared" si="206"/>
        <v>0</v>
      </c>
      <c r="N259" s="344"/>
      <c r="O259" s="360"/>
      <c r="P259" s="360"/>
    </row>
    <row r="260" spans="1:28" hidden="1" outlineLevel="2" x14ac:dyDescent="0.2">
      <c r="B260" s="209">
        <v>5</v>
      </c>
      <c r="C260" s="209">
        <v>6</v>
      </c>
      <c r="E260" s="358" t="s">
        <v>1294</v>
      </c>
      <c r="F260" s="57" t="str">
        <f t="shared" ref="F260:K260" si="207">IFERROR(F259*INDEX(MBSIncItems,$C247,$B260)*INDEX(MBSIncItems,$C247,$C260),"")</f>
        <v/>
      </c>
      <c r="G260" s="57" t="str">
        <f t="shared" si="207"/>
        <v/>
      </c>
      <c r="H260" s="57" t="str">
        <f t="shared" si="207"/>
        <v/>
      </c>
      <c r="I260" s="57" t="str">
        <f t="shared" si="207"/>
        <v/>
      </c>
      <c r="J260" s="57" t="str">
        <f t="shared" si="207"/>
        <v/>
      </c>
      <c r="K260" s="57" t="str">
        <f t="shared" si="207"/>
        <v/>
      </c>
      <c r="M260" s="474"/>
      <c r="N260" s="344"/>
      <c r="O260" s="360"/>
      <c r="P260" s="360"/>
    </row>
    <row r="261" spans="1:28" hidden="1" outlineLevel="2" x14ac:dyDescent="0.2">
      <c r="B261" s="209">
        <v>4</v>
      </c>
      <c r="C261" s="209">
        <v>6</v>
      </c>
      <c r="E261" s="358" t="s">
        <v>1293</v>
      </c>
      <c r="F261" s="57" t="str">
        <f t="shared" ref="F261:K261" si="208">IFERROR(F259*INDEX(MBSIncItems,$C247,$B261)*INDEX(MBSIncItems,$C247,$C261),"")</f>
        <v/>
      </c>
      <c r="G261" s="57" t="str">
        <f t="shared" si="208"/>
        <v/>
      </c>
      <c r="H261" s="57" t="str">
        <f t="shared" si="208"/>
        <v/>
      </c>
      <c r="I261" s="57" t="str">
        <f t="shared" si="208"/>
        <v/>
      </c>
      <c r="J261" s="57" t="str">
        <f t="shared" si="208"/>
        <v/>
      </c>
      <c r="K261" s="57" t="str">
        <f t="shared" si="208"/>
        <v/>
      </c>
      <c r="M261" s="475"/>
      <c r="N261" s="473"/>
      <c r="O261" s="360"/>
      <c r="P261" s="360"/>
    </row>
    <row r="262" spans="1:28" hidden="1" outlineLevel="2" x14ac:dyDescent="0.2">
      <c r="B262" s="209"/>
      <c r="C262" s="209">
        <v>7</v>
      </c>
      <c r="E262" s="359" t="s">
        <v>1295</v>
      </c>
      <c r="F262" s="57" t="str">
        <f t="shared" ref="F262:K262" si="209">IFERROR(F259*INDEX(MBSIncItems,$C247,$C262),"")</f>
        <v/>
      </c>
      <c r="G262" s="57" t="str">
        <f t="shared" si="209"/>
        <v/>
      </c>
      <c r="H262" s="57" t="str">
        <f t="shared" si="209"/>
        <v/>
      </c>
      <c r="I262" s="57" t="str">
        <f t="shared" si="209"/>
        <v/>
      </c>
      <c r="J262" s="57" t="str">
        <f t="shared" si="209"/>
        <v/>
      </c>
      <c r="K262" s="57" t="str">
        <f t="shared" si="209"/>
        <v/>
      </c>
      <c r="M262" s="475"/>
      <c r="N262" s="473"/>
      <c r="O262" s="360"/>
      <c r="P262" s="360"/>
    </row>
    <row r="263" spans="1:28" outlineLevel="1" collapsed="1" x14ac:dyDescent="0.2">
      <c r="D263" s="360"/>
      <c r="E263" s="360"/>
      <c r="N263" s="360"/>
      <c r="O263" s="360"/>
      <c r="P263" s="360"/>
    </row>
    <row r="264" spans="1:28" ht="15.75" outlineLevel="1" collapsed="1" x14ac:dyDescent="0.2">
      <c r="C264" s="209">
        <v>10</v>
      </c>
      <c r="D264" s="72" t="str">
        <f>INDEX(MBSIncNames,C264)</f>
        <v>** NOT USED **</v>
      </c>
      <c r="E264" s="72"/>
      <c r="F264" s="105"/>
      <c r="G264" s="105"/>
      <c r="H264" s="105"/>
      <c r="I264" s="105"/>
      <c r="J264" s="588" t="str">
        <f>IF(D264&lt;&gt;MsgNotUsed,"Co-payment group " &amp; K72,"")</f>
        <v/>
      </c>
      <c r="K264" s="588"/>
      <c r="L264" s="105"/>
      <c r="M264" s="105"/>
      <c r="N264" s="105"/>
      <c r="O264" s="105"/>
      <c r="P264" s="105"/>
      <c r="Q264" s="105"/>
      <c r="R264" s="105"/>
      <c r="S264" s="105"/>
      <c r="T264" s="105"/>
      <c r="U264" s="105"/>
      <c r="V264" s="105"/>
    </row>
    <row r="265" spans="1:28" hidden="1" outlineLevel="2" x14ac:dyDescent="0.2">
      <c r="F265" s="357">
        <v>2</v>
      </c>
      <c r="G265" s="357">
        <v>3</v>
      </c>
      <c r="H265" s="357">
        <v>4</v>
      </c>
      <c r="I265" s="357">
        <v>5</v>
      </c>
      <c r="J265" s="357">
        <v>6</v>
      </c>
      <c r="K265" s="357">
        <v>7</v>
      </c>
      <c r="L265" s="357"/>
    </row>
    <row r="266" spans="1:28" ht="15" hidden="1" outlineLevel="2" x14ac:dyDescent="0.2">
      <c r="D266" s="462" t="s">
        <v>0</v>
      </c>
      <c r="E266" s="462"/>
      <c r="F266" s="74">
        <f>FirstYear</f>
        <v>2026</v>
      </c>
      <c r="G266" s="74">
        <f>F266+1</f>
        <v>2027</v>
      </c>
      <c r="H266" s="74">
        <f>G266+1</f>
        <v>2028</v>
      </c>
      <c r="I266" s="74">
        <f>H266+1</f>
        <v>2029</v>
      </c>
      <c r="J266" s="74">
        <f>I266+1</f>
        <v>2030</v>
      </c>
      <c r="K266" s="74">
        <f>J266+1</f>
        <v>2031</v>
      </c>
      <c r="N266" s="470"/>
      <c r="O266" s="470"/>
      <c r="P266" s="470"/>
      <c r="Q266" s="223"/>
      <c r="R266" s="223"/>
      <c r="S266" s="223"/>
      <c r="T266" s="223"/>
      <c r="U266" s="223"/>
      <c r="V266" s="223"/>
      <c r="X266" s="223"/>
      <c r="Y266" s="223"/>
      <c r="Z266" s="223"/>
      <c r="AA266" s="223"/>
    </row>
    <row r="267" spans="1:28" hidden="1" outlineLevel="2" x14ac:dyDescent="0.2">
      <c r="E267" s="82" t="s">
        <v>938</v>
      </c>
      <c r="F267" s="239">
        <f t="shared" ref="F267:K267" si="210">F268*INDEX(MBSIncCalc,$C264,3)</f>
        <v>0</v>
      </c>
      <c r="G267" s="239">
        <f t="shared" si="210"/>
        <v>0</v>
      </c>
      <c r="H267" s="239">
        <f t="shared" si="210"/>
        <v>0</v>
      </c>
      <c r="I267" s="239">
        <f t="shared" si="210"/>
        <v>0</v>
      </c>
      <c r="J267" s="239">
        <f t="shared" si="210"/>
        <v>0</v>
      </c>
      <c r="K267" s="239">
        <f t="shared" si="210"/>
        <v>0</v>
      </c>
      <c r="M267" s="471"/>
      <c r="N267" s="463"/>
      <c r="O267" s="463"/>
      <c r="P267" s="463"/>
      <c r="Q267" s="472"/>
      <c r="R267" s="472"/>
      <c r="S267" s="472"/>
      <c r="T267" s="472"/>
      <c r="U267" s="472"/>
      <c r="V267" s="472"/>
      <c r="X267" s="402">
        <f>INDEX(MBSIncItems,C264,1)</f>
        <v>0</v>
      </c>
      <c r="Y267" s="402">
        <f>FirstYear</f>
        <v>2026</v>
      </c>
      <c r="Z267" s="401">
        <f>IF(F268&lt;&gt;0,F268-F270,0)</f>
        <v>0</v>
      </c>
      <c r="AA267" s="401">
        <f>IF(F276&lt;&gt;0,F276-F278,0)</f>
        <v>0</v>
      </c>
      <c r="AB267" s="223"/>
    </row>
    <row r="268" spans="1:28" hidden="1" outlineLevel="2" x14ac:dyDescent="0.2">
      <c r="B268" s="468"/>
      <c r="C268" s="209" t="str">
        <f>INDEX(MBSIncCalc,C264,2)</f>
        <v/>
      </c>
      <c r="E268" s="56" t="s">
        <v>1297</v>
      </c>
      <c r="F268" s="57">
        <f t="shared" ref="F268:K268" si="211">IF(INDEX(MBSIncRate,$C264,2)=2,IFERROR(INDEX(PBSScriptsNew,$C268,F265),0),IFERROR(INDEX(MBSPBSInc,$C264,INDEX(MBSIncRate,$C264,3)*7+F265),0) * IFERROR(INDEX(MBSIncPopSplit,$C264),0)) * INDEX(MBSIncRate,$C264,1) * INDEX(MBSIncRate,$C264,4)</f>
        <v>0</v>
      </c>
      <c r="G268" s="57">
        <f t="shared" si="211"/>
        <v>0</v>
      </c>
      <c r="H268" s="57">
        <f t="shared" si="211"/>
        <v>0</v>
      </c>
      <c r="I268" s="57">
        <f t="shared" si="211"/>
        <v>0</v>
      </c>
      <c r="J268" s="57">
        <f t="shared" si="211"/>
        <v>0</v>
      </c>
      <c r="K268" s="57">
        <f t="shared" si="211"/>
        <v>0</v>
      </c>
      <c r="O268" s="463"/>
      <c r="P268" s="463"/>
      <c r="Q268" s="472"/>
      <c r="R268" s="472"/>
      <c r="S268" s="472"/>
      <c r="T268" s="472"/>
      <c r="U268" s="472"/>
      <c r="V268" s="472"/>
      <c r="X268" s="402">
        <f>X267</f>
        <v>0</v>
      </c>
      <c r="Y268" s="402">
        <f>Y267+1</f>
        <v>2027</v>
      </c>
      <c r="Z268" s="401">
        <f>IF(G268&lt;&gt;0,G268-G270,0)</f>
        <v>0</v>
      </c>
      <c r="AA268" s="401">
        <f>IF(G276&lt;&gt;0,G276-G278,0)</f>
        <v>0</v>
      </c>
      <c r="AB268" s="223"/>
    </row>
    <row r="269" spans="1:28" hidden="1" outlineLevel="2" x14ac:dyDescent="0.2">
      <c r="B269" s="209">
        <v>5</v>
      </c>
      <c r="C269" s="209">
        <v>6</v>
      </c>
      <c r="E269" s="358" t="s">
        <v>1294</v>
      </c>
      <c r="F269" s="57" t="str">
        <f t="shared" ref="F269:K269" si="212">IFERROR(F268*INDEX(MBSIncItems,$C264,$B269)*INDEX(MBSIncItems,$C264,$C269),"")</f>
        <v/>
      </c>
      <c r="G269" s="57" t="str">
        <f t="shared" si="212"/>
        <v/>
      </c>
      <c r="H269" s="57" t="str">
        <f t="shared" si="212"/>
        <v/>
      </c>
      <c r="I269" s="57" t="str">
        <f t="shared" si="212"/>
        <v/>
      </c>
      <c r="J269" s="57" t="str">
        <f t="shared" si="212"/>
        <v/>
      </c>
      <c r="K269" s="57" t="str">
        <f t="shared" si="212"/>
        <v/>
      </c>
      <c r="O269" s="473"/>
      <c r="P269" s="514"/>
      <c r="Q269" s="472"/>
      <c r="R269" s="472"/>
      <c r="S269" s="472"/>
      <c r="T269" s="472"/>
      <c r="U269" s="472"/>
      <c r="V269" s="472"/>
      <c r="X269" s="402">
        <f t="shared" ref="X269:X272" si="213">X268</f>
        <v>0</v>
      </c>
      <c r="Y269" s="402">
        <f>Y268+1</f>
        <v>2028</v>
      </c>
      <c r="Z269" s="401">
        <f>IF(H268&lt;&gt;0,H268-H270,0)</f>
        <v>0</v>
      </c>
      <c r="AA269" s="401">
        <f>IF(H276&lt;&gt;0,H276-H278,0)</f>
        <v>0</v>
      </c>
      <c r="AB269" s="469"/>
    </row>
    <row r="270" spans="1:28" hidden="1" outlineLevel="2" x14ac:dyDescent="0.2">
      <c r="A270"/>
      <c r="B270" s="209">
        <v>4</v>
      </c>
      <c r="C270" s="209">
        <v>6</v>
      </c>
      <c r="E270" s="358" t="s">
        <v>1293</v>
      </c>
      <c r="F270" s="57" t="str">
        <f t="shared" ref="F270:K270" si="214">IFERROR(F268*INDEX(MBSIncItems,$C264,$B270)*INDEX(MBSIncItems,$C264,$C270),"")</f>
        <v/>
      </c>
      <c r="G270" s="57" t="str">
        <f t="shared" si="214"/>
        <v/>
      </c>
      <c r="H270" s="57" t="str">
        <f t="shared" si="214"/>
        <v/>
      </c>
      <c r="I270" s="57" t="str">
        <f t="shared" si="214"/>
        <v/>
      </c>
      <c r="J270" s="57" t="str">
        <f t="shared" si="214"/>
        <v/>
      </c>
      <c r="K270" s="57" t="str">
        <f t="shared" si="214"/>
        <v/>
      </c>
      <c r="L270"/>
      <c r="M270"/>
      <c r="N270"/>
      <c r="O270"/>
      <c r="P270"/>
      <c r="Q270"/>
      <c r="R270"/>
      <c r="S270"/>
      <c r="T270"/>
      <c r="U270"/>
      <c r="V270"/>
      <c r="X270" s="402">
        <f t="shared" si="213"/>
        <v>0</v>
      </c>
      <c r="Y270" s="402">
        <f>Y269+1</f>
        <v>2029</v>
      </c>
      <c r="Z270" s="401">
        <f>IF(I268&lt;&gt;0,I268-I270,0)</f>
        <v>0</v>
      </c>
      <c r="AA270" s="401">
        <f>IF(I276&lt;&gt;0,I276-I278,0)</f>
        <v>0</v>
      </c>
      <c r="AB270" s="469"/>
    </row>
    <row r="271" spans="1:28" hidden="1" outlineLevel="2" x14ac:dyDescent="0.2">
      <c r="B271" s="209"/>
      <c r="C271" s="209">
        <v>7</v>
      </c>
      <c r="E271" s="359" t="s">
        <v>1295</v>
      </c>
      <c r="F271" s="57" t="str">
        <f t="shared" ref="F271:K271" si="215">IFERROR(F268*INDEX(MBSIncItems,$C264,$C271),"")</f>
        <v/>
      </c>
      <c r="G271" s="57" t="str">
        <f t="shared" si="215"/>
        <v/>
      </c>
      <c r="H271" s="57" t="str">
        <f t="shared" si="215"/>
        <v/>
      </c>
      <c r="I271" s="57" t="str">
        <f t="shared" si="215"/>
        <v/>
      </c>
      <c r="J271" s="57" t="str">
        <f t="shared" si="215"/>
        <v/>
      </c>
      <c r="K271" s="57" t="str">
        <f t="shared" si="215"/>
        <v/>
      </c>
      <c r="O271" s="473"/>
      <c r="P271" s="514"/>
      <c r="Q271" s="472"/>
      <c r="R271" s="472"/>
      <c r="S271" s="472"/>
      <c r="T271" s="472"/>
      <c r="U271" s="472"/>
      <c r="V271" s="472"/>
      <c r="X271" s="402">
        <f t="shared" si="213"/>
        <v>0</v>
      </c>
      <c r="Y271" s="402">
        <f>Y270+1</f>
        <v>2030</v>
      </c>
      <c r="Z271" s="401">
        <f>IF(J268&lt;&gt;0,J268-J270,0)</f>
        <v>0</v>
      </c>
      <c r="AA271" s="401">
        <f>IF(J276&lt;&gt;0,J276-J278,0)</f>
        <v>0</v>
      </c>
      <c r="AB271" s="469"/>
    </row>
    <row r="272" spans="1:28" hidden="1" outlineLevel="2" x14ac:dyDescent="0.2">
      <c r="O272" s="473"/>
      <c r="P272" s="473"/>
      <c r="Q272" s="472"/>
      <c r="R272" s="472"/>
      <c r="S272" s="472"/>
      <c r="T272" s="472"/>
      <c r="U272" s="472"/>
      <c r="V272" s="472"/>
      <c r="X272" s="402">
        <f t="shared" si="213"/>
        <v>0</v>
      </c>
      <c r="Y272" s="402">
        <f>Y271+1</f>
        <v>2031</v>
      </c>
      <c r="Z272" s="401">
        <f>IF(K268&lt;&gt;0,K268-K270,0)</f>
        <v>0</v>
      </c>
      <c r="AA272" s="401">
        <f>IF(K276&lt;&gt;0,K276-K278,0)</f>
        <v>0</v>
      </c>
      <c r="AB272" s="469"/>
    </row>
    <row r="273" spans="1:28" hidden="1" outlineLevel="2" x14ac:dyDescent="0.2">
      <c r="D273" s="360"/>
      <c r="E273" s="360"/>
      <c r="F273" s="357">
        <v>2</v>
      </c>
      <c r="G273" s="357">
        <v>3</v>
      </c>
      <c r="H273" s="357">
        <v>4</v>
      </c>
      <c r="I273" s="357">
        <v>5</v>
      </c>
      <c r="J273" s="357">
        <v>6</v>
      </c>
      <c r="K273" s="357">
        <v>7</v>
      </c>
      <c r="N273" s="360"/>
      <c r="O273" s="360"/>
      <c r="P273" s="360"/>
      <c r="AB273" s="469"/>
    </row>
    <row r="274" spans="1:28" ht="15.75" hidden="1" outlineLevel="2" x14ac:dyDescent="0.2">
      <c r="D274" s="462" t="s">
        <v>1</v>
      </c>
      <c r="E274" s="462"/>
      <c r="F274" s="74">
        <f>FirstYear</f>
        <v>2026</v>
      </c>
      <c r="G274" s="74">
        <f>F274+1</f>
        <v>2027</v>
      </c>
      <c r="H274" s="74">
        <f>G274+1</f>
        <v>2028</v>
      </c>
      <c r="I274" s="74">
        <f>H274+1</f>
        <v>2029</v>
      </c>
      <c r="J274" s="74">
        <f>I274+1</f>
        <v>2030</v>
      </c>
      <c r="K274" s="74">
        <f>J274+1</f>
        <v>2031</v>
      </c>
      <c r="N274" s="466"/>
      <c r="O274" s="466"/>
      <c r="P274" s="466"/>
    </row>
    <row r="275" spans="1:28" hidden="1" outlineLevel="2" x14ac:dyDescent="0.2">
      <c r="E275" s="82" t="s">
        <v>938</v>
      </c>
      <c r="F275" s="239">
        <f t="shared" ref="F275:K275" si="216">F276*INDEX(MBSIncCalc,$C264,3)</f>
        <v>0</v>
      </c>
      <c r="G275" s="239">
        <f t="shared" si="216"/>
        <v>0</v>
      </c>
      <c r="H275" s="239">
        <f t="shared" si="216"/>
        <v>0</v>
      </c>
      <c r="I275" s="239">
        <f t="shared" si="216"/>
        <v>0</v>
      </c>
      <c r="J275" s="239">
        <f t="shared" si="216"/>
        <v>0</v>
      </c>
      <c r="K275" s="239">
        <f t="shared" si="216"/>
        <v>0</v>
      </c>
      <c r="M275"/>
      <c r="N275"/>
      <c r="O275" s="360"/>
      <c r="P275" s="360"/>
    </row>
    <row r="276" spans="1:28" hidden="1" outlineLevel="2" x14ac:dyDescent="0.2">
      <c r="B276" s="468"/>
      <c r="C276" s="209" t="str">
        <f>C268</f>
        <v/>
      </c>
      <c r="E276" s="56" t="s">
        <v>1297</v>
      </c>
      <c r="F276" s="57">
        <f t="shared" ref="F276:K276" si="217">IF(INDEX(MBSIncRate,$C264,2)=2,IFERROR(INDEX(RPBSScriptsNew,$C276,F273),0),IFERROR(INDEX(MBSRPBSInc,$C264,INDEX(MBSIncRate,$C264,3)*7+F273),0) * IFERROR(INDEX(MBSIncPopSplit,$C264),0)) * INDEX(MBSIncRate,$C264,1) * INDEX(MBSIncRate,$C264,4)</f>
        <v>0</v>
      </c>
      <c r="G276" s="57">
        <f t="shared" si="217"/>
        <v>0</v>
      </c>
      <c r="H276" s="57">
        <f t="shared" si="217"/>
        <v>0</v>
      </c>
      <c r="I276" s="57">
        <f t="shared" si="217"/>
        <v>0</v>
      </c>
      <c r="J276" s="57">
        <f t="shared" si="217"/>
        <v>0</v>
      </c>
      <c r="K276" s="57">
        <f t="shared" si="217"/>
        <v>0</v>
      </c>
      <c r="N276" s="344"/>
      <c r="O276" s="360"/>
      <c r="P276" s="360"/>
    </row>
    <row r="277" spans="1:28" hidden="1" outlineLevel="2" x14ac:dyDescent="0.2">
      <c r="B277" s="209">
        <v>5</v>
      </c>
      <c r="C277" s="209">
        <v>6</v>
      </c>
      <c r="E277" s="358" t="s">
        <v>1294</v>
      </c>
      <c r="F277" s="57" t="str">
        <f t="shared" ref="F277:K277" si="218">IFERROR(F276*INDEX(MBSIncItems,$C264,$B277)*INDEX(MBSIncItems,$C264,$C277),"")</f>
        <v/>
      </c>
      <c r="G277" s="57" t="str">
        <f t="shared" si="218"/>
        <v/>
      </c>
      <c r="H277" s="57" t="str">
        <f t="shared" si="218"/>
        <v/>
      </c>
      <c r="I277" s="57" t="str">
        <f t="shared" si="218"/>
        <v/>
      </c>
      <c r="J277" s="57" t="str">
        <f t="shared" si="218"/>
        <v/>
      </c>
      <c r="K277" s="57" t="str">
        <f t="shared" si="218"/>
        <v/>
      </c>
      <c r="M277" s="474"/>
      <c r="N277" s="344"/>
      <c r="O277" s="360"/>
      <c r="P277" s="360"/>
    </row>
    <row r="278" spans="1:28" hidden="1" outlineLevel="2" x14ac:dyDescent="0.2">
      <c r="B278" s="209">
        <v>4</v>
      </c>
      <c r="C278" s="209">
        <v>6</v>
      </c>
      <c r="E278" s="358" t="s">
        <v>1293</v>
      </c>
      <c r="F278" s="57" t="str">
        <f t="shared" ref="F278:K278" si="219">IFERROR(F276*INDEX(MBSIncItems,$C264,$B278)*INDEX(MBSIncItems,$C264,$C278),"")</f>
        <v/>
      </c>
      <c r="G278" s="57" t="str">
        <f t="shared" si="219"/>
        <v/>
      </c>
      <c r="H278" s="57" t="str">
        <f t="shared" si="219"/>
        <v/>
      </c>
      <c r="I278" s="57" t="str">
        <f t="shared" si="219"/>
        <v/>
      </c>
      <c r="J278" s="57" t="str">
        <f t="shared" si="219"/>
        <v/>
      </c>
      <c r="K278" s="57" t="str">
        <f t="shared" si="219"/>
        <v/>
      </c>
      <c r="M278" s="475"/>
      <c r="N278" s="473"/>
      <c r="O278" s="360"/>
      <c r="P278" s="360"/>
    </row>
    <row r="279" spans="1:28" hidden="1" outlineLevel="2" x14ac:dyDescent="0.2">
      <c r="B279" s="209"/>
      <c r="C279" s="209">
        <v>7</v>
      </c>
      <c r="E279" s="359" t="s">
        <v>1295</v>
      </c>
      <c r="F279" s="57" t="str">
        <f t="shared" ref="F279:K279" si="220">IFERROR(F276*INDEX(MBSIncItems,$C264,$C279),"")</f>
        <v/>
      </c>
      <c r="G279" s="57" t="str">
        <f t="shared" si="220"/>
        <v/>
      </c>
      <c r="H279" s="57" t="str">
        <f t="shared" si="220"/>
        <v/>
      </c>
      <c r="I279" s="57" t="str">
        <f t="shared" si="220"/>
        <v/>
      </c>
      <c r="J279" s="57" t="str">
        <f t="shared" si="220"/>
        <v/>
      </c>
      <c r="K279" s="57" t="str">
        <f t="shared" si="220"/>
        <v/>
      </c>
      <c r="M279" s="475"/>
      <c r="N279" s="473"/>
      <c r="O279" s="360"/>
      <c r="P279" s="360"/>
    </row>
    <row r="280" spans="1:28" outlineLevel="1" collapsed="1" x14ac:dyDescent="0.2">
      <c r="D280" s="360"/>
      <c r="E280" s="360"/>
      <c r="N280" s="360"/>
      <c r="O280" s="360"/>
      <c r="P280" s="360"/>
    </row>
    <row r="281" spans="1:28" ht="15.75" outlineLevel="1" collapsed="1" x14ac:dyDescent="0.2">
      <c r="C281" s="209">
        <v>11</v>
      </c>
      <c r="D281" s="72" t="str">
        <f>INDEX(MBSIncNames,C281)</f>
        <v>** NOT USED **</v>
      </c>
      <c r="E281" s="72"/>
      <c r="F281" s="105"/>
      <c r="G281" s="105"/>
      <c r="H281" s="105"/>
      <c r="I281" s="105"/>
      <c r="J281" s="588" t="str">
        <f>IF(D281&lt;&gt;MsgNotUsed,"Co-payment group " &amp; K110,"")</f>
        <v/>
      </c>
      <c r="K281" s="588"/>
      <c r="L281" s="105"/>
      <c r="M281" s="105"/>
      <c r="N281" s="105"/>
      <c r="O281" s="105"/>
      <c r="P281" s="105"/>
      <c r="Q281" s="105"/>
      <c r="R281" s="105"/>
      <c r="S281" s="105"/>
      <c r="T281" s="105"/>
      <c r="U281" s="105"/>
      <c r="V281" s="105"/>
    </row>
    <row r="282" spans="1:28" hidden="1" outlineLevel="2" x14ac:dyDescent="0.2">
      <c r="F282" s="357">
        <v>2</v>
      </c>
      <c r="G282" s="357">
        <v>3</v>
      </c>
      <c r="H282" s="357">
        <v>4</v>
      </c>
      <c r="I282" s="357">
        <v>5</v>
      </c>
      <c r="J282" s="357">
        <v>6</v>
      </c>
      <c r="K282" s="357">
        <v>7</v>
      </c>
      <c r="L282" s="357"/>
    </row>
    <row r="283" spans="1:28" ht="15" hidden="1" outlineLevel="2" x14ac:dyDescent="0.2">
      <c r="D283" s="462" t="s">
        <v>0</v>
      </c>
      <c r="E283" s="462"/>
      <c r="F283" s="74">
        <f>FirstYear</f>
        <v>2026</v>
      </c>
      <c r="G283" s="74">
        <f>F283+1</f>
        <v>2027</v>
      </c>
      <c r="H283" s="74">
        <f>G283+1</f>
        <v>2028</v>
      </c>
      <c r="I283" s="74">
        <f>H283+1</f>
        <v>2029</v>
      </c>
      <c r="J283" s="74">
        <f>I283+1</f>
        <v>2030</v>
      </c>
      <c r="K283" s="74">
        <f>J283+1</f>
        <v>2031</v>
      </c>
      <c r="N283" s="470"/>
      <c r="O283" s="470"/>
      <c r="P283" s="470"/>
      <c r="Q283" s="223"/>
      <c r="R283" s="223"/>
      <c r="S283" s="223"/>
      <c r="T283" s="223"/>
      <c r="U283" s="223"/>
      <c r="V283" s="223"/>
      <c r="X283" s="223"/>
      <c r="Y283" s="223"/>
      <c r="Z283" s="223"/>
      <c r="AA283" s="223"/>
    </row>
    <row r="284" spans="1:28" hidden="1" outlineLevel="2" x14ac:dyDescent="0.2">
      <c r="E284" s="82" t="s">
        <v>938</v>
      </c>
      <c r="F284" s="239">
        <f t="shared" ref="F284:K284" si="221">F285*INDEX(MBSIncCalc,$C281,3)</f>
        <v>0</v>
      </c>
      <c r="G284" s="239">
        <f t="shared" si="221"/>
        <v>0</v>
      </c>
      <c r="H284" s="239">
        <f t="shared" si="221"/>
        <v>0</v>
      </c>
      <c r="I284" s="239">
        <f t="shared" si="221"/>
        <v>0</v>
      </c>
      <c r="J284" s="239">
        <f t="shared" si="221"/>
        <v>0</v>
      </c>
      <c r="K284" s="239">
        <f t="shared" si="221"/>
        <v>0</v>
      </c>
      <c r="M284" s="471"/>
      <c r="N284" s="463"/>
      <c r="O284" s="463"/>
      <c r="P284" s="463"/>
      <c r="Q284" s="472"/>
      <c r="R284" s="472"/>
      <c r="S284" s="472"/>
      <c r="T284" s="472"/>
      <c r="U284" s="472"/>
      <c r="V284" s="472"/>
      <c r="X284" s="402">
        <f>INDEX(MBSIncItems,C281,1)</f>
        <v>0</v>
      </c>
      <c r="Y284" s="402">
        <f>FirstYear</f>
        <v>2026</v>
      </c>
      <c r="Z284" s="401">
        <f>IF(F285&lt;&gt;0,F285-F287,0)</f>
        <v>0</v>
      </c>
      <c r="AA284" s="401">
        <f>IF(F293&lt;&gt;0,F293-F295,0)</f>
        <v>0</v>
      </c>
      <c r="AB284" s="223"/>
    </row>
    <row r="285" spans="1:28" hidden="1" outlineLevel="2" x14ac:dyDescent="0.2">
      <c r="B285" s="468"/>
      <c r="C285" s="209" t="str">
        <f>INDEX(MBSIncCalc,C281,2)</f>
        <v/>
      </c>
      <c r="E285" s="56" t="s">
        <v>1297</v>
      </c>
      <c r="F285" s="57">
        <f t="shared" ref="F285:K285" si="222">IF(INDEX(MBSIncRate,$C281,2)=2,IFERROR(INDEX(PBSScriptsNew,$C285,F282),0),IFERROR(INDEX(MBSPBSInc,$C281,INDEX(MBSIncRate,$C281,3)*7+F282),0) * IFERROR(INDEX(MBSIncPopSplit,$C281),0)) * INDEX(MBSIncRate,$C281,1) * INDEX(MBSIncRate,$C281,4)</f>
        <v>0</v>
      </c>
      <c r="G285" s="57">
        <f t="shared" si="222"/>
        <v>0</v>
      </c>
      <c r="H285" s="57">
        <f t="shared" si="222"/>
        <v>0</v>
      </c>
      <c r="I285" s="57">
        <f t="shared" si="222"/>
        <v>0</v>
      </c>
      <c r="J285" s="57">
        <f t="shared" si="222"/>
        <v>0</v>
      </c>
      <c r="K285" s="57">
        <f t="shared" si="222"/>
        <v>0</v>
      </c>
      <c r="O285" s="463"/>
      <c r="P285" s="463"/>
      <c r="Q285" s="472"/>
      <c r="R285" s="472"/>
      <c r="S285" s="472"/>
      <c r="T285" s="472"/>
      <c r="U285" s="472"/>
      <c r="V285" s="472"/>
      <c r="X285" s="402">
        <f>X284</f>
        <v>0</v>
      </c>
      <c r="Y285" s="402">
        <f>Y284+1</f>
        <v>2027</v>
      </c>
      <c r="Z285" s="401">
        <f>IF(G285&lt;&gt;0,G285-G287,0)</f>
        <v>0</v>
      </c>
      <c r="AA285" s="401">
        <f>IF(G293&lt;&gt;0,G293-G295,0)</f>
        <v>0</v>
      </c>
      <c r="AB285" s="223"/>
    </row>
    <row r="286" spans="1:28" hidden="1" outlineLevel="2" x14ac:dyDescent="0.2">
      <c r="B286" s="209">
        <v>5</v>
      </c>
      <c r="C286" s="209">
        <v>6</v>
      </c>
      <c r="E286" s="358" t="s">
        <v>1294</v>
      </c>
      <c r="F286" s="57" t="str">
        <f t="shared" ref="F286:K286" si="223">IFERROR(F285*INDEX(MBSIncItems,$C281,$B286)*INDEX(MBSIncItems,$C281,$C286),"")</f>
        <v/>
      </c>
      <c r="G286" s="57" t="str">
        <f t="shared" si="223"/>
        <v/>
      </c>
      <c r="H286" s="57" t="str">
        <f t="shared" si="223"/>
        <v/>
      </c>
      <c r="I286" s="57" t="str">
        <f t="shared" si="223"/>
        <v/>
      </c>
      <c r="J286" s="57" t="str">
        <f t="shared" si="223"/>
        <v/>
      </c>
      <c r="K286" s="57" t="str">
        <f t="shared" si="223"/>
        <v/>
      </c>
      <c r="O286" s="473"/>
      <c r="P286" s="514"/>
      <c r="Q286" s="472"/>
      <c r="R286" s="472"/>
      <c r="S286" s="472"/>
      <c r="T286" s="472"/>
      <c r="U286" s="472"/>
      <c r="V286" s="472"/>
      <c r="X286" s="402">
        <f t="shared" ref="X286:X289" si="224">X285</f>
        <v>0</v>
      </c>
      <c r="Y286" s="402">
        <f>Y285+1</f>
        <v>2028</v>
      </c>
      <c r="Z286" s="401">
        <f>IF(H285&lt;&gt;0,H285-H287,0)</f>
        <v>0</v>
      </c>
      <c r="AA286" s="401">
        <f>IF(H293&lt;&gt;0,H293-H295,0)</f>
        <v>0</v>
      </c>
      <c r="AB286" s="469"/>
    </row>
    <row r="287" spans="1:28" hidden="1" outlineLevel="2" x14ac:dyDescent="0.2">
      <c r="A287"/>
      <c r="B287" s="209">
        <v>4</v>
      </c>
      <c r="C287" s="209">
        <v>6</v>
      </c>
      <c r="E287" s="358" t="s">
        <v>1293</v>
      </c>
      <c r="F287" s="57" t="str">
        <f t="shared" ref="F287:K287" si="225">IFERROR(F285*INDEX(MBSIncItems,$C281,$B287)*INDEX(MBSIncItems,$C281,$C287),"")</f>
        <v/>
      </c>
      <c r="G287" s="57" t="str">
        <f t="shared" si="225"/>
        <v/>
      </c>
      <c r="H287" s="57" t="str">
        <f t="shared" si="225"/>
        <v/>
      </c>
      <c r="I287" s="57" t="str">
        <f t="shared" si="225"/>
        <v/>
      </c>
      <c r="J287" s="57" t="str">
        <f t="shared" si="225"/>
        <v/>
      </c>
      <c r="K287" s="57" t="str">
        <f t="shared" si="225"/>
        <v/>
      </c>
      <c r="L287"/>
      <c r="M287"/>
      <c r="N287"/>
      <c r="O287"/>
      <c r="P287"/>
      <c r="Q287"/>
      <c r="R287"/>
      <c r="S287"/>
      <c r="T287"/>
      <c r="U287"/>
      <c r="V287"/>
      <c r="X287" s="402">
        <f t="shared" si="224"/>
        <v>0</v>
      </c>
      <c r="Y287" s="402">
        <f>Y286+1</f>
        <v>2029</v>
      </c>
      <c r="Z287" s="401">
        <f>IF(I285&lt;&gt;0,I285-I287,0)</f>
        <v>0</v>
      </c>
      <c r="AA287" s="401">
        <f>IF(I293&lt;&gt;0,I293-I295,0)</f>
        <v>0</v>
      </c>
      <c r="AB287" s="469"/>
    </row>
    <row r="288" spans="1:28" hidden="1" outlineLevel="2" x14ac:dyDescent="0.2">
      <c r="B288" s="209"/>
      <c r="C288" s="209">
        <v>7</v>
      </c>
      <c r="E288" s="359" t="s">
        <v>1295</v>
      </c>
      <c r="F288" s="57" t="str">
        <f t="shared" ref="F288:K288" si="226">IFERROR(F285*INDEX(MBSIncItems,$C281,$C288),"")</f>
        <v/>
      </c>
      <c r="G288" s="57" t="str">
        <f t="shared" si="226"/>
        <v/>
      </c>
      <c r="H288" s="57" t="str">
        <f t="shared" si="226"/>
        <v/>
      </c>
      <c r="I288" s="57" t="str">
        <f t="shared" si="226"/>
        <v/>
      </c>
      <c r="J288" s="57" t="str">
        <f t="shared" si="226"/>
        <v/>
      </c>
      <c r="K288" s="57" t="str">
        <f t="shared" si="226"/>
        <v/>
      </c>
      <c r="O288" s="473"/>
      <c r="P288" s="514"/>
      <c r="Q288" s="472"/>
      <c r="R288" s="472"/>
      <c r="S288" s="472"/>
      <c r="T288" s="472"/>
      <c r="U288" s="472"/>
      <c r="V288" s="472"/>
      <c r="X288" s="402">
        <f t="shared" si="224"/>
        <v>0</v>
      </c>
      <c r="Y288" s="402">
        <f>Y287+1</f>
        <v>2030</v>
      </c>
      <c r="Z288" s="401">
        <f>IF(J285&lt;&gt;0,J285-J287,0)</f>
        <v>0</v>
      </c>
      <c r="AA288" s="401">
        <f>IF(J293&lt;&gt;0,J293-J295,0)</f>
        <v>0</v>
      </c>
      <c r="AB288" s="469"/>
    </row>
    <row r="289" spans="1:28" hidden="1" outlineLevel="2" x14ac:dyDescent="0.2">
      <c r="O289" s="473"/>
      <c r="P289" s="473"/>
      <c r="Q289" s="472"/>
      <c r="R289" s="472"/>
      <c r="S289" s="472"/>
      <c r="T289" s="472"/>
      <c r="U289" s="472"/>
      <c r="V289" s="472"/>
      <c r="X289" s="402">
        <f t="shared" si="224"/>
        <v>0</v>
      </c>
      <c r="Y289" s="402">
        <f>Y288+1</f>
        <v>2031</v>
      </c>
      <c r="Z289" s="401">
        <f>IF(K285&lt;&gt;0,K285-K287,0)</f>
        <v>0</v>
      </c>
      <c r="AA289" s="401">
        <f>IF(K293&lt;&gt;0,K293-K295,0)</f>
        <v>0</v>
      </c>
      <c r="AB289" s="469"/>
    </row>
    <row r="290" spans="1:28" hidden="1" outlineLevel="2" x14ac:dyDescent="0.2">
      <c r="D290" s="360"/>
      <c r="E290" s="360"/>
      <c r="F290" s="357">
        <v>2</v>
      </c>
      <c r="G290" s="357">
        <v>3</v>
      </c>
      <c r="H290" s="357">
        <v>4</v>
      </c>
      <c r="I290" s="357">
        <v>5</v>
      </c>
      <c r="J290" s="357">
        <v>6</v>
      </c>
      <c r="K290" s="357">
        <v>7</v>
      </c>
      <c r="N290" s="360"/>
      <c r="O290" s="360"/>
      <c r="P290" s="360"/>
      <c r="AB290" s="469"/>
    </row>
    <row r="291" spans="1:28" ht="15.75" hidden="1" outlineLevel="2" x14ac:dyDescent="0.2">
      <c r="D291" s="462" t="s">
        <v>1</v>
      </c>
      <c r="E291" s="462"/>
      <c r="F291" s="74">
        <f>FirstYear</f>
        <v>2026</v>
      </c>
      <c r="G291" s="74">
        <f>F291+1</f>
        <v>2027</v>
      </c>
      <c r="H291" s="74">
        <f>G291+1</f>
        <v>2028</v>
      </c>
      <c r="I291" s="74">
        <f>H291+1</f>
        <v>2029</v>
      </c>
      <c r="J291" s="74">
        <f>I291+1</f>
        <v>2030</v>
      </c>
      <c r="K291" s="74">
        <f>J291+1</f>
        <v>2031</v>
      </c>
      <c r="N291" s="466"/>
      <c r="O291" s="466"/>
      <c r="P291" s="466"/>
    </row>
    <row r="292" spans="1:28" hidden="1" outlineLevel="2" x14ac:dyDescent="0.2">
      <c r="E292" s="82" t="s">
        <v>938</v>
      </c>
      <c r="F292" s="239">
        <f t="shared" ref="F292:K292" si="227">F293*INDEX(MBSIncCalc,$C281,3)</f>
        <v>0</v>
      </c>
      <c r="G292" s="239">
        <f t="shared" si="227"/>
        <v>0</v>
      </c>
      <c r="H292" s="239">
        <f t="shared" si="227"/>
        <v>0</v>
      </c>
      <c r="I292" s="239">
        <f t="shared" si="227"/>
        <v>0</v>
      </c>
      <c r="J292" s="239">
        <f t="shared" si="227"/>
        <v>0</v>
      </c>
      <c r="K292" s="239">
        <f t="shared" si="227"/>
        <v>0</v>
      </c>
      <c r="M292"/>
      <c r="N292"/>
      <c r="O292" s="360"/>
      <c r="P292" s="360"/>
    </row>
    <row r="293" spans="1:28" hidden="1" outlineLevel="2" x14ac:dyDescent="0.2">
      <c r="B293" s="468"/>
      <c r="C293" s="209" t="str">
        <f>C285</f>
        <v/>
      </c>
      <c r="E293" s="56" t="s">
        <v>1297</v>
      </c>
      <c r="F293" s="57">
        <f t="shared" ref="F293:K293" si="228">IF(INDEX(MBSIncRate,$C281,2)=2,IFERROR(INDEX(RPBSScriptsNew,$C293,F290),0),IFERROR(INDEX(MBSRPBSInc,$C281,INDEX(MBSIncRate,$C281,3)*7+F290),0) * IFERROR(INDEX(MBSIncPopSplit,$C281),0)) * INDEX(MBSIncRate,$C281,1) * INDEX(MBSIncRate,$C281,4)</f>
        <v>0</v>
      </c>
      <c r="G293" s="57">
        <f t="shared" si="228"/>
        <v>0</v>
      </c>
      <c r="H293" s="57">
        <f t="shared" si="228"/>
        <v>0</v>
      </c>
      <c r="I293" s="57">
        <f t="shared" si="228"/>
        <v>0</v>
      </c>
      <c r="J293" s="57">
        <f t="shared" si="228"/>
        <v>0</v>
      </c>
      <c r="K293" s="57">
        <f t="shared" si="228"/>
        <v>0</v>
      </c>
      <c r="N293" s="344"/>
      <c r="O293" s="360"/>
      <c r="P293" s="360"/>
    </row>
    <row r="294" spans="1:28" hidden="1" outlineLevel="2" x14ac:dyDescent="0.2">
      <c r="B294" s="209">
        <v>5</v>
      </c>
      <c r="C294" s="209">
        <v>6</v>
      </c>
      <c r="E294" s="358" t="s">
        <v>1294</v>
      </c>
      <c r="F294" s="57" t="str">
        <f t="shared" ref="F294:K294" si="229">IFERROR(F293*INDEX(MBSIncItems,$C281,$B294)*INDEX(MBSIncItems,$C281,$C294),"")</f>
        <v/>
      </c>
      <c r="G294" s="57" t="str">
        <f t="shared" si="229"/>
        <v/>
      </c>
      <c r="H294" s="57" t="str">
        <f t="shared" si="229"/>
        <v/>
      </c>
      <c r="I294" s="57" t="str">
        <f t="shared" si="229"/>
        <v/>
      </c>
      <c r="J294" s="57" t="str">
        <f t="shared" si="229"/>
        <v/>
      </c>
      <c r="K294" s="57" t="str">
        <f t="shared" si="229"/>
        <v/>
      </c>
      <c r="M294" s="474"/>
      <c r="N294" s="344"/>
      <c r="O294" s="360"/>
      <c r="P294" s="360"/>
    </row>
    <row r="295" spans="1:28" hidden="1" outlineLevel="2" x14ac:dyDescent="0.2">
      <c r="B295" s="209">
        <v>4</v>
      </c>
      <c r="C295" s="209">
        <v>6</v>
      </c>
      <c r="E295" s="358" t="s">
        <v>1293</v>
      </c>
      <c r="F295" s="57" t="str">
        <f t="shared" ref="F295:K295" si="230">IFERROR(F293*INDEX(MBSIncItems,$C281,$B295)*INDEX(MBSIncItems,$C281,$C295),"")</f>
        <v/>
      </c>
      <c r="G295" s="57" t="str">
        <f t="shared" si="230"/>
        <v/>
      </c>
      <c r="H295" s="57" t="str">
        <f t="shared" si="230"/>
        <v/>
      </c>
      <c r="I295" s="57" t="str">
        <f t="shared" si="230"/>
        <v/>
      </c>
      <c r="J295" s="57" t="str">
        <f t="shared" si="230"/>
        <v/>
      </c>
      <c r="K295" s="57" t="str">
        <f t="shared" si="230"/>
        <v/>
      </c>
      <c r="M295" s="475"/>
      <c r="N295" s="473"/>
      <c r="O295" s="360"/>
      <c r="P295" s="360"/>
    </row>
    <row r="296" spans="1:28" hidden="1" outlineLevel="2" x14ac:dyDescent="0.2">
      <c r="B296" s="209"/>
      <c r="C296" s="209">
        <v>7</v>
      </c>
      <c r="E296" s="359" t="s">
        <v>1295</v>
      </c>
      <c r="F296" s="57" t="str">
        <f t="shared" ref="F296:K296" si="231">IFERROR(F293*INDEX(MBSIncItems,$C281,$C296),"")</f>
        <v/>
      </c>
      <c r="G296" s="57" t="str">
        <f t="shared" si="231"/>
        <v/>
      </c>
      <c r="H296" s="57" t="str">
        <f t="shared" si="231"/>
        <v/>
      </c>
      <c r="I296" s="57" t="str">
        <f t="shared" si="231"/>
        <v/>
      </c>
      <c r="J296" s="57" t="str">
        <f t="shared" si="231"/>
        <v/>
      </c>
      <c r="K296" s="57" t="str">
        <f t="shared" si="231"/>
        <v/>
      </c>
      <c r="M296" s="475"/>
      <c r="N296" s="473"/>
      <c r="O296" s="360"/>
      <c r="P296" s="360"/>
    </row>
    <row r="297" spans="1:28" outlineLevel="1" collapsed="1" x14ac:dyDescent="0.2">
      <c r="D297" s="360"/>
      <c r="E297" s="360"/>
      <c r="N297" s="360"/>
      <c r="O297" s="360"/>
      <c r="P297" s="360"/>
    </row>
    <row r="298" spans="1:28" ht="15.75" outlineLevel="1" collapsed="1" x14ac:dyDescent="0.2">
      <c r="C298" s="209">
        <v>12</v>
      </c>
      <c r="D298" s="72" t="str">
        <f>INDEX(MBSIncNames,C298)</f>
        <v>** NOT USED **</v>
      </c>
      <c r="E298" s="72"/>
      <c r="F298" s="105"/>
      <c r="G298" s="105"/>
      <c r="H298" s="105"/>
      <c r="I298" s="105"/>
      <c r="J298" s="588" t="str">
        <f>IF(D298&lt;&gt;MsgNotUsed,"Co-payment group " &amp;#REF!,"")</f>
        <v/>
      </c>
      <c r="K298" s="588"/>
      <c r="L298" s="105"/>
      <c r="M298" s="105"/>
      <c r="N298" s="105"/>
      <c r="O298" s="105"/>
      <c r="P298" s="105"/>
      <c r="Q298" s="105"/>
      <c r="R298" s="105"/>
      <c r="S298" s="105"/>
      <c r="T298" s="105"/>
      <c r="U298" s="105"/>
      <c r="V298" s="105"/>
    </row>
    <row r="299" spans="1:28" hidden="1" outlineLevel="2" x14ac:dyDescent="0.2">
      <c r="F299" s="357">
        <v>2</v>
      </c>
      <c r="G299" s="357">
        <v>3</v>
      </c>
      <c r="H299" s="357">
        <v>4</v>
      </c>
      <c r="I299" s="357">
        <v>5</v>
      </c>
      <c r="J299" s="357">
        <v>6</v>
      </c>
      <c r="K299" s="357">
        <v>7</v>
      </c>
      <c r="L299" s="357"/>
    </row>
    <row r="300" spans="1:28" ht="15" hidden="1" outlineLevel="2" x14ac:dyDescent="0.2">
      <c r="D300" s="462" t="s">
        <v>0</v>
      </c>
      <c r="E300" s="462"/>
      <c r="F300" s="74">
        <f>FirstYear</f>
        <v>2026</v>
      </c>
      <c r="G300" s="74">
        <f>F300+1</f>
        <v>2027</v>
      </c>
      <c r="H300" s="74">
        <f>G300+1</f>
        <v>2028</v>
      </c>
      <c r="I300" s="74">
        <f>H300+1</f>
        <v>2029</v>
      </c>
      <c r="J300" s="74">
        <f>I300+1</f>
        <v>2030</v>
      </c>
      <c r="K300" s="74">
        <f>J300+1</f>
        <v>2031</v>
      </c>
      <c r="N300" s="470"/>
      <c r="O300" s="470"/>
      <c r="P300" s="470"/>
      <c r="Q300" s="223"/>
      <c r="R300" s="223"/>
      <c r="S300" s="223"/>
      <c r="T300" s="223"/>
      <c r="U300" s="223"/>
      <c r="V300" s="223"/>
      <c r="X300" s="223"/>
      <c r="Y300" s="223"/>
      <c r="Z300" s="223"/>
      <c r="AA300" s="223"/>
    </row>
    <row r="301" spans="1:28" hidden="1" outlineLevel="2" x14ac:dyDescent="0.2">
      <c r="E301" s="82" t="s">
        <v>938</v>
      </c>
      <c r="F301" s="239">
        <f t="shared" ref="F301:K301" si="232">F302*INDEX(MBSIncCalc,$C298,3)</f>
        <v>0</v>
      </c>
      <c r="G301" s="239">
        <f t="shared" si="232"/>
        <v>0</v>
      </c>
      <c r="H301" s="239">
        <f t="shared" si="232"/>
        <v>0</v>
      </c>
      <c r="I301" s="239">
        <f t="shared" si="232"/>
        <v>0</v>
      </c>
      <c r="J301" s="239">
        <f t="shared" si="232"/>
        <v>0</v>
      </c>
      <c r="K301" s="239">
        <f t="shared" si="232"/>
        <v>0</v>
      </c>
      <c r="M301" s="471"/>
      <c r="N301" s="463"/>
      <c r="O301" s="463"/>
      <c r="P301" s="463"/>
      <c r="Q301" s="472"/>
      <c r="R301" s="472"/>
      <c r="S301" s="472"/>
      <c r="T301" s="472"/>
      <c r="U301" s="472"/>
      <c r="V301" s="472"/>
      <c r="X301" s="402">
        <f>INDEX(MBSIncItems,C298,1)</f>
        <v>0</v>
      </c>
      <c r="Y301" s="402">
        <f>FirstYear</f>
        <v>2026</v>
      </c>
      <c r="Z301" s="401">
        <f>IF(F302&lt;&gt;0,F302-F304,0)</f>
        <v>0</v>
      </c>
      <c r="AA301" s="401">
        <f>IF(F310&lt;&gt;0,F310-F312,0)</f>
        <v>0</v>
      </c>
      <c r="AB301" s="223"/>
    </row>
    <row r="302" spans="1:28" hidden="1" outlineLevel="2" x14ac:dyDescent="0.2">
      <c r="B302" s="468"/>
      <c r="C302" s="209" t="str">
        <f>INDEX(MBSIncCalc,C298,2)</f>
        <v/>
      </c>
      <c r="E302" s="56" t="s">
        <v>1297</v>
      </c>
      <c r="F302" s="57">
        <f t="shared" ref="F302:K302" si="233">IF(INDEX(MBSIncRate,$C298,2)=2,IFERROR(INDEX(PBSScriptsNew,$C302,F299),0),IFERROR(INDEX(MBSPBSInc,$C298,INDEX(MBSIncRate,$C298,3)*7+F299),0) * IFERROR(INDEX(MBSIncPopSplit,$C298),0)) * INDEX(MBSIncRate,$C298,1) * INDEX(MBSIncRate,$C298,4)</f>
        <v>0</v>
      </c>
      <c r="G302" s="57">
        <f t="shared" si="233"/>
        <v>0</v>
      </c>
      <c r="H302" s="57">
        <f t="shared" si="233"/>
        <v>0</v>
      </c>
      <c r="I302" s="57">
        <f t="shared" si="233"/>
        <v>0</v>
      </c>
      <c r="J302" s="57">
        <f t="shared" si="233"/>
        <v>0</v>
      </c>
      <c r="K302" s="57">
        <f t="shared" si="233"/>
        <v>0</v>
      </c>
      <c r="O302" s="463"/>
      <c r="P302" s="463"/>
      <c r="Q302" s="472"/>
      <c r="R302" s="472"/>
      <c r="S302" s="472"/>
      <c r="T302" s="472"/>
      <c r="U302" s="472"/>
      <c r="V302" s="472"/>
      <c r="X302" s="402">
        <f>X301</f>
        <v>0</v>
      </c>
      <c r="Y302" s="402">
        <f>Y301+1</f>
        <v>2027</v>
      </c>
      <c r="Z302" s="401">
        <f>IF(G302&lt;&gt;0,G302-G304,0)</f>
        <v>0</v>
      </c>
      <c r="AA302" s="401">
        <f>IF(G310&lt;&gt;0,G310-G312,0)</f>
        <v>0</v>
      </c>
      <c r="AB302" s="223"/>
    </row>
    <row r="303" spans="1:28" hidden="1" outlineLevel="2" x14ac:dyDescent="0.2">
      <c r="B303" s="209">
        <v>5</v>
      </c>
      <c r="C303" s="209">
        <v>6</v>
      </c>
      <c r="E303" s="358" t="s">
        <v>1294</v>
      </c>
      <c r="F303" s="57" t="str">
        <f t="shared" ref="F303:K303" si="234">IFERROR(F302*INDEX(MBSIncItems,$C298,$B303)*INDEX(MBSIncItems,$C298,$C303),"")</f>
        <v/>
      </c>
      <c r="G303" s="57" t="str">
        <f t="shared" si="234"/>
        <v/>
      </c>
      <c r="H303" s="57" t="str">
        <f t="shared" si="234"/>
        <v/>
      </c>
      <c r="I303" s="57" t="str">
        <f t="shared" si="234"/>
        <v/>
      </c>
      <c r="J303" s="57" t="str">
        <f t="shared" si="234"/>
        <v/>
      </c>
      <c r="K303" s="57" t="str">
        <f t="shared" si="234"/>
        <v/>
      </c>
      <c r="O303" s="473"/>
      <c r="P303" s="514"/>
      <c r="Q303" s="472"/>
      <c r="R303" s="472"/>
      <c r="S303" s="472"/>
      <c r="T303" s="472"/>
      <c r="U303" s="472"/>
      <c r="V303" s="472"/>
      <c r="X303" s="402">
        <f t="shared" ref="X303:X306" si="235">X302</f>
        <v>0</v>
      </c>
      <c r="Y303" s="402">
        <f>Y302+1</f>
        <v>2028</v>
      </c>
      <c r="Z303" s="401">
        <f>IF(H302&lt;&gt;0,H302-H304,0)</f>
        <v>0</v>
      </c>
      <c r="AA303" s="401">
        <f>IF(H310&lt;&gt;0,H310-H312,0)</f>
        <v>0</v>
      </c>
      <c r="AB303" s="469"/>
    </row>
    <row r="304" spans="1:28" hidden="1" outlineLevel="2" x14ac:dyDescent="0.2">
      <c r="A304"/>
      <c r="B304" s="209">
        <v>4</v>
      </c>
      <c r="C304" s="209">
        <v>6</v>
      </c>
      <c r="E304" s="358" t="s">
        <v>1293</v>
      </c>
      <c r="F304" s="57" t="str">
        <f t="shared" ref="F304:K304" si="236">IFERROR(F302*INDEX(MBSIncItems,$C298,$B304)*INDEX(MBSIncItems,$C298,$C304),"")</f>
        <v/>
      </c>
      <c r="G304" s="57" t="str">
        <f t="shared" si="236"/>
        <v/>
      </c>
      <c r="H304" s="57" t="str">
        <f t="shared" si="236"/>
        <v/>
      </c>
      <c r="I304" s="57" t="str">
        <f t="shared" si="236"/>
        <v/>
      </c>
      <c r="J304" s="57" t="str">
        <f t="shared" si="236"/>
        <v/>
      </c>
      <c r="K304" s="57" t="str">
        <f t="shared" si="236"/>
        <v/>
      </c>
      <c r="L304"/>
      <c r="M304"/>
      <c r="N304"/>
      <c r="O304"/>
      <c r="P304"/>
      <c r="Q304"/>
      <c r="R304"/>
      <c r="S304"/>
      <c r="T304"/>
      <c r="U304"/>
      <c r="V304"/>
      <c r="X304" s="402">
        <f t="shared" si="235"/>
        <v>0</v>
      </c>
      <c r="Y304" s="402">
        <f>Y303+1</f>
        <v>2029</v>
      </c>
      <c r="Z304" s="401">
        <f>IF(I302&lt;&gt;0,I302-I304,0)</f>
        <v>0</v>
      </c>
      <c r="AA304" s="401">
        <f>IF(I310&lt;&gt;0,I310-I312,0)</f>
        <v>0</v>
      </c>
      <c r="AB304" s="469"/>
    </row>
    <row r="305" spans="2:28" hidden="1" outlineLevel="2" x14ac:dyDescent="0.2">
      <c r="B305" s="209"/>
      <c r="C305" s="209">
        <v>7</v>
      </c>
      <c r="E305" s="359" t="s">
        <v>1295</v>
      </c>
      <c r="F305" s="57" t="str">
        <f t="shared" ref="F305:K305" si="237">IFERROR(F302*INDEX(MBSIncItems,$C298,$C305),"")</f>
        <v/>
      </c>
      <c r="G305" s="57" t="str">
        <f t="shared" si="237"/>
        <v/>
      </c>
      <c r="H305" s="57" t="str">
        <f t="shared" si="237"/>
        <v/>
      </c>
      <c r="I305" s="57" t="str">
        <f t="shared" si="237"/>
        <v/>
      </c>
      <c r="J305" s="57" t="str">
        <f t="shared" si="237"/>
        <v/>
      </c>
      <c r="K305" s="57" t="str">
        <f t="shared" si="237"/>
        <v/>
      </c>
      <c r="O305" s="473"/>
      <c r="P305" s="514"/>
      <c r="Q305" s="472"/>
      <c r="R305" s="472"/>
      <c r="S305" s="472"/>
      <c r="T305" s="472"/>
      <c r="U305" s="472"/>
      <c r="V305" s="472"/>
      <c r="X305" s="402">
        <f t="shared" si="235"/>
        <v>0</v>
      </c>
      <c r="Y305" s="402">
        <f>Y304+1</f>
        <v>2030</v>
      </c>
      <c r="Z305" s="401">
        <f>IF(J302&lt;&gt;0,J302-J304,0)</f>
        <v>0</v>
      </c>
      <c r="AA305" s="401">
        <f>IF(J310&lt;&gt;0,J310-J312,0)</f>
        <v>0</v>
      </c>
      <c r="AB305" s="469"/>
    </row>
    <row r="306" spans="2:28" hidden="1" outlineLevel="2" x14ac:dyDescent="0.2">
      <c r="O306" s="473"/>
      <c r="P306" s="473"/>
      <c r="Q306" s="472"/>
      <c r="R306" s="472"/>
      <c r="S306" s="472"/>
      <c r="T306" s="472"/>
      <c r="U306" s="472"/>
      <c r="V306" s="472"/>
      <c r="X306" s="402">
        <f t="shared" si="235"/>
        <v>0</v>
      </c>
      <c r="Y306" s="402">
        <f>Y305+1</f>
        <v>2031</v>
      </c>
      <c r="Z306" s="401">
        <f>IF(K302&lt;&gt;0,K302-K304,0)</f>
        <v>0</v>
      </c>
      <c r="AA306" s="401">
        <f>IF(K310&lt;&gt;0,K310-K312,0)</f>
        <v>0</v>
      </c>
      <c r="AB306" s="469"/>
    </row>
    <row r="307" spans="2:28" hidden="1" outlineLevel="2" x14ac:dyDescent="0.2">
      <c r="D307" s="360"/>
      <c r="E307" s="360"/>
      <c r="F307" s="357">
        <v>2</v>
      </c>
      <c r="G307" s="357">
        <v>3</v>
      </c>
      <c r="H307" s="357">
        <v>4</v>
      </c>
      <c r="I307" s="357">
        <v>5</v>
      </c>
      <c r="J307" s="357">
        <v>6</v>
      </c>
      <c r="K307" s="357">
        <v>7</v>
      </c>
      <c r="N307" s="360"/>
      <c r="O307" s="360"/>
      <c r="P307" s="360"/>
      <c r="AB307" s="469"/>
    </row>
    <row r="308" spans="2:28" ht="15.75" hidden="1" outlineLevel="2" x14ac:dyDescent="0.2">
      <c r="D308" s="462" t="s">
        <v>1</v>
      </c>
      <c r="E308" s="462"/>
      <c r="F308" s="74">
        <f>FirstYear</f>
        <v>2026</v>
      </c>
      <c r="G308" s="74">
        <f>F308+1</f>
        <v>2027</v>
      </c>
      <c r="H308" s="74">
        <f>G308+1</f>
        <v>2028</v>
      </c>
      <c r="I308" s="74">
        <f>H308+1</f>
        <v>2029</v>
      </c>
      <c r="J308" s="74">
        <f>I308+1</f>
        <v>2030</v>
      </c>
      <c r="K308" s="74">
        <f>J308+1</f>
        <v>2031</v>
      </c>
      <c r="N308" s="466"/>
      <c r="O308" s="466"/>
      <c r="P308" s="466"/>
    </row>
    <row r="309" spans="2:28" hidden="1" outlineLevel="2" x14ac:dyDescent="0.2">
      <c r="E309" s="82" t="s">
        <v>938</v>
      </c>
      <c r="F309" s="239">
        <f t="shared" ref="F309:K309" si="238">F310*INDEX(MBSIncCalc,$C298,3)</f>
        <v>0</v>
      </c>
      <c r="G309" s="239">
        <f t="shared" si="238"/>
        <v>0</v>
      </c>
      <c r="H309" s="239">
        <f t="shared" si="238"/>
        <v>0</v>
      </c>
      <c r="I309" s="239">
        <f t="shared" si="238"/>
        <v>0</v>
      </c>
      <c r="J309" s="239">
        <f t="shared" si="238"/>
        <v>0</v>
      </c>
      <c r="K309" s="239">
        <f t="shared" si="238"/>
        <v>0</v>
      </c>
      <c r="M309"/>
      <c r="N309"/>
      <c r="O309" s="360"/>
      <c r="P309" s="360"/>
    </row>
    <row r="310" spans="2:28" hidden="1" outlineLevel="2" x14ac:dyDescent="0.2">
      <c r="B310" s="468"/>
      <c r="C310" s="209" t="str">
        <f>C302</f>
        <v/>
      </c>
      <c r="E310" s="56" t="s">
        <v>1297</v>
      </c>
      <c r="F310" s="57">
        <f t="shared" ref="F310:K310" si="239">IF(INDEX(MBSIncRate,$C298,2)=2,IFERROR(INDEX(RPBSScriptsNew,$C310,F307),0),IFERROR(INDEX(MBSRPBSInc,$C298,INDEX(MBSIncRate,$C298,3)*7+F307),0) * IFERROR(INDEX(MBSIncPopSplit,$C298),0)) * INDEX(MBSIncRate,$C298,1) * INDEX(MBSIncRate,$C298,4)</f>
        <v>0</v>
      </c>
      <c r="G310" s="57">
        <f t="shared" si="239"/>
        <v>0</v>
      </c>
      <c r="H310" s="57">
        <f t="shared" si="239"/>
        <v>0</v>
      </c>
      <c r="I310" s="57">
        <f t="shared" si="239"/>
        <v>0</v>
      </c>
      <c r="J310" s="57">
        <f t="shared" si="239"/>
        <v>0</v>
      </c>
      <c r="K310" s="57">
        <f t="shared" si="239"/>
        <v>0</v>
      </c>
      <c r="N310" s="344"/>
      <c r="O310" s="360"/>
      <c r="P310" s="360"/>
    </row>
    <row r="311" spans="2:28" hidden="1" outlineLevel="2" x14ac:dyDescent="0.2">
      <c r="B311" s="209">
        <v>5</v>
      </c>
      <c r="C311" s="209">
        <v>6</v>
      </c>
      <c r="E311" s="358" t="s">
        <v>1294</v>
      </c>
      <c r="F311" s="57" t="str">
        <f t="shared" ref="F311:K311" si="240">IFERROR(F310*INDEX(MBSIncItems,$C298,$B311)*INDEX(MBSIncItems,$C298,$C311),"")</f>
        <v/>
      </c>
      <c r="G311" s="57" t="str">
        <f t="shared" si="240"/>
        <v/>
      </c>
      <c r="H311" s="57" t="str">
        <f t="shared" si="240"/>
        <v/>
      </c>
      <c r="I311" s="57" t="str">
        <f t="shared" si="240"/>
        <v/>
      </c>
      <c r="J311" s="57" t="str">
        <f t="shared" si="240"/>
        <v/>
      </c>
      <c r="K311" s="57" t="str">
        <f t="shared" si="240"/>
        <v/>
      </c>
      <c r="M311" s="474"/>
      <c r="N311" s="344"/>
      <c r="O311" s="360"/>
      <c r="P311" s="360"/>
    </row>
    <row r="312" spans="2:28" hidden="1" outlineLevel="2" x14ac:dyDescent="0.2">
      <c r="B312" s="209">
        <v>4</v>
      </c>
      <c r="C312" s="209">
        <v>6</v>
      </c>
      <c r="E312" s="358" t="s">
        <v>1293</v>
      </c>
      <c r="F312" s="57" t="str">
        <f t="shared" ref="F312:K312" si="241">IFERROR(F310*INDEX(MBSIncItems,$C298,$B312)*INDEX(MBSIncItems,$C298,$C312),"")</f>
        <v/>
      </c>
      <c r="G312" s="57" t="str">
        <f t="shared" si="241"/>
        <v/>
      </c>
      <c r="H312" s="57" t="str">
        <f t="shared" si="241"/>
        <v/>
      </c>
      <c r="I312" s="57" t="str">
        <f t="shared" si="241"/>
        <v/>
      </c>
      <c r="J312" s="57" t="str">
        <f t="shared" si="241"/>
        <v/>
      </c>
      <c r="K312" s="57" t="str">
        <f t="shared" si="241"/>
        <v/>
      </c>
      <c r="M312" s="475"/>
      <c r="N312" s="473"/>
      <c r="O312" s="360"/>
      <c r="P312" s="360"/>
    </row>
    <row r="313" spans="2:28" hidden="1" outlineLevel="2" x14ac:dyDescent="0.2">
      <c r="B313" s="209"/>
      <c r="C313" s="209">
        <v>7</v>
      </c>
      <c r="E313" s="359" t="s">
        <v>1295</v>
      </c>
      <c r="F313" s="57" t="str">
        <f t="shared" ref="F313:K313" si="242">IFERROR(F310*INDEX(MBSIncItems,$C298,$C313),"")</f>
        <v/>
      </c>
      <c r="G313" s="57" t="str">
        <f t="shared" si="242"/>
        <v/>
      </c>
      <c r="H313" s="57" t="str">
        <f t="shared" si="242"/>
        <v/>
      </c>
      <c r="I313" s="57" t="str">
        <f t="shared" si="242"/>
        <v/>
      </c>
      <c r="J313" s="57" t="str">
        <f t="shared" si="242"/>
        <v/>
      </c>
      <c r="K313" s="57" t="str">
        <f t="shared" si="242"/>
        <v/>
      </c>
      <c r="M313" s="475"/>
      <c r="N313" s="473"/>
      <c r="O313" s="360"/>
      <c r="P313" s="360"/>
    </row>
    <row r="314" spans="2:28" outlineLevel="1" collapsed="1" x14ac:dyDescent="0.2">
      <c r="D314" s="360"/>
      <c r="E314" s="360"/>
      <c r="N314" s="360"/>
      <c r="O314" s="360"/>
      <c r="P314" s="360"/>
    </row>
    <row r="315" spans="2:28" ht="15.75" outlineLevel="1" collapsed="1" x14ac:dyDescent="0.2">
      <c r="C315" s="209">
        <v>13</v>
      </c>
      <c r="D315" s="72" t="str">
        <f>INDEX(MBSIncNames,C315)</f>
        <v>** NOT USED **</v>
      </c>
      <c r="E315" s="72"/>
      <c r="F315" s="105"/>
      <c r="G315" s="105"/>
      <c r="H315" s="105"/>
      <c r="I315" s="105"/>
      <c r="J315" s="588" t="str">
        <f>IF(D315&lt;&gt;MsgNotUsed,"Co-payment group " &amp; K144,"")</f>
        <v/>
      </c>
      <c r="K315" s="588"/>
      <c r="L315" s="105"/>
      <c r="M315" s="105"/>
      <c r="N315" s="105"/>
      <c r="O315" s="105"/>
      <c r="P315" s="105"/>
      <c r="Q315" s="105"/>
      <c r="R315" s="105"/>
      <c r="S315" s="105"/>
      <c r="T315" s="105"/>
      <c r="U315" s="105"/>
      <c r="V315" s="105"/>
    </row>
    <row r="316" spans="2:28" hidden="1" outlineLevel="2" x14ac:dyDescent="0.2">
      <c r="F316" s="357">
        <v>2</v>
      </c>
      <c r="G316" s="357">
        <v>3</v>
      </c>
      <c r="H316" s="357">
        <v>4</v>
      </c>
      <c r="I316" s="357">
        <v>5</v>
      </c>
      <c r="J316" s="357">
        <v>6</v>
      </c>
      <c r="K316" s="357">
        <v>7</v>
      </c>
      <c r="L316" s="357"/>
    </row>
    <row r="317" spans="2:28" ht="15" hidden="1" outlineLevel="2" x14ac:dyDescent="0.2">
      <c r="D317" s="462" t="s">
        <v>0</v>
      </c>
      <c r="E317" s="462"/>
      <c r="F317" s="74">
        <f>FirstYear</f>
        <v>2026</v>
      </c>
      <c r="G317" s="74">
        <f>F317+1</f>
        <v>2027</v>
      </c>
      <c r="H317" s="74">
        <f>G317+1</f>
        <v>2028</v>
      </c>
      <c r="I317" s="74">
        <f>H317+1</f>
        <v>2029</v>
      </c>
      <c r="J317" s="74">
        <f>I317+1</f>
        <v>2030</v>
      </c>
      <c r="K317" s="74">
        <f>J317+1</f>
        <v>2031</v>
      </c>
      <c r="N317" s="470"/>
      <c r="O317" s="470"/>
      <c r="P317" s="470"/>
      <c r="Q317" s="223"/>
      <c r="R317" s="223"/>
      <c r="S317" s="223"/>
      <c r="T317" s="223"/>
      <c r="U317" s="223"/>
      <c r="V317" s="223"/>
      <c r="X317" s="223"/>
      <c r="Y317" s="223"/>
      <c r="Z317" s="223"/>
      <c r="AA317" s="223"/>
    </row>
    <row r="318" spans="2:28" hidden="1" outlineLevel="2" x14ac:dyDescent="0.2">
      <c r="E318" s="82" t="s">
        <v>938</v>
      </c>
      <c r="F318" s="239">
        <f t="shared" ref="F318:K318" si="243">F319*INDEX(MBSIncCalc,$C315,3)</f>
        <v>0</v>
      </c>
      <c r="G318" s="239">
        <f t="shared" si="243"/>
        <v>0</v>
      </c>
      <c r="H318" s="239">
        <f t="shared" si="243"/>
        <v>0</v>
      </c>
      <c r="I318" s="239">
        <f t="shared" si="243"/>
        <v>0</v>
      </c>
      <c r="J318" s="239">
        <f t="shared" si="243"/>
        <v>0</v>
      </c>
      <c r="K318" s="239">
        <f t="shared" si="243"/>
        <v>0</v>
      </c>
      <c r="M318" s="471"/>
      <c r="N318" s="463"/>
      <c r="O318" s="463"/>
      <c r="P318" s="463"/>
      <c r="Q318" s="472"/>
      <c r="R318" s="472"/>
      <c r="S318" s="472"/>
      <c r="T318" s="472"/>
      <c r="U318" s="472"/>
      <c r="V318" s="472"/>
      <c r="X318" s="402">
        <f>INDEX(MBSIncItems,C315,1)</f>
        <v>0</v>
      </c>
      <c r="Y318" s="402">
        <f>FirstYear</f>
        <v>2026</v>
      </c>
      <c r="Z318" s="401">
        <f>IF(F319&lt;&gt;0,F319-F321,0)</f>
        <v>0</v>
      </c>
      <c r="AA318" s="401">
        <f>IF(F327&lt;&gt;0,F327-F329,0)</f>
        <v>0</v>
      </c>
      <c r="AB318" s="223"/>
    </row>
    <row r="319" spans="2:28" hidden="1" outlineLevel="2" x14ac:dyDescent="0.2">
      <c r="B319" s="468"/>
      <c r="C319" s="209" t="str">
        <f>INDEX(MBSIncCalc,C315,2)</f>
        <v/>
      </c>
      <c r="E319" s="56" t="s">
        <v>1297</v>
      </c>
      <c r="F319" s="57">
        <f t="shared" ref="F319:K319" si="244">IF(INDEX(MBSIncRate,$C315,2)=2,IFERROR(INDEX(PBSScriptsNew,$C319,F316),0),IFERROR(INDEX(MBSPBSInc,$C315,INDEX(MBSIncRate,$C315,3)*7+F316),0) * IFERROR(INDEX(MBSIncPopSplit,$C315),0)) * INDEX(MBSIncRate,$C315,1) * INDEX(MBSIncRate,$C315,4)</f>
        <v>0</v>
      </c>
      <c r="G319" s="57">
        <f t="shared" si="244"/>
        <v>0</v>
      </c>
      <c r="H319" s="57">
        <f t="shared" si="244"/>
        <v>0</v>
      </c>
      <c r="I319" s="57">
        <f t="shared" si="244"/>
        <v>0</v>
      </c>
      <c r="J319" s="57">
        <f t="shared" si="244"/>
        <v>0</v>
      </c>
      <c r="K319" s="57">
        <f t="shared" si="244"/>
        <v>0</v>
      </c>
      <c r="O319" s="463"/>
      <c r="P319" s="463"/>
      <c r="Q319" s="472"/>
      <c r="R319" s="472"/>
      <c r="S319" s="472"/>
      <c r="T319" s="472"/>
      <c r="U319" s="472"/>
      <c r="V319" s="472"/>
      <c r="X319" s="402">
        <f>X318</f>
        <v>0</v>
      </c>
      <c r="Y319" s="402">
        <f>Y318+1</f>
        <v>2027</v>
      </c>
      <c r="Z319" s="401">
        <f>IF(G319&lt;&gt;0,G319-G321,0)</f>
        <v>0</v>
      </c>
      <c r="AA319" s="401">
        <f>IF(G327&lt;&gt;0,G327-G329,0)</f>
        <v>0</v>
      </c>
      <c r="AB319" s="223"/>
    </row>
    <row r="320" spans="2:28" hidden="1" outlineLevel="2" x14ac:dyDescent="0.2">
      <c r="B320" s="209">
        <v>5</v>
      </c>
      <c r="C320" s="209">
        <v>6</v>
      </c>
      <c r="E320" s="358" t="s">
        <v>1294</v>
      </c>
      <c r="F320" s="57" t="str">
        <f t="shared" ref="F320:K320" si="245">IFERROR(F319*INDEX(MBSIncItems,$C315,$B320)*INDEX(MBSIncItems,$C315,$C320),"")</f>
        <v/>
      </c>
      <c r="G320" s="57" t="str">
        <f t="shared" si="245"/>
        <v/>
      </c>
      <c r="H320" s="57" t="str">
        <f t="shared" si="245"/>
        <v/>
      </c>
      <c r="I320" s="57" t="str">
        <f t="shared" si="245"/>
        <v/>
      </c>
      <c r="J320" s="57" t="str">
        <f t="shared" si="245"/>
        <v/>
      </c>
      <c r="K320" s="57" t="str">
        <f t="shared" si="245"/>
        <v/>
      </c>
      <c r="O320" s="473"/>
      <c r="P320" s="514"/>
      <c r="Q320" s="472"/>
      <c r="R320" s="472"/>
      <c r="S320" s="472"/>
      <c r="T320" s="472"/>
      <c r="U320" s="472"/>
      <c r="V320" s="472"/>
      <c r="X320" s="402">
        <f t="shared" ref="X320:X323" si="246">X319</f>
        <v>0</v>
      </c>
      <c r="Y320" s="402">
        <f>Y319+1</f>
        <v>2028</v>
      </c>
      <c r="Z320" s="401">
        <f>IF(H319&lt;&gt;0,H319-H321,0)</f>
        <v>0</v>
      </c>
      <c r="AA320" s="401">
        <f>IF(H327&lt;&gt;0,H327-H329,0)</f>
        <v>0</v>
      </c>
      <c r="AB320" s="469"/>
    </row>
    <row r="321" spans="1:28" hidden="1" outlineLevel="2" x14ac:dyDescent="0.2">
      <c r="A321"/>
      <c r="B321" s="209">
        <v>4</v>
      </c>
      <c r="C321" s="209">
        <v>6</v>
      </c>
      <c r="E321" s="358" t="s">
        <v>1293</v>
      </c>
      <c r="F321" s="57" t="str">
        <f t="shared" ref="F321:K321" si="247">IFERROR(F319*INDEX(MBSIncItems,$C315,$B321)*INDEX(MBSIncItems,$C315,$C321),"")</f>
        <v/>
      </c>
      <c r="G321" s="57" t="str">
        <f t="shared" si="247"/>
        <v/>
      </c>
      <c r="H321" s="57" t="str">
        <f t="shared" si="247"/>
        <v/>
      </c>
      <c r="I321" s="57" t="str">
        <f t="shared" si="247"/>
        <v/>
      </c>
      <c r="J321" s="57" t="str">
        <f t="shared" si="247"/>
        <v/>
      </c>
      <c r="K321" s="57" t="str">
        <f t="shared" si="247"/>
        <v/>
      </c>
      <c r="L321"/>
      <c r="M321"/>
      <c r="N321"/>
      <c r="O321"/>
      <c r="P321"/>
      <c r="Q321"/>
      <c r="R321"/>
      <c r="S321"/>
      <c r="T321"/>
      <c r="U321"/>
      <c r="V321"/>
      <c r="X321" s="402">
        <f t="shared" si="246"/>
        <v>0</v>
      </c>
      <c r="Y321" s="402">
        <f>Y320+1</f>
        <v>2029</v>
      </c>
      <c r="Z321" s="401">
        <f>IF(I319&lt;&gt;0,I319-I321,0)</f>
        <v>0</v>
      </c>
      <c r="AA321" s="401">
        <f>IF(I327&lt;&gt;0,I327-I329,0)</f>
        <v>0</v>
      </c>
      <c r="AB321" s="469"/>
    </row>
    <row r="322" spans="1:28" hidden="1" outlineLevel="2" x14ac:dyDescent="0.2">
      <c r="B322" s="209"/>
      <c r="C322" s="209">
        <v>7</v>
      </c>
      <c r="E322" s="359" t="s">
        <v>1295</v>
      </c>
      <c r="F322" s="57" t="str">
        <f t="shared" ref="F322:K322" si="248">IFERROR(F319*INDEX(MBSIncItems,$C315,$C322),"")</f>
        <v/>
      </c>
      <c r="G322" s="57" t="str">
        <f t="shared" si="248"/>
        <v/>
      </c>
      <c r="H322" s="57" t="str">
        <f t="shared" si="248"/>
        <v/>
      </c>
      <c r="I322" s="57" t="str">
        <f t="shared" si="248"/>
        <v/>
      </c>
      <c r="J322" s="57" t="str">
        <f t="shared" si="248"/>
        <v/>
      </c>
      <c r="K322" s="57" t="str">
        <f t="shared" si="248"/>
        <v/>
      </c>
      <c r="O322" s="473"/>
      <c r="P322" s="514"/>
      <c r="Q322" s="472"/>
      <c r="R322" s="472"/>
      <c r="S322" s="472"/>
      <c r="T322" s="472"/>
      <c r="U322" s="472"/>
      <c r="V322" s="472"/>
      <c r="X322" s="402">
        <f t="shared" si="246"/>
        <v>0</v>
      </c>
      <c r="Y322" s="402">
        <f>Y321+1</f>
        <v>2030</v>
      </c>
      <c r="Z322" s="401">
        <f>IF(J319&lt;&gt;0,J319-J321,0)</f>
        <v>0</v>
      </c>
      <c r="AA322" s="401">
        <f>IF(J327&lt;&gt;0,J327-J329,0)</f>
        <v>0</v>
      </c>
      <c r="AB322" s="469"/>
    </row>
    <row r="323" spans="1:28" hidden="1" outlineLevel="2" x14ac:dyDescent="0.2">
      <c r="O323" s="473"/>
      <c r="P323" s="473"/>
      <c r="Q323" s="472"/>
      <c r="R323" s="472"/>
      <c r="S323" s="472"/>
      <c r="T323" s="472"/>
      <c r="U323" s="472"/>
      <c r="V323" s="472"/>
      <c r="X323" s="402">
        <f t="shared" si="246"/>
        <v>0</v>
      </c>
      <c r="Y323" s="402">
        <f>Y322+1</f>
        <v>2031</v>
      </c>
      <c r="Z323" s="401">
        <f>IF(K319&lt;&gt;0,K319-K321,0)</f>
        <v>0</v>
      </c>
      <c r="AA323" s="401">
        <f>IF(K327&lt;&gt;0,K327-K329,0)</f>
        <v>0</v>
      </c>
      <c r="AB323" s="469"/>
    </row>
    <row r="324" spans="1:28" hidden="1" outlineLevel="2" x14ac:dyDescent="0.2">
      <c r="D324" s="360"/>
      <c r="E324" s="360"/>
      <c r="F324" s="357">
        <v>2</v>
      </c>
      <c r="G324" s="357">
        <v>3</v>
      </c>
      <c r="H324" s="357">
        <v>4</v>
      </c>
      <c r="I324" s="357">
        <v>5</v>
      </c>
      <c r="J324" s="357">
        <v>6</v>
      </c>
      <c r="K324" s="357">
        <v>7</v>
      </c>
      <c r="N324" s="360"/>
      <c r="O324" s="360"/>
      <c r="P324" s="360"/>
      <c r="AB324" s="469"/>
    </row>
    <row r="325" spans="1:28" ht="15.75" hidden="1" outlineLevel="2" x14ac:dyDescent="0.2">
      <c r="D325" s="462" t="s">
        <v>1</v>
      </c>
      <c r="E325" s="462"/>
      <c r="F325" s="74">
        <f>FirstYear</f>
        <v>2026</v>
      </c>
      <c r="G325" s="74">
        <f>F325+1</f>
        <v>2027</v>
      </c>
      <c r="H325" s="74">
        <f>G325+1</f>
        <v>2028</v>
      </c>
      <c r="I325" s="74">
        <f>H325+1</f>
        <v>2029</v>
      </c>
      <c r="J325" s="74">
        <f>I325+1</f>
        <v>2030</v>
      </c>
      <c r="K325" s="74">
        <f>J325+1</f>
        <v>2031</v>
      </c>
      <c r="N325" s="466"/>
      <c r="O325" s="466"/>
      <c r="P325" s="466"/>
    </row>
    <row r="326" spans="1:28" hidden="1" outlineLevel="2" x14ac:dyDescent="0.2">
      <c r="E326" s="82" t="s">
        <v>938</v>
      </c>
      <c r="F326" s="239">
        <f t="shared" ref="F326:K326" si="249">F327*INDEX(MBSIncCalc,$C315,3)</f>
        <v>0</v>
      </c>
      <c r="G326" s="239">
        <f t="shared" si="249"/>
        <v>0</v>
      </c>
      <c r="H326" s="239">
        <f t="shared" si="249"/>
        <v>0</v>
      </c>
      <c r="I326" s="239">
        <f t="shared" si="249"/>
        <v>0</v>
      </c>
      <c r="J326" s="239">
        <f t="shared" si="249"/>
        <v>0</v>
      </c>
      <c r="K326" s="239">
        <f t="shared" si="249"/>
        <v>0</v>
      </c>
      <c r="M326"/>
      <c r="N326"/>
      <c r="O326" s="360"/>
      <c r="P326" s="360"/>
    </row>
    <row r="327" spans="1:28" hidden="1" outlineLevel="2" x14ac:dyDescent="0.2">
      <c r="B327" s="468"/>
      <c r="C327" s="209" t="str">
        <f>C319</f>
        <v/>
      </c>
      <c r="E327" s="56" t="s">
        <v>1297</v>
      </c>
      <c r="F327" s="57">
        <f t="shared" ref="F327:K327" si="250">IF(INDEX(MBSIncRate,$C315,2)=2,IFERROR(INDEX(RPBSScriptsNew,$C327,F324),0),IFERROR(INDEX(MBSRPBSInc,$C315,INDEX(MBSIncRate,$C315,3)*7+F324),0) * IFERROR(INDEX(MBSIncPopSplit,$C315),0)) * INDEX(MBSIncRate,$C315,1) * INDEX(MBSIncRate,$C315,4)</f>
        <v>0</v>
      </c>
      <c r="G327" s="57">
        <f t="shared" si="250"/>
        <v>0</v>
      </c>
      <c r="H327" s="57">
        <f t="shared" si="250"/>
        <v>0</v>
      </c>
      <c r="I327" s="57">
        <f t="shared" si="250"/>
        <v>0</v>
      </c>
      <c r="J327" s="57">
        <f t="shared" si="250"/>
        <v>0</v>
      </c>
      <c r="K327" s="57">
        <f t="shared" si="250"/>
        <v>0</v>
      </c>
      <c r="N327" s="344"/>
      <c r="O327" s="360"/>
      <c r="P327" s="360"/>
    </row>
    <row r="328" spans="1:28" hidden="1" outlineLevel="2" x14ac:dyDescent="0.2">
      <c r="B328" s="209">
        <v>5</v>
      </c>
      <c r="C328" s="209">
        <v>6</v>
      </c>
      <c r="E328" s="358" t="s">
        <v>1294</v>
      </c>
      <c r="F328" s="57" t="str">
        <f t="shared" ref="F328:K328" si="251">IFERROR(F327*INDEX(MBSIncItems,$C315,$B328)*INDEX(MBSIncItems,$C315,$C328),"")</f>
        <v/>
      </c>
      <c r="G328" s="57" t="str">
        <f t="shared" si="251"/>
        <v/>
      </c>
      <c r="H328" s="57" t="str">
        <f t="shared" si="251"/>
        <v/>
      </c>
      <c r="I328" s="57" t="str">
        <f t="shared" si="251"/>
        <v/>
      </c>
      <c r="J328" s="57" t="str">
        <f t="shared" si="251"/>
        <v/>
      </c>
      <c r="K328" s="57" t="str">
        <f t="shared" si="251"/>
        <v/>
      </c>
      <c r="M328" s="474"/>
      <c r="N328" s="344"/>
      <c r="O328" s="360"/>
      <c r="P328" s="360"/>
    </row>
    <row r="329" spans="1:28" hidden="1" outlineLevel="2" x14ac:dyDescent="0.2">
      <c r="B329" s="209">
        <v>4</v>
      </c>
      <c r="C329" s="209">
        <v>6</v>
      </c>
      <c r="E329" s="358" t="s">
        <v>1293</v>
      </c>
      <c r="F329" s="57" t="str">
        <f t="shared" ref="F329:K329" si="252">IFERROR(F327*INDEX(MBSIncItems,$C315,$B329)*INDEX(MBSIncItems,$C315,$C329),"")</f>
        <v/>
      </c>
      <c r="G329" s="57" t="str">
        <f t="shared" si="252"/>
        <v/>
      </c>
      <c r="H329" s="57" t="str">
        <f t="shared" si="252"/>
        <v/>
      </c>
      <c r="I329" s="57" t="str">
        <f t="shared" si="252"/>
        <v/>
      </c>
      <c r="J329" s="57" t="str">
        <f t="shared" si="252"/>
        <v/>
      </c>
      <c r="K329" s="57" t="str">
        <f t="shared" si="252"/>
        <v/>
      </c>
      <c r="M329" s="475"/>
      <c r="N329" s="473"/>
      <c r="O329" s="360"/>
      <c r="P329" s="360"/>
    </row>
    <row r="330" spans="1:28" hidden="1" outlineLevel="2" x14ac:dyDescent="0.2">
      <c r="B330" s="209"/>
      <c r="C330" s="209">
        <v>7</v>
      </c>
      <c r="E330" s="359" t="s">
        <v>1295</v>
      </c>
      <c r="F330" s="57" t="str">
        <f t="shared" ref="F330:K330" si="253">IFERROR(F327*INDEX(MBSIncItems,$C315,$C330),"")</f>
        <v/>
      </c>
      <c r="G330" s="57" t="str">
        <f t="shared" si="253"/>
        <v/>
      </c>
      <c r="H330" s="57" t="str">
        <f t="shared" si="253"/>
        <v/>
      </c>
      <c r="I330" s="57" t="str">
        <f t="shared" si="253"/>
        <v/>
      </c>
      <c r="J330" s="57" t="str">
        <f t="shared" si="253"/>
        <v/>
      </c>
      <c r="K330" s="57" t="str">
        <f t="shared" si="253"/>
        <v/>
      </c>
      <c r="M330" s="475"/>
      <c r="N330" s="473"/>
      <c r="O330" s="360"/>
      <c r="P330" s="360"/>
    </row>
    <row r="331" spans="1:28" outlineLevel="1" collapsed="1" x14ac:dyDescent="0.2">
      <c r="D331" s="360"/>
      <c r="E331" s="360"/>
      <c r="N331" s="360"/>
      <c r="O331" s="360"/>
      <c r="P331" s="360"/>
    </row>
    <row r="332" spans="1:28" ht="15.75" outlineLevel="1" collapsed="1" x14ac:dyDescent="0.2">
      <c r="C332" s="209">
        <v>14</v>
      </c>
      <c r="D332" s="72" t="str">
        <f>INDEX(MBSIncNames,C332)</f>
        <v>** NOT USED **</v>
      </c>
      <c r="E332" s="72"/>
      <c r="F332" s="105"/>
      <c r="G332" s="105"/>
      <c r="H332" s="105"/>
      <c r="I332" s="105"/>
      <c r="J332" s="588" t="str">
        <f>IF(D332&lt;&gt;MsgNotUsed,"Co-payment group " &amp; K161,"")</f>
        <v/>
      </c>
      <c r="K332" s="588"/>
      <c r="L332" s="105"/>
      <c r="M332" s="105"/>
      <c r="N332" s="105"/>
      <c r="O332" s="105"/>
      <c r="P332" s="105"/>
      <c r="Q332" s="105"/>
      <c r="R332" s="105"/>
      <c r="S332" s="105"/>
      <c r="T332" s="105"/>
      <c r="U332" s="105"/>
      <c r="V332" s="105"/>
    </row>
    <row r="333" spans="1:28" hidden="1" outlineLevel="2" x14ac:dyDescent="0.2">
      <c r="F333" s="357">
        <v>2</v>
      </c>
      <c r="G333" s="357">
        <v>3</v>
      </c>
      <c r="H333" s="357">
        <v>4</v>
      </c>
      <c r="I333" s="357">
        <v>5</v>
      </c>
      <c r="J333" s="357">
        <v>6</v>
      </c>
      <c r="K333" s="357">
        <v>7</v>
      </c>
      <c r="L333" s="357"/>
    </row>
    <row r="334" spans="1:28" ht="15" hidden="1" outlineLevel="2" x14ac:dyDescent="0.2">
      <c r="D334" s="462" t="s">
        <v>0</v>
      </c>
      <c r="E334" s="462"/>
      <c r="F334" s="74">
        <f>FirstYear</f>
        <v>2026</v>
      </c>
      <c r="G334" s="74">
        <f>F334+1</f>
        <v>2027</v>
      </c>
      <c r="H334" s="74">
        <f>G334+1</f>
        <v>2028</v>
      </c>
      <c r="I334" s="74">
        <f>H334+1</f>
        <v>2029</v>
      </c>
      <c r="J334" s="74">
        <f>I334+1</f>
        <v>2030</v>
      </c>
      <c r="K334" s="74">
        <f>J334+1</f>
        <v>2031</v>
      </c>
      <c r="N334" s="470"/>
      <c r="O334" s="470"/>
      <c r="P334" s="470"/>
      <c r="Q334" s="223"/>
      <c r="R334" s="223"/>
      <c r="S334" s="223"/>
      <c r="T334" s="223"/>
      <c r="U334" s="223"/>
      <c r="V334" s="223"/>
      <c r="X334" s="223"/>
      <c r="Y334" s="223"/>
      <c r="Z334" s="223"/>
      <c r="AA334" s="223"/>
    </row>
    <row r="335" spans="1:28" hidden="1" outlineLevel="2" x14ac:dyDescent="0.2">
      <c r="E335" s="82" t="s">
        <v>938</v>
      </c>
      <c r="F335" s="239">
        <f t="shared" ref="F335:K335" si="254">F336*INDEX(MBSIncCalc,$C332,3)</f>
        <v>0</v>
      </c>
      <c r="G335" s="239">
        <f t="shared" si="254"/>
        <v>0</v>
      </c>
      <c r="H335" s="239">
        <f t="shared" si="254"/>
        <v>0</v>
      </c>
      <c r="I335" s="239">
        <f t="shared" si="254"/>
        <v>0</v>
      </c>
      <c r="J335" s="239">
        <f t="shared" si="254"/>
        <v>0</v>
      </c>
      <c r="K335" s="239">
        <f t="shared" si="254"/>
        <v>0</v>
      </c>
      <c r="M335" s="471"/>
      <c r="N335" s="463"/>
      <c r="O335" s="463"/>
      <c r="P335" s="463"/>
      <c r="Q335" s="472"/>
      <c r="R335" s="472"/>
      <c r="S335" s="472"/>
      <c r="T335" s="472"/>
      <c r="U335" s="472"/>
      <c r="V335" s="472"/>
      <c r="X335" s="402">
        <f>INDEX(MBSIncItems,C332,1)</f>
        <v>0</v>
      </c>
      <c r="Y335" s="402">
        <f>FirstYear</f>
        <v>2026</v>
      </c>
      <c r="Z335" s="401">
        <f>IF(F336&lt;&gt;0,F336-F338,0)</f>
        <v>0</v>
      </c>
      <c r="AA335" s="401">
        <f>IF(F344&lt;&gt;0,F344-F346,0)</f>
        <v>0</v>
      </c>
      <c r="AB335" s="223"/>
    </row>
    <row r="336" spans="1:28" hidden="1" outlineLevel="2" x14ac:dyDescent="0.2">
      <c r="B336" s="468"/>
      <c r="C336" s="209" t="str">
        <f>INDEX(MBSIncCalc,C332,2)</f>
        <v/>
      </c>
      <c r="E336" s="56" t="s">
        <v>1297</v>
      </c>
      <c r="F336" s="57">
        <f t="shared" ref="F336:K336" si="255">IF(INDEX(MBSIncRate,$C332,2)=2,IFERROR(INDEX(PBSScriptsNew,$C336,F333),0),IFERROR(INDEX(MBSPBSInc,$C332,INDEX(MBSIncRate,$C332,3)*7+F333),0) * IFERROR(INDEX(MBSIncPopSplit,$C332),0)) * INDEX(MBSIncRate,$C332,1) * INDEX(MBSIncRate,$C332,4)</f>
        <v>0</v>
      </c>
      <c r="G336" s="57">
        <f t="shared" si="255"/>
        <v>0</v>
      </c>
      <c r="H336" s="57">
        <f t="shared" si="255"/>
        <v>0</v>
      </c>
      <c r="I336" s="57">
        <f t="shared" si="255"/>
        <v>0</v>
      </c>
      <c r="J336" s="57">
        <f t="shared" si="255"/>
        <v>0</v>
      </c>
      <c r="K336" s="57">
        <f t="shared" si="255"/>
        <v>0</v>
      </c>
      <c r="O336" s="463"/>
      <c r="P336" s="463"/>
      <c r="Q336" s="472"/>
      <c r="R336" s="472"/>
      <c r="S336" s="472"/>
      <c r="T336" s="472"/>
      <c r="U336" s="472"/>
      <c r="V336" s="472"/>
      <c r="X336" s="402">
        <f>X335</f>
        <v>0</v>
      </c>
      <c r="Y336" s="402">
        <f>Y335+1</f>
        <v>2027</v>
      </c>
      <c r="Z336" s="401">
        <f>IF(G336&lt;&gt;0,G336-G338,0)</f>
        <v>0</v>
      </c>
      <c r="AA336" s="401">
        <f>IF(G344&lt;&gt;0,G344-G346,0)</f>
        <v>0</v>
      </c>
      <c r="AB336" s="223"/>
    </row>
    <row r="337" spans="1:28" hidden="1" outlineLevel="2" x14ac:dyDescent="0.2">
      <c r="B337" s="209">
        <v>5</v>
      </c>
      <c r="C337" s="209">
        <v>6</v>
      </c>
      <c r="E337" s="358" t="s">
        <v>1294</v>
      </c>
      <c r="F337" s="57" t="str">
        <f t="shared" ref="F337:K337" si="256">IFERROR(F336*INDEX(MBSIncItems,$C332,$B337)*INDEX(MBSIncItems,$C332,$C337),"")</f>
        <v/>
      </c>
      <c r="G337" s="57" t="str">
        <f t="shared" si="256"/>
        <v/>
      </c>
      <c r="H337" s="57" t="str">
        <f t="shared" si="256"/>
        <v/>
      </c>
      <c r="I337" s="57" t="str">
        <f t="shared" si="256"/>
        <v/>
      </c>
      <c r="J337" s="57" t="str">
        <f t="shared" si="256"/>
        <v/>
      </c>
      <c r="K337" s="57" t="str">
        <f t="shared" si="256"/>
        <v/>
      </c>
      <c r="O337" s="473"/>
      <c r="P337" s="514"/>
      <c r="Q337" s="472"/>
      <c r="R337" s="472"/>
      <c r="S337" s="472"/>
      <c r="T337" s="472"/>
      <c r="U337" s="472"/>
      <c r="V337" s="472"/>
      <c r="X337" s="402">
        <f t="shared" ref="X337:X340" si="257">X336</f>
        <v>0</v>
      </c>
      <c r="Y337" s="402">
        <f>Y336+1</f>
        <v>2028</v>
      </c>
      <c r="Z337" s="401">
        <f>IF(H336&lt;&gt;0,H336-H338,0)</f>
        <v>0</v>
      </c>
      <c r="AA337" s="401">
        <f>IF(H344&lt;&gt;0,H344-H346,0)</f>
        <v>0</v>
      </c>
      <c r="AB337" s="469"/>
    </row>
    <row r="338" spans="1:28" hidden="1" outlineLevel="2" x14ac:dyDescent="0.2">
      <c r="A338"/>
      <c r="B338" s="209">
        <v>4</v>
      </c>
      <c r="C338" s="209">
        <v>6</v>
      </c>
      <c r="E338" s="358" t="s">
        <v>1293</v>
      </c>
      <c r="F338" s="57" t="str">
        <f t="shared" ref="F338:K338" si="258">IFERROR(F336*INDEX(MBSIncItems,$C332,$B338)*INDEX(MBSIncItems,$C332,$C338),"")</f>
        <v/>
      </c>
      <c r="G338" s="57" t="str">
        <f t="shared" si="258"/>
        <v/>
      </c>
      <c r="H338" s="57" t="str">
        <f t="shared" si="258"/>
        <v/>
      </c>
      <c r="I338" s="57" t="str">
        <f t="shared" si="258"/>
        <v/>
      </c>
      <c r="J338" s="57" t="str">
        <f t="shared" si="258"/>
        <v/>
      </c>
      <c r="K338" s="57" t="str">
        <f t="shared" si="258"/>
        <v/>
      </c>
      <c r="L338"/>
      <c r="M338"/>
      <c r="N338"/>
      <c r="O338"/>
      <c r="P338"/>
      <c r="Q338"/>
      <c r="R338"/>
      <c r="S338"/>
      <c r="T338"/>
      <c r="U338"/>
      <c r="V338"/>
      <c r="X338" s="402">
        <f t="shared" si="257"/>
        <v>0</v>
      </c>
      <c r="Y338" s="402">
        <f>Y337+1</f>
        <v>2029</v>
      </c>
      <c r="Z338" s="401">
        <f>IF(I336&lt;&gt;0,I336-I338,0)</f>
        <v>0</v>
      </c>
      <c r="AA338" s="401">
        <f>IF(I344&lt;&gt;0,I344-I346,0)</f>
        <v>0</v>
      </c>
      <c r="AB338" s="469"/>
    </row>
    <row r="339" spans="1:28" hidden="1" outlineLevel="2" x14ac:dyDescent="0.2">
      <c r="B339" s="209"/>
      <c r="C339" s="209">
        <v>7</v>
      </c>
      <c r="E339" s="359" t="s">
        <v>1295</v>
      </c>
      <c r="F339" s="57" t="str">
        <f t="shared" ref="F339:K339" si="259">IFERROR(F336*INDEX(MBSIncItems,$C332,$C339),"")</f>
        <v/>
      </c>
      <c r="G339" s="57" t="str">
        <f t="shared" si="259"/>
        <v/>
      </c>
      <c r="H339" s="57" t="str">
        <f t="shared" si="259"/>
        <v/>
      </c>
      <c r="I339" s="57" t="str">
        <f t="shared" si="259"/>
        <v/>
      </c>
      <c r="J339" s="57" t="str">
        <f t="shared" si="259"/>
        <v/>
      </c>
      <c r="K339" s="57" t="str">
        <f t="shared" si="259"/>
        <v/>
      </c>
      <c r="O339" s="473"/>
      <c r="P339" s="514"/>
      <c r="Q339" s="472"/>
      <c r="R339" s="472"/>
      <c r="S339" s="472"/>
      <c r="T339" s="472"/>
      <c r="U339" s="472"/>
      <c r="V339" s="472"/>
      <c r="X339" s="402">
        <f t="shared" si="257"/>
        <v>0</v>
      </c>
      <c r="Y339" s="402">
        <f>Y338+1</f>
        <v>2030</v>
      </c>
      <c r="Z339" s="401">
        <f>IF(J336&lt;&gt;0,J336-J338,0)</f>
        <v>0</v>
      </c>
      <c r="AA339" s="401">
        <f>IF(J344&lt;&gt;0,J344-J346,0)</f>
        <v>0</v>
      </c>
      <c r="AB339" s="469"/>
    </row>
    <row r="340" spans="1:28" hidden="1" outlineLevel="2" x14ac:dyDescent="0.2">
      <c r="O340" s="473"/>
      <c r="P340" s="473"/>
      <c r="Q340" s="472"/>
      <c r="R340" s="472"/>
      <c r="S340" s="472"/>
      <c r="T340" s="472"/>
      <c r="U340" s="472"/>
      <c r="V340" s="472"/>
      <c r="X340" s="402">
        <f t="shared" si="257"/>
        <v>0</v>
      </c>
      <c r="Y340" s="402">
        <f>Y339+1</f>
        <v>2031</v>
      </c>
      <c r="Z340" s="401">
        <f>IF(K336&lt;&gt;0,K336-K338,0)</f>
        <v>0</v>
      </c>
      <c r="AA340" s="401">
        <f>IF(K344&lt;&gt;0,K344-K346,0)</f>
        <v>0</v>
      </c>
      <c r="AB340" s="469"/>
    </row>
    <row r="341" spans="1:28" hidden="1" outlineLevel="2" x14ac:dyDescent="0.2">
      <c r="D341" s="360"/>
      <c r="E341" s="360"/>
      <c r="F341" s="357">
        <v>2</v>
      </c>
      <c r="G341" s="357">
        <v>3</v>
      </c>
      <c r="H341" s="357">
        <v>4</v>
      </c>
      <c r="I341" s="357">
        <v>5</v>
      </c>
      <c r="J341" s="357">
        <v>6</v>
      </c>
      <c r="K341" s="357">
        <v>7</v>
      </c>
      <c r="N341" s="360"/>
      <c r="O341" s="360"/>
      <c r="P341" s="360"/>
      <c r="AB341" s="469"/>
    </row>
    <row r="342" spans="1:28" ht="15.75" hidden="1" outlineLevel="2" x14ac:dyDescent="0.2">
      <c r="D342" s="462" t="s">
        <v>1</v>
      </c>
      <c r="E342" s="462"/>
      <c r="F342" s="74">
        <f>FirstYear</f>
        <v>2026</v>
      </c>
      <c r="G342" s="74">
        <f>F342+1</f>
        <v>2027</v>
      </c>
      <c r="H342" s="74">
        <f>G342+1</f>
        <v>2028</v>
      </c>
      <c r="I342" s="74">
        <f>H342+1</f>
        <v>2029</v>
      </c>
      <c r="J342" s="74">
        <f>I342+1</f>
        <v>2030</v>
      </c>
      <c r="K342" s="74">
        <f>J342+1</f>
        <v>2031</v>
      </c>
      <c r="N342" s="466"/>
      <c r="O342" s="466"/>
      <c r="P342" s="466"/>
    </row>
    <row r="343" spans="1:28" hidden="1" outlineLevel="2" x14ac:dyDescent="0.2">
      <c r="E343" s="82" t="s">
        <v>938</v>
      </c>
      <c r="F343" s="239">
        <f t="shared" ref="F343:K343" si="260">F344*INDEX(MBSIncCalc,$C332,3)</f>
        <v>0</v>
      </c>
      <c r="G343" s="239">
        <f t="shared" si="260"/>
        <v>0</v>
      </c>
      <c r="H343" s="239">
        <f t="shared" si="260"/>
        <v>0</v>
      </c>
      <c r="I343" s="239">
        <f t="shared" si="260"/>
        <v>0</v>
      </c>
      <c r="J343" s="239">
        <f t="shared" si="260"/>
        <v>0</v>
      </c>
      <c r="K343" s="239">
        <f t="shared" si="260"/>
        <v>0</v>
      </c>
      <c r="M343"/>
      <c r="N343"/>
      <c r="O343" s="360"/>
      <c r="P343" s="360"/>
    </row>
    <row r="344" spans="1:28" hidden="1" outlineLevel="2" x14ac:dyDescent="0.2">
      <c r="B344" s="468"/>
      <c r="C344" s="209" t="str">
        <f>C336</f>
        <v/>
      </c>
      <c r="E344" s="56" t="s">
        <v>1297</v>
      </c>
      <c r="F344" s="57">
        <f t="shared" ref="F344:K344" si="261">IF(INDEX(MBSIncRate,$C332,2)=2,IFERROR(INDEX(RPBSScriptsNew,$C344,F341),0),IFERROR(INDEX(MBSRPBSInc,$C332,INDEX(MBSIncRate,$C332,3)*7+F341),0) * IFERROR(INDEX(MBSIncPopSplit,$C332),0)) * INDEX(MBSIncRate,$C332,1) * INDEX(MBSIncRate,$C332,4)</f>
        <v>0</v>
      </c>
      <c r="G344" s="57">
        <f t="shared" si="261"/>
        <v>0</v>
      </c>
      <c r="H344" s="57">
        <f t="shared" si="261"/>
        <v>0</v>
      </c>
      <c r="I344" s="57">
        <f t="shared" si="261"/>
        <v>0</v>
      </c>
      <c r="J344" s="57">
        <f t="shared" si="261"/>
        <v>0</v>
      </c>
      <c r="K344" s="57">
        <f t="shared" si="261"/>
        <v>0</v>
      </c>
      <c r="N344" s="344"/>
      <c r="O344" s="360"/>
      <c r="P344" s="360"/>
    </row>
    <row r="345" spans="1:28" hidden="1" outlineLevel="2" x14ac:dyDescent="0.2">
      <c r="B345" s="209">
        <v>5</v>
      </c>
      <c r="C345" s="209">
        <v>6</v>
      </c>
      <c r="E345" s="358" t="s">
        <v>1294</v>
      </c>
      <c r="F345" s="57" t="str">
        <f t="shared" ref="F345:K345" si="262">IFERROR(F344*INDEX(MBSIncItems,$C332,$B345)*INDEX(MBSIncItems,$C332,$C345),"")</f>
        <v/>
      </c>
      <c r="G345" s="57" t="str">
        <f t="shared" si="262"/>
        <v/>
      </c>
      <c r="H345" s="57" t="str">
        <f t="shared" si="262"/>
        <v/>
      </c>
      <c r="I345" s="57" t="str">
        <f t="shared" si="262"/>
        <v/>
      </c>
      <c r="J345" s="57" t="str">
        <f t="shared" si="262"/>
        <v/>
      </c>
      <c r="K345" s="57" t="str">
        <f t="shared" si="262"/>
        <v/>
      </c>
      <c r="M345" s="474"/>
      <c r="N345" s="344"/>
      <c r="O345" s="360"/>
      <c r="P345" s="360"/>
    </row>
    <row r="346" spans="1:28" hidden="1" outlineLevel="2" x14ac:dyDescent="0.2">
      <c r="B346" s="209">
        <v>4</v>
      </c>
      <c r="C346" s="209">
        <v>6</v>
      </c>
      <c r="E346" s="358" t="s">
        <v>1293</v>
      </c>
      <c r="F346" s="57" t="str">
        <f t="shared" ref="F346:K346" si="263">IFERROR(F344*INDEX(MBSIncItems,$C332,$B346)*INDEX(MBSIncItems,$C332,$C346),"")</f>
        <v/>
      </c>
      <c r="G346" s="57" t="str">
        <f t="shared" si="263"/>
        <v/>
      </c>
      <c r="H346" s="57" t="str">
        <f t="shared" si="263"/>
        <v/>
      </c>
      <c r="I346" s="57" t="str">
        <f t="shared" si="263"/>
        <v/>
      </c>
      <c r="J346" s="57" t="str">
        <f t="shared" si="263"/>
        <v/>
      </c>
      <c r="K346" s="57" t="str">
        <f t="shared" si="263"/>
        <v/>
      </c>
      <c r="M346" s="475"/>
      <c r="N346" s="473"/>
      <c r="O346" s="360"/>
      <c r="P346" s="360"/>
    </row>
    <row r="347" spans="1:28" hidden="1" outlineLevel="2" x14ac:dyDescent="0.2">
      <c r="B347" s="209"/>
      <c r="C347" s="209">
        <v>7</v>
      </c>
      <c r="E347" s="359" t="s">
        <v>1295</v>
      </c>
      <c r="F347" s="57" t="str">
        <f t="shared" ref="F347:K347" si="264">IFERROR(F344*INDEX(MBSIncItems,$C332,$C347),"")</f>
        <v/>
      </c>
      <c r="G347" s="57" t="str">
        <f t="shared" si="264"/>
        <v/>
      </c>
      <c r="H347" s="57" t="str">
        <f t="shared" si="264"/>
        <v/>
      </c>
      <c r="I347" s="57" t="str">
        <f t="shared" si="264"/>
        <v/>
      </c>
      <c r="J347" s="57" t="str">
        <f t="shared" si="264"/>
        <v/>
      </c>
      <c r="K347" s="57" t="str">
        <f t="shared" si="264"/>
        <v/>
      </c>
      <c r="M347" s="475"/>
      <c r="N347" s="473"/>
      <c r="O347" s="360"/>
      <c r="P347" s="360"/>
    </row>
    <row r="348" spans="1:28" outlineLevel="1" collapsed="1" x14ac:dyDescent="0.2">
      <c r="D348" s="360"/>
      <c r="E348" s="360"/>
      <c r="N348" s="360"/>
      <c r="O348" s="360"/>
      <c r="P348" s="360"/>
    </row>
    <row r="349" spans="1:28" ht="15.75" outlineLevel="1" collapsed="1" x14ac:dyDescent="0.2">
      <c r="C349" s="209">
        <v>15</v>
      </c>
      <c r="D349" s="72" t="str">
        <f>INDEX(MBSIncNames,C349)</f>
        <v>** NOT USED **</v>
      </c>
      <c r="E349" s="72"/>
      <c r="F349" s="105"/>
      <c r="G349" s="105"/>
      <c r="H349" s="105"/>
      <c r="I349" s="105"/>
      <c r="J349" s="588" t="str">
        <f>IF(D349&lt;&gt;MsgNotUsed,"Co-payment group " &amp; K178,"")</f>
        <v/>
      </c>
      <c r="K349" s="588"/>
      <c r="L349" s="105"/>
      <c r="M349" s="105"/>
      <c r="N349" s="105"/>
      <c r="O349" s="105"/>
      <c r="P349" s="105"/>
      <c r="Q349" s="105"/>
      <c r="R349" s="105"/>
      <c r="S349" s="105"/>
      <c r="T349" s="105"/>
      <c r="U349" s="105"/>
      <c r="V349" s="105"/>
    </row>
    <row r="350" spans="1:28" hidden="1" outlineLevel="2" x14ac:dyDescent="0.2">
      <c r="F350" s="357">
        <v>2</v>
      </c>
      <c r="G350" s="357">
        <v>3</v>
      </c>
      <c r="H350" s="357">
        <v>4</v>
      </c>
      <c r="I350" s="357">
        <v>5</v>
      </c>
      <c r="J350" s="357">
        <v>6</v>
      </c>
      <c r="K350" s="357">
        <v>7</v>
      </c>
      <c r="L350" s="357"/>
    </row>
    <row r="351" spans="1:28" ht="15" hidden="1" outlineLevel="2" x14ac:dyDescent="0.2">
      <c r="D351" s="462" t="s">
        <v>0</v>
      </c>
      <c r="E351" s="462"/>
      <c r="F351" s="74">
        <f>FirstYear</f>
        <v>2026</v>
      </c>
      <c r="G351" s="74">
        <f>F351+1</f>
        <v>2027</v>
      </c>
      <c r="H351" s="74">
        <f>G351+1</f>
        <v>2028</v>
      </c>
      <c r="I351" s="74">
        <f>H351+1</f>
        <v>2029</v>
      </c>
      <c r="J351" s="74">
        <f>I351+1</f>
        <v>2030</v>
      </c>
      <c r="K351" s="74">
        <f>J351+1</f>
        <v>2031</v>
      </c>
      <c r="N351" s="470"/>
      <c r="O351" s="470"/>
      <c r="P351" s="470"/>
      <c r="Q351" s="223"/>
      <c r="R351" s="223"/>
      <c r="S351" s="223"/>
      <c r="T351" s="223"/>
      <c r="U351" s="223"/>
      <c r="V351" s="223"/>
      <c r="X351" s="223"/>
      <c r="Y351" s="223"/>
      <c r="Z351" s="223"/>
      <c r="AA351" s="223"/>
    </row>
    <row r="352" spans="1:28" hidden="1" outlineLevel="2" x14ac:dyDescent="0.2">
      <c r="E352" s="82" t="s">
        <v>938</v>
      </c>
      <c r="F352" s="239">
        <f t="shared" ref="F352:K352" si="265">F353*INDEX(MBSIncCalc,$C349,3)</f>
        <v>0</v>
      </c>
      <c r="G352" s="239">
        <f t="shared" si="265"/>
        <v>0</v>
      </c>
      <c r="H352" s="239">
        <f t="shared" si="265"/>
        <v>0</v>
      </c>
      <c r="I352" s="239">
        <f t="shared" si="265"/>
        <v>0</v>
      </c>
      <c r="J352" s="239">
        <f t="shared" si="265"/>
        <v>0</v>
      </c>
      <c r="K352" s="239">
        <f t="shared" si="265"/>
        <v>0</v>
      </c>
      <c r="M352" s="471"/>
      <c r="N352" s="463"/>
      <c r="O352" s="463"/>
      <c r="P352" s="463"/>
      <c r="Q352" s="472"/>
      <c r="R352" s="472"/>
      <c r="S352" s="472"/>
      <c r="T352" s="472"/>
      <c r="U352" s="472"/>
      <c r="V352" s="472"/>
      <c r="X352" s="402">
        <f>INDEX(MBSIncItems,C349,1)</f>
        <v>0</v>
      </c>
      <c r="Y352" s="402">
        <f>FirstYear</f>
        <v>2026</v>
      </c>
      <c r="Z352" s="401">
        <f>IF(F353&lt;&gt;0,F353-F355,0)</f>
        <v>0</v>
      </c>
      <c r="AA352" s="401">
        <f>IF(F361&lt;&gt;0,F361-F363,0)</f>
        <v>0</v>
      </c>
      <c r="AB352" s="223"/>
    </row>
    <row r="353" spans="1:28" hidden="1" outlineLevel="2" x14ac:dyDescent="0.2">
      <c r="B353" s="468"/>
      <c r="C353" s="209" t="str">
        <f>INDEX(MBSIncCalc,C349,2)</f>
        <v/>
      </c>
      <c r="E353" s="56" t="s">
        <v>1297</v>
      </c>
      <c r="F353" s="57">
        <f t="shared" ref="F353:K353" si="266">IF(INDEX(MBSIncRate,$C349,2)=2,IFERROR(INDEX(PBSScriptsNew,$C353,F350),0),IFERROR(INDEX(MBSPBSInc,$C349,INDEX(MBSIncRate,$C349,3)*7+F350),0) * IFERROR(INDEX(MBSIncPopSplit,$C349),0)) * INDEX(MBSIncRate,$C349,1) * INDEX(MBSIncRate,$C349,4)</f>
        <v>0</v>
      </c>
      <c r="G353" s="57">
        <f t="shared" si="266"/>
        <v>0</v>
      </c>
      <c r="H353" s="57">
        <f t="shared" si="266"/>
        <v>0</v>
      </c>
      <c r="I353" s="57">
        <f t="shared" si="266"/>
        <v>0</v>
      </c>
      <c r="J353" s="57">
        <f t="shared" si="266"/>
        <v>0</v>
      </c>
      <c r="K353" s="57">
        <f t="shared" si="266"/>
        <v>0</v>
      </c>
      <c r="O353" s="463"/>
      <c r="P353" s="463"/>
      <c r="Q353" s="472"/>
      <c r="R353" s="472"/>
      <c r="S353" s="472"/>
      <c r="T353" s="472"/>
      <c r="U353" s="472"/>
      <c r="V353" s="472"/>
      <c r="X353" s="402">
        <f>X352</f>
        <v>0</v>
      </c>
      <c r="Y353" s="402">
        <f>Y352+1</f>
        <v>2027</v>
      </c>
      <c r="Z353" s="401">
        <f>IF(G353&lt;&gt;0,G353-G355,0)</f>
        <v>0</v>
      </c>
      <c r="AA353" s="401">
        <f>IF(G361&lt;&gt;0,G361-G363,0)</f>
        <v>0</v>
      </c>
      <c r="AB353" s="223"/>
    </row>
    <row r="354" spans="1:28" hidden="1" outlineLevel="2" x14ac:dyDescent="0.2">
      <c r="B354" s="209">
        <v>5</v>
      </c>
      <c r="C354" s="209">
        <v>6</v>
      </c>
      <c r="E354" s="358" t="s">
        <v>1294</v>
      </c>
      <c r="F354" s="57" t="str">
        <f t="shared" ref="F354:K354" si="267">IFERROR(F353*INDEX(MBSIncItems,$C349,$B354)*INDEX(MBSIncItems,$C349,$C354),"")</f>
        <v/>
      </c>
      <c r="G354" s="57" t="str">
        <f t="shared" si="267"/>
        <v/>
      </c>
      <c r="H354" s="57" t="str">
        <f t="shared" si="267"/>
        <v/>
      </c>
      <c r="I354" s="57" t="str">
        <f t="shared" si="267"/>
        <v/>
      </c>
      <c r="J354" s="57" t="str">
        <f t="shared" si="267"/>
        <v/>
      </c>
      <c r="K354" s="57" t="str">
        <f t="shared" si="267"/>
        <v/>
      </c>
      <c r="O354" s="473"/>
      <c r="P354" s="514"/>
      <c r="Q354" s="472"/>
      <c r="R354" s="472"/>
      <c r="S354" s="472"/>
      <c r="T354" s="472"/>
      <c r="U354" s="472"/>
      <c r="V354" s="472"/>
      <c r="X354" s="402">
        <f t="shared" ref="X354:X357" si="268">X353</f>
        <v>0</v>
      </c>
      <c r="Y354" s="402">
        <f>Y353+1</f>
        <v>2028</v>
      </c>
      <c r="Z354" s="401">
        <f>IF(H353&lt;&gt;0,H353-H355,0)</f>
        <v>0</v>
      </c>
      <c r="AA354" s="401">
        <f>IF(H361&lt;&gt;0,H361-H363,0)</f>
        <v>0</v>
      </c>
      <c r="AB354" s="469"/>
    </row>
    <row r="355" spans="1:28" hidden="1" outlineLevel="2" x14ac:dyDescent="0.2">
      <c r="A355"/>
      <c r="B355" s="209">
        <v>4</v>
      </c>
      <c r="C355" s="209">
        <v>6</v>
      </c>
      <c r="E355" s="358" t="s">
        <v>1293</v>
      </c>
      <c r="F355" s="57" t="str">
        <f t="shared" ref="F355:K355" si="269">IFERROR(F353*INDEX(MBSIncItems,$C349,$B355)*INDEX(MBSIncItems,$C349,$C355),"")</f>
        <v/>
      </c>
      <c r="G355" s="57" t="str">
        <f t="shared" si="269"/>
        <v/>
      </c>
      <c r="H355" s="57" t="str">
        <f t="shared" si="269"/>
        <v/>
      </c>
      <c r="I355" s="57" t="str">
        <f t="shared" si="269"/>
        <v/>
      </c>
      <c r="J355" s="57" t="str">
        <f t="shared" si="269"/>
        <v/>
      </c>
      <c r="K355" s="57" t="str">
        <f t="shared" si="269"/>
        <v/>
      </c>
      <c r="L355"/>
      <c r="M355"/>
      <c r="N355"/>
      <c r="O355"/>
      <c r="P355"/>
      <c r="Q355"/>
      <c r="R355"/>
      <c r="S355"/>
      <c r="T355"/>
      <c r="U355"/>
      <c r="V355"/>
      <c r="X355" s="402">
        <f t="shared" si="268"/>
        <v>0</v>
      </c>
      <c r="Y355" s="402">
        <f>Y354+1</f>
        <v>2029</v>
      </c>
      <c r="Z355" s="401">
        <f>IF(I353&lt;&gt;0,I353-I355,0)</f>
        <v>0</v>
      </c>
      <c r="AA355" s="401">
        <f>IF(I361&lt;&gt;0,I361-I363,0)</f>
        <v>0</v>
      </c>
      <c r="AB355" s="469"/>
    </row>
    <row r="356" spans="1:28" hidden="1" outlineLevel="2" x14ac:dyDescent="0.2">
      <c r="B356" s="209"/>
      <c r="C356" s="209">
        <v>7</v>
      </c>
      <c r="E356" s="359" t="s">
        <v>1295</v>
      </c>
      <c r="F356" s="57" t="str">
        <f t="shared" ref="F356:K356" si="270">IFERROR(F353*INDEX(MBSIncItems,$C349,$C356),"")</f>
        <v/>
      </c>
      <c r="G356" s="57" t="str">
        <f t="shared" si="270"/>
        <v/>
      </c>
      <c r="H356" s="57" t="str">
        <f t="shared" si="270"/>
        <v/>
      </c>
      <c r="I356" s="57" t="str">
        <f t="shared" si="270"/>
        <v/>
      </c>
      <c r="J356" s="57" t="str">
        <f t="shared" si="270"/>
        <v/>
      </c>
      <c r="K356" s="57" t="str">
        <f t="shared" si="270"/>
        <v/>
      </c>
      <c r="O356" s="473"/>
      <c r="P356" s="514"/>
      <c r="Q356" s="472"/>
      <c r="R356" s="472"/>
      <c r="S356" s="472"/>
      <c r="T356" s="472"/>
      <c r="U356" s="472"/>
      <c r="V356" s="472"/>
      <c r="X356" s="402">
        <f t="shared" si="268"/>
        <v>0</v>
      </c>
      <c r="Y356" s="402">
        <f>Y355+1</f>
        <v>2030</v>
      </c>
      <c r="Z356" s="401">
        <f>IF(J353&lt;&gt;0,J353-J355,0)</f>
        <v>0</v>
      </c>
      <c r="AA356" s="401">
        <f>IF(J361&lt;&gt;0,J361-J363,0)</f>
        <v>0</v>
      </c>
      <c r="AB356" s="469"/>
    </row>
    <row r="357" spans="1:28" hidden="1" outlineLevel="2" x14ac:dyDescent="0.2">
      <c r="O357" s="473"/>
      <c r="P357" s="473"/>
      <c r="Q357" s="472"/>
      <c r="R357" s="472"/>
      <c r="S357" s="472"/>
      <c r="T357" s="472"/>
      <c r="U357" s="472"/>
      <c r="V357" s="472"/>
      <c r="X357" s="402">
        <f t="shared" si="268"/>
        <v>0</v>
      </c>
      <c r="Y357" s="402">
        <f>Y356+1</f>
        <v>2031</v>
      </c>
      <c r="Z357" s="401">
        <f>IF(K353&lt;&gt;0,K353-K355,0)</f>
        <v>0</v>
      </c>
      <c r="AA357" s="401">
        <f>IF(K361&lt;&gt;0,K361-K363,0)</f>
        <v>0</v>
      </c>
      <c r="AB357" s="469"/>
    </row>
    <row r="358" spans="1:28" hidden="1" outlineLevel="2" x14ac:dyDescent="0.2">
      <c r="D358" s="360"/>
      <c r="E358" s="360"/>
      <c r="F358" s="357">
        <v>2</v>
      </c>
      <c r="G358" s="357">
        <v>3</v>
      </c>
      <c r="H358" s="357">
        <v>4</v>
      </c>
      <c r="I358" s="357">
        <v>5</v>
      </c>
      <c r="J358" s="357">
        <v>6</v>
      </c>
      <c r="K358" s="357">
        <v>7</v>
      </c>
      <c r="N358" s="360"/>
      <c r="O358" s="360"/>
      <c r="P358" s="360"/>
      <c r="AB358" s="469"/>
    </row>
    <row r="359" spans="1:28" ht="15.75" hidden="1" outlineLevel="2" x14ac:dyDescent="0.2">
      <c r="D359" s="462" t="s">
        <v>1</v>
      </c>
      <c r="E359" s="462"/>
      <c r="F359" s="74">
        <f>FirstYear</f>
        <v>2026</v>
      </c>
      <c r="G359" s="74">
        <f>F359+1</f>
        <v>2027</v>
      </c>
      <c r="H359" s="74">
        <f>G359+1</f>
        <v>2028</v>
      </c>
      <c r="I359" s="74">
        <f>H359+1</f>
        <v>2029</v>
      </c>
      <c r="J359" s="74">
        <f>I359+1</f>
        <v>2030</v>
      </c>
      <c r="K359" s="74">
        <f>J359+1</f>
        <v>2031</v>
      </c>
      <c r="N359" s="466"/>
      <c r="O359" s="466"/>
      <c r="P359" s="466"/>
    </row>
    <row r="360" spans="1:28" hidden="1" outlineLevel="2" x14ac:dyDescent="0.2">
      <c r="E360" s="82" t="s">
        <v>938</v>
      </c>
      <c r="F360" s="239">
        <f t="shared" ref="F360:K360" si="271">F361*INDEX(MBSIncCalc,$C349,3)</f>
        <v>0</v>
      </c>
      <c r="G360" s="239">
        <f t="shared" si="271"/>
        <v>0</v>
      </c>
      <c r="H360" s="239">
        <f t="shared" si="271"/>
        <v>0</v>
      </c>
      <c r="I360" s="239">
        <f t="shared" si="271"/>
        <v>0</v>
      </c>
      <c r="J360" s="239">
        <f t="shared" si="271"/>
        <v>0</v>
      </c>
      <c r="K360" s="239">
        <f t="shared" si="271"/>
        <v>0</v>
      </c>
      <c r="M360"/>
      <c r="N360"/>
      <c r="O360" s="360"/>
      <c r="P360" s="360"/>
    </row>
    <row r="361" spans="1:28" hidden="1" outlineLevel="2" x14ac:dyDescent="0.2">
      <c r="B361" s="468"/>
      <c r="C361" s="209" t="str">
        <f>C353</f>
        <v/>
      </c>
      <c r="E361" s="56" t="s">
        <v>1297</v>
      </c>
      <c r="F361" s="57">
        <f t="shared" ref="F361:K361" si="272">IF(INDEX(MBSIncRate,$C349,2)=2,IFERROR(INDEX(RPBSScriptsNew,$C361,F358),0),IFERROR(INDEX(MBSRPBSInc,$C349,INDEX(MBSIncRate,$C349,3)*7+F358),0) * IFERROR(INDEX(MBSIncPopSplit,$C349),0)) * INDEX(MBSIncRate,$C349,1) * INDEX(MBSIncRate,$C349,4)</f>
        <v>0</v>
      </c>
      <c r="G361" s="57">
        <f t="shared" si="272"/>
        <v>0</v>
      </c>
      <c r="H361" s="57">
        <f t="shared" si="272"/>
        <v>0</v>
      </c>
      <c r="I361" s="57">
        <f t="shared" si="272"/>
        <v>0</v>
      </c>
      <c r="J361" s="57">
        <f t="shared" si="272"/>
        <v>0</v>
      </c>
      <c r="K361" s="57">
        <f t="shared" si="272"/>
        <v>0</v>
      </c>
      <c r="N361" s="344"/>
      <c r="O361" s="360"/>
      <c r="P361" s="360"/>
    </row>
    <row r="362" spans="1:28" hidden="1" outlineLevel="2" x14ac:dyDescent="0.2">
      <c r="B362" s="209">
        <v>5</v>
      </c>
      <c r="C362" s="209">
        <v>6</v>
      </c>
      <c r="E362" s="358" t="s">
        <v>1294</v>
      </c>
      <c r="F362" s="57" t="str">
        <f t="shared" ref="F362:K362" si="273">IFERROR(F361*INDEX(MBSIncItems,$C349,$B362)*INDEX(MBSIncItems,$C349,$C362),"")</f>
        <v/>
      </c>
      <c r="G362" s="57" t="str">
        <f t="shared" si="273"/>
        <v/>
      </c>
      <c r="H362" s="57" t="str">
        <f t="shared" si="273"/>
        <v/>
      </c>
      <c r="I362" s="57" t="str">
        <f t="shared" si="273"/>
        <v/>
      </c>
      <c r="J362" s="57" t="str">
        <f t="shared" si="273"/>
        <v/>
      </c>
      <c r="K362" s="57" t="str">
        <f t="shared" si="273"/>
        <v/>
      </c>
      <c r="M362" s="474"/>
      <c r="N362" s="344"/>
      <c r="O362" s="360"/>
      <c r="P362" s="360"/>
    </row>
    <row r="363" spans="1:28" hidden="1" outlineLevel="2" x14ac:dyDescent="0.2">
      <c r="B363" s="209">
        <v>4</v>
      </c>
      <c r="C363" s="209">
        <v>6</v>
      </c>
      <c r="E363" s="358" t="s">
        <v>1293</v>
      </c>
      <c r="F363" s="57" t="str">
        <f t="shared" ref="F363:K363" si="274">IFERROR(F361*INDEX(MBSIncItems,$C349,$B363)*INDEX(MBSIncItems,$C349,$C363),"")</f>
        <v/>
      </c>
      <c r="G363" s="57" t="str">
        <f t="shared" si="274"/>
        <v/>
      </c>
      <c r="H363" s="57" t="str">
        <f t="shared" si="274"/>
        <v/>
      </c>
      <c r="I363" s="57" t="str">
        <f t="shared" si="274"/>
        <v/>
      </c>
      <c r="J363" s="57" t="str">
        <f t="shared" si="274"/>
        <v/>
      </c>
      <c r="K363" s="57" t="str">
        <f t="shared" si="274"/>
        <v/>
      </c>
      <c r="M363" s="475"/>
      <c r="N363" s="473"/>
      <c r="O363" s="360"/>
      <c r="P363" s="360"/>
    </row>
    <row r="364" spans="1:28" hidden="1" outlineLevel="2" x14ac:dyDescent="0.2">
      <c r="B364" s="209"/>
      <c r="C364" s="209">
        <v>7</v>
      </c>
      <c r="E364" s="359" t="s">
        <v>1295</v>
      </c>
      <c r="F364" s="57" t="str">
        <f t="shared" ref="F364:K364" si="275">IFERROR(F361*INDEX(MBSIncItems,$C349,$C364),"")</f>
        <v/>
      </c>
      <c r="G364" s="57" t="str">
        <f t="shared" si="275"/>
        <v/>
      </c>
      <c r="H364" s="57" t="str">
        <f t="shared" si="275"/>
        <v/>
      </c>
      <c r="I364" s="57" t="str">
        <f t="shared" si="275"/>
        <v/>
      </c>
      <c r="J364" s="57" t="str">
        <f t="shared" si="275"/>
        <v/>
      </c>
      <c r="K364" s="57" t="str">
        <f t="shared" si="275"/>
        <v/>
      </c>
      <c r="M364" s="475"/>
      <c r="N364" s="473"/>
      <c r="O364" s="360"/>
      <c r="P364" s="360"/>
    </row>
    <row r="365" spans="1:28" outlineLevel="1" collapsed="1" x14ac:dyDescent="0.2">
      <c r="D365" s="360"/>
      <c r="E365" s="360"/>
      <c r="N365" s="360"/>
      <c r="O365" s="360"/>
      <c r="P365" s="360"/>
    </row>
    <row r="366" spans="1:28" ht="15.75" outlineLevel="1" collapsed="1" x14ac:dyDescent="0.2">
      <c r="C366" s="209">
        <v>16</v>
      </c>
      <c r="D366" s="72" t="str">
        <f>INDEX(MBSIncNames,C366)</f>
        <v>** NOT USED **</v>
      </c>
      <c r="E366" s="72"/>
      <c r="F366" s="105"/>
      <c r="G366" s="105"/>
      <c r="H366" s="105"/>
      <c r="I366" s="105"/>
      <c r="J366" s="588" t="str">
        <f>IF(D366&lt;&gt;MsgNotUsed,"Co-payment group " &amp; K195,"")</f>
        <v/>
      </c>
      <c r="K366" s="588"/>
      <c r="L366" s="105"/>
      <c r="M366" s="105"/>
      <c r="N366" s="105"/>
      <c r="O366" s="105"/>
      <c r="P366" s="105"/>
      <c r="Q366" s="105"/>
      <c r="R366" s="105"/>
      <c r="S366" s="105"/>
      <c r="T366" s="105"/>
      <c r="U366" s="105"/>
      <c r="V366" s="105"/>
    </row>
    <row r="367" spans="1:28" hidden="1" outlineLevel="2" x14ac:dyDescent="0.2">
      <c r="F367" s="357">
        <v>2</v>
      </c>
      <c r="G367" s="357">
        <v>3</v>
      </c>
      <c r="H367" s="357">
        <v>4</v>
      </c>
      <c r="I367" s="357">
        <v>5</v>
      </c>
      <c r="J367" s="357">
        <v>6</v>
      </c>
      <c r="K367" s="357">
        <v>7</v>
      </c>
      <c r="L367" s="357"/>
    </row>
    <row r="368" spans="1:28" ht="15" hidden="1" outlineLevel="2" x14ac:dyDescent="0.2">
      <c r="D368" s="462" t="s">
        <v>0</v>
      </c>
      <c r="E368" s="462"/>
      <c r="F368" s="74">
        <f>FirstYear</f>
        <v>2026</v>
      </c>
      <c r="G368" s="74">
        <f>F368+1</f>
        <v>2027</v>
      </c>
      <c r="H368" s="74">
        <f>G368+1</f>
        <v>2028</v>
      </c>
      <c r="I368" s="74">
        <f>H368+1</f>
        <v>2029</v>
      </c>
      <c r="J368" s="74">
        <f>I368+1</f>
        <v>2030</v>
      </c>
      <c r="K368" s="74">
        <f>J368+1</f>
        <v>2031</v>
      </c>
      <c r="N368" s="470"/>
      <c r="O368" s="470"/>
      <c r="P368" s="470"/>
      <c r="Q368" s="223"/>
      <c r="R368" s="223"/>
      <c r="S368" s="223"/>
      <c r="T368" s="223"/>
      <c r="U368" s="223"/>
      <c r="V368" s="223"/>
      <c r="X368" s="223"/>
      <c r="Y368" s="223"/>
      <c r="Z368" s="223"/>
      <c r="AA368" s="223"/>
    </row>
    <row r="369" spans="1:28" hidden="1" outlineLevel="2" x14ac:dyDescent="0.2">
      <c r="E369" s="82" t="s">
        <v>938</v>
      </c>
      <c r="F369" s="239">
        <f t="shared" ref="F369:K369" si="276">F370*INDEX(MBSIncCalc,$C366,3)</f>
        <v>0</v>
      </c>
      <c r="G369" s="239">
        <f t="shared" si="276"/>
        <v>0</v>
      </c>
      <c r="H369" s="239">
        <f t="shared" si="276"/>
        <v>0</v>
      </c>
      <c r="I369" s="239">
        <f t="shared" si="276"/>
        <v>0</v>
      </c>
      <c r="J369" s="239">
        <f t="shared" si="276"/>
        <v>0</v>
      </c>
      <c r="K369" s="239">
        <f t="shared" si="276"/>
        <v>0</v>
      </c>
      <c r="M369" s="471"/>
      <c r="N369" s="463"/>
      <c r="O369" s="463"/>
      <c r="P369" s="463"/>
      <c r="Q369" s="472"/>
      <c r="R369" s="472"/>
      <c r="S369" s="472"/>
      <c r="T369" s="472"/>
      <c r="U369" s="472"/>
      <c r="V369" s="472"/>
      <c r="X369" s="402">
        <f>INDEX(MBSIncItems,C366,1)</f>
        <v>0</v>
      </c>
      <c r="Y369" s="402">
        <f>FirstYear</f>
        <v>2026</v>
      </c>
      <c r="Z369" s="401">
        <f>IF(F370&lt;&gt;0,F370-F372,0)</f>
        <v>0</v>
      </c>
      <c r="AA369" s="401">
        <f>IF(F378&lt;&gt;0,F378-F380,0)</f>
        <v>0</v>
      </c>
      <c r="AB369" s="223"/>
    </row>
    <row r="370" spans="1:28" hidden="1" outlineLevel="2" x14ac:dyDescent="0.2">
      <c r="B370" s="468"/>
      <c r="C370" s="209" t="str">
        <f>INDEX(MBSIncCalc,C366,2)</f>
        <v/>
      </c>
      <c r="E370" s="56" t="s">
        <v>1297</v>
      </c>
      <c r="F370" s="57">
        <f t="shared" ref="F370:K370" si="277">IF(INDEX(MBSIncRate,$C366,2)=2,IFERROR(INDEX(PBSScriptsNew,$C370,F367),0),IFERROR(INDEX(MBSPBSInc,$C366,INDEX(MBSIncRate,$C366,3)*7+F367),0) * IFERROR(INDEX(MBSIncPopSplit,$C366),0)) * INDEX(MBSIncRate,$C366,1) * INDEX(MBSIncRate,$C366,4)</f>
        <v>0</v>
      </c>
      <c r="G370" s="57">
        <f t="shared" si="277"/>
        <v>0</v>
      </c>
      <c r="H370" s="57">
        <f t="shared" si="277"/>
        <v>0</v>
      </c>
      <c r="I370" s="57">
        <f t="shared" si="277"/>
        <v>0</v>
      </c>
      <c r="J370" s="57">
        <f t="shared" si="277"/>
        <v>0</v>
      </c>
      <c r="K370" s="57">
        <f t="shared" si="277"/>
        <v>0</v>
      </c>
      <c r="O370" s="463"/>
      <c r="P370" s="463"/>
      <c r="Q370" s="472"/>
      <c r="R370" s="472"/>
      <c r="S370" s="472"/>
      <c r="T370" s="472"/>
      <c r="U370" s="472"/>
      <c r="V370" s="472"/>
      <c r="X370" s="402">
        <f>X369</f>
        <v>0</v>
      </c>
      <c r="Y370" s="402">
        <f>Y369+1</f>
        <v>2027</v>
      </c>
      <c r="Z370" s="401">
        <f>IF(G370&lt;&gt;0,G370-G372,0)</f>
        <v>0</v>
      </c>
      <c r="AA370" s="401">
        <f>IF(G378&lt;&gt;0,G378-G380,0)</f>
        <v>0</v>
      </c>
      <c r="AB370" s="223"/>
    </row>
    <row r="371" spans="1:28" hidden="1" outlineLevel="2" x14ac:dyDescent="0.2">
      <c r="B371" s="209">
        <v>5</v>
      </c>
      <c r="C371" s="209">
        <v>6</v>
      </c>
      <c r="E371" s="358" t="s">
        <v>1294</v>
      </c>
      <c r="F371" s="57" t="str">
        <f t="shared" ref="F371:K371" si="278">IFERROR(F370*INDEX(MBSIncItems,$C366,$B371)*INDEX(MBSIncItems,$C366,$C371),"")</f>
        <v/>
      </c>
      <c r="G371" s="57" t="str">
        <f t="shared" si="278"/>
        <v/>
      </c>
      <c r="H371" s="57" t="str">
        <f t="shared" si="278"/>
        <v/>
      </c>
      <c r="I371" s="57" t="str">
        <f t="shared" si="278"/>
        <v/>
      </c>
      <c r="J371" s="57" t="str">
        <f t="shared" si="278"/>
        <v/>
      </c>
      <c r="K371" s="57" t="str">
        <f t="shared" si="278"/>
        <v/>
      </c>
      <c r="O371" s="473"/>
      <c r="P371" s="514"/>
      <c r="Q371" s="472"/>
      <c r="R371" s="472"/>
      <c r="S371" s="472"/>
      <c r="T371" s="472"/>
      <c r="U371" s="472"/>
      <c r="V371" s="472"/>
      <c r="X371" s="402">
        <f t="shared" ref="X371:X374" si="279">X370</f>
        <v>0</v>
      </c>
      <c r="Y371" s="402">
        <f>Y370+1</f>
        <v>2028</v>
      </c>
      <c r="Z371" s="401">
        <f>IF(H370&lt;&gt;0,H370-H372,0)</f>
        <v>0</v>
      </c>
      <c r="AA371" s="401">
        <f>IF(H378&lt;&gt;0,H378-H380,0)</f>
        <v>0</v>
      </c>
      <c r="AB371" s="469"/>
    </row>
    <row r="372" spans="1:28" hidden="1" outlineLevel="2" x14ac:dyDescent="0.2">
      <c r="A372"/>
      <c r="B372" s="209">
        <v>4</v>
      </c>
      <c r="C372" s="209">
        <v>6</v>
      </c>
      <c r="E372" s="358" t="s">
        <v>1293</v>
      </c>
      <c r="F372" s="57" t="str">
        <f t="shared" ref="F372:K372" si="280">IFERROR(F370*INDEX(MBSIncItems,$C366,$B372)*INDEX(MBSIncItems,$C366,$C372),"")</f>
        <v/>
      </c>
      <c r="G372" s="57" t="str">
        <f t="shared" si="280"/>
        <v/>
      </c>
      <c r="H372" s="57" t="str">
        <f t="shared" si="280"/>
        <v/>
      </c>
      <c r="I372" s="57" t="str">
        <f t="shared" si="280"/>
        <v/>
      </c>
      <c r="J372" s="57" t="str">
        <f t="shared" si="280"/>
        <v/>
      </c>
      <c r="K372" s="57" t="str">
        <f t="shared" si="280"/>
        <v/>
      </c>
      <c r="L372"/>
      <c r="M372"/>
      <c r="N372"/>
      <c r="O372"/>
      <c r="P372"/>
      <c r="Q372"/>
      <c r="R372"/>
      <c r="S372"/>
      <c r="T372"/>
      <c r="U372"/>
      <c r="V372"/>
      <c r="X372" s="402">
        <f t="shared" si="279"/>
        <v>0</v>
      </c>
      <c r="Y372" s="402">
        <f>Y371+1</f>
        <v>2029</v>
      </c>
      <c r="Z372" s="401">
        <f>IF(I370&lt;&gt;0,I370-I372,0)</f>
        <v>0</v>
      </c>
      <c r="AA372" s="401">
        <f>IF(I378&lt;&gt;0,I378-I380,0)</f>
        <v>0</v>
      </c>
      <c r="AB372" s="469"/>
    </row>
    <row r="373" spans="1:28" hidden="1" outlineLevel="2" x14ac:dyDescent="0.2">
      <c r="B373" s="209"/>
      <c r="C373" s="209">
        <v>7</v>
      </c>
      <c r="E373" s="359" t="s">
        <v>1295</v>
      </c>
      <c r="F373" s="57" t="str">
        <f t="shared" ref="F373:K373" si="281">IFERROR(F370*INDEX(MBSIncItems,$C366,$C373),"")</f>
        <v/>
      </c>
      <c r="G373" s="57" t="str">
        <f t="shared" si="281"/>
        <v/>
      </c>
      <c r="H373" s="57" t="str">
        <f t="shared" si="281"/>
        <v/>
      </c>
      <c r="I373" s="57" t="str">
        <f t="shared" si="281"/>
        <v/>
      </c>
      <c r="J373" s="57" t="str">
        <f t="shared" si="281"/>
        <v/>
      </c>
      <c r="K373" s="57" t="str">
        <f t="shared" si="281"/>
        <v/>
      </c>
      <c r="O373" s="473"/>
      <c r="P373" s="514"/>
      <c r="Q373" s="472"/>
      <c r="R373" s="472"/>
      <c r="S373" s="472"/>
      <c r="T373" s="472"/>
      <c r="U373" s="472"/>
      <c r="V373" s="472"/>
      <c r="X373" s="402">
        <f t="shared" si="279"/>
        <v>0</v>
      </c>
      <c r="Y373" s="402">
        <f>Y372+1</f>
        <v>2030</v>
      </c>
      <c r="Z373" s="401">
        <f>IF(J370&lt;&gt;0,J370-J372,0)</f>
        <v>0</v>
      </c>
      <c r="AA373" s="401">
        <f>IF(J378&lt;&gt;0,J378-J380,0)</f>
        <v>0</v>
      </c>
      <c r="AB373" s="469"/>
    </row>
    <row r="374" spans="1:28" hidden="1" outlineLevel="2" x14ac:dyDescent="0.2">
      <c r="O374" s="473"/>
      <c r="P374" s="473"/>
      <c r="Q374" s="472"/>
      <c r="R374" s="472"/>
      <c r="S374" s="472"/>
      <c r="T374" s="472"/>
      <c r="U374" s="472"/>
      <c r="V374" s="472"/>
      <c r="X374" s="402">
        <f t="shared" si="279"/>
        <v>0</v>
      </c>
      <c r="Y374" s="402">
        <f>Y373+1</f>
        <v>2031</v>
      </c>
      <c r="Z374" s="401">
        <f>IF(K370&lt;&gt;0,K370-K372,0)</f>
        <v>0</v>
      </c>
      <c r="AA374" s="401">
        <f>IF(K378&lt;&gt;0,K378-K380,0)</f>
        <v>0</v>
      </c>
      <c r="AB374" s="469"/>
    </row>
    <row r="375" spans="1:28" hidden="1" outlineLevel="2" x14ac:dyDescent="0.2">
      <c r="D375" s="360"/>
      <c r="E375" s="360"/>
      <c r="F375" s="357">
        <v>2</v>
      </c>
      <c r="G375" s="357">
        <v>3</v>
      </c>
      <c r="H375" s="357">
        <v>4</v>
      </c>
      <c r="I375" s="357">
        <v>5</v>
      </c>
      <c r="J375" s="357">
        <v>6</v>
      </c>
      <c r="K375" s="357">
        <v>7</v>
      </c>
      <c r="N375" s="360"/>
      <c r="O375" s="360"/>
      <c r="P375" s="360"/>
      <c r="AB375" s="469"/>
    </row>
    <row r="376" spans="1:28" ht="15.75" hidden="1" outlineLevel="2" x14ac:dyDescent="0.2">
      <c r="D376" s="462" t="s">
        <v>1</v>
      </c>
      <c r="E376" s="462"/>
      <c r="F376" s="74">
        <f>FirstYear</f>
        <v>2026</v>
      </c>
      <c r="G376" s="74">
        <f>F376+1</f>
        <v>2027</v>
      </c>
      <c r="H376" s="74">
        <f>G376+1</f>
        <v>2028</v>
      </c>
      <c r="I376" s="74">
        <f>H376+1</f>
        <v>2029</v>
      </c>
      <c r="J376" s="74">
        <f>I376+1</f>
        <v>2030</v>
      </c>
      <c r="K376" s="74">
        <f>J376+1</f>
        <v>2031</v>
      </c>
      <c r="N376" s="466"/>
      <c r="O376" s="466"/>
      <c r="P376" s="466"/>
    </row>
    <row r="377" spans="1:28" hidden="1" outlineLevel="2" x14ac:dyDescent="0.2">
      <c r="E377" s="82" t="s">
        <v>938</v>
      </c>
      <c r="F377" s="239">
        <f t="shared" ref="F377:K377" si="282">F378*INDEX(MBSIncCalc,$C366,3)</f>
        <v>0</v>
      </c>
      <c r="G377" s="239">
        <f t="shared" si="282"/>
        <v>0</v>
      </c>
      <c r="H377" s="239">
        <f t="shared" si="282"/>
        <v>0</v>
      </c>
      <c r="I377" s="239">
        <f t="shared" si="282"/>
        <v>0</v>
      </c>
      <c r="J377" s="239">
        <f t="shared" si="282"/>
        <v>0</v>
      </c>
      <c r="K377" s="239">
        <f t="shared" si="282"/>
        <v>0</v>
      </c>
      <c r="M377"/>
      <c r="N377"/>
      <c r="O377" s="360"/>
      <c r="P377" s="360"/>
    </row>
    <row r="378" spans="1:28" hidden="1" outlineLevel="2" x14ac:dyDescent="0.2">
      <c r="B378" s="468"/>
      <c r="C378" s="209" t="str">
        <f>C370</f>
        <v/>
      </c>
      <c r="E378" s="56" t="s">
        <v>1297</v>
      </c>
      <c r="F378" s="57">
        <f t="shared" ref="F378:K378" si="283">IF(INDEX(MBSIncRate,$C366,2)=2,IFERROR(INDEX(RPBSScriptsNew,$C378,F375),0),IFERROR(INDEX(MBSRPBSInc,$C366,INDEX(MBSIncRate,$C366,3)*7+F375),0) * IFERROR(INDEX(MBSIncPopSplit,$C366),0)) * INDEX(MBSIncRate,$C366,1) * INDEX(MBSIncRate,$C366,4)</f>
        <v>0</v>
      </c>
      <c r="G378" s="57">
        <f t="shared" si="283"/>
        <v>0</v>
      </c>
      <c r="H378" s="57">
        <f t="shared" si="283"/>
        <v>0</v>
      </c>
      <c r="I378" s="57">
        <f t="shared" si="283"/>
        <v>0</v>
      </c>
      <c r="J378" s="57">
        <f t="shared" si="283"/>
        <v>0</v>
      </c>
      <c r="K378" s="57">
        <f t="shared" si="283"/>
        <v>0</v>
      </c>
      <c r="N378" s="344"/>
      <c r="O378" s="360"/>
      <c r="P378" s="360"/>
    </row>
    <row r="379" spans="1:28" hidden="1" outlineLevel="2" x14ac:dyDescent="0.2">
      <c r="B379" s="209">
        <v>5</v>
      </c>
      <c r="C379" s="209">
        <v>6</v>
      </c>
      <c r="E379" s="358" t="s">
        <v>1294</v>
      </c>
      <c r="F379" s="57" t="str">
        <f t="shared" ref="F379:K379" si="284">IFERROR(F378*INDEX(MBSIncItems,$C366,$B379)*INDEX(MBSIncItems,$C366,$C379),"")</f>
        <v/>
      </c>
      <c r="G379" s="57" t="str">
        <f t="shared" si="284"/>
        <v/>
      </c>
      <c r="H379" s="57" t="str">
        <f t="shared" si="284"/>
        <v/>
      </c>
      <c r="I379" s="57" t="str">
        <f t="shared" si="284"/>
        <v/>
      </c>
      <c r="J379" s="57" t="str">
        <f t="shared" si="284"/>
        <v/>
      </c>
      <c r="K379" s="57" t="str">
        <f t="shared" si="284"/>
        <v/>
      </c>
      <c r="M379" s="474"/>
      <c r="N379" s="344"/>
      <c r="O379" s="360"/>
      <c r="P379" s="360"/>
    </row>
    <row r="380" spans="1:28" hidden="1" outlineLevel="2" x14ac:dyDescent="0.2">
      <c r="B380" s="209">
        <v>4</v>
      </c>
      <c r="C380" s="209">
        <v>6</v>
      </c>
      <c r="E380" s="358" t="s">
        <v>1293</v>
      </c>
      <c r="F380" s="57" t="str">
        <f t="shared" ref="F380:K380" si="285">IFERROR(F378*INDEX(MBSIncItems,$C366,$B380)*INDEX(MBSIncItems,$C366,$C380),"")</f>
        <v/>
      </c>
      <c r="G380" s="57" t="str">
        <f t="shared" si="285"/>
        <v/>
      </c>
      <c r="H380" s="57" t="str">
        <f t="shared" si="285"/>
        <v/>
      </c>
      <c r="I380" s="57" t="str">
        <f t="shared" si="285"/>
        <v/>
      </c>
      <c r="J380" s="57" t="str">
        <f t="shared" si="285"/>
        <v/>
      </c>
      <c r="K380" s="57" t="str">
        <f t="shared" si="285"/>
        <v/>
      </c>
      <c r="M380" s="475"/>
      <c r="N380" s="473"/>
      <c r="O380" s="360"/>
      <c r="P380" s="360"/>
    </row>
    <row r="381" spans="1:28" hidden="1" outlineLevel="2" x14ac:dyDescent="0.2">
      <c r="B381" s="209"/>
      <c r="C381" s="209">
        <v>7</v>
      </c>
      <c r="E381" s="359" t="s">
        <v>1295</v>
      </c>
      <c r="F381" s="57" t="str">
        <f t="shared" ref="F381:K381" si="286">IFERROR(F378*INDEX(MBSIncItems,$C366,$C381),"")</f>
        <v/>
      </c>
      <c r="G381" s="57" t="str">
        <f t="shared" si="286"/>
        <v/>
      </c>
      <c r="H381" s="57" t="str">
        <f t="shared" si="286"/>
        <v/>
      </c>
      <c r="I381" s="57" t="str">
        <f t="shared" si="286"/>
        <v/>
      </c>
      <c r="J381" s="57" t="str">
        <f t="shared" si="286"/>
        <v/>
      </c>
      <c r="K381" s="57" t="str">
        <f t="shared" si="286"/>
        <v/>
      </c>
      <c r="M381" s="475"/>
      <c r="N381" s="473"/>
      <c r="O381" s="360"/>
      <c r="P381" s="360"/>
    </row>
    <row r="382" spans="1:28" outlineLevel="1" collapsed="1" x14ac:dyDescent="0.2">
      <c r="D382" s="360"/>
      <c r="E382" s="360"/>
      <c r="N382" s="360"/>
      <c r="O382" s="360"/>
      <c r="P382" s="360"/>
    </row>
    <row r="383" spans="1:28" ht="15.75" outlineLevel="1" collapsed="1" x14ac:dyDescent="0.2">
      <c r="C383" s="209">
        <v>17</v>
      </c>
      <c r="D383" s="72" t="str">
        <f>INDEX(MBSIncNames,C383)</f>
        <v>** NOT USED **</v>
      </c>
      <c r="E383" s="72"/>
      <c r="F383" s="105"/>
      <c r="G383" s="105"/>
      <c r="H383" s="105"/>
      <c r="I383" s="105"/>
      <c r="J383" s="588" t="str">
        <f>IF(D383&lt;&gt;MsgNotUsed,"Co-payment group " &amp; K212,"")</f>
        <v/>
      </c>
      <c r="K383" s="588"/>
      <c r="L383" s="105"/>
      <c r="M383" s="105"/>
      <c r="N383" s="105"/>
      <c r="O383" s="105"/>
      <c r="P383" s="105"/>
      <c r="Q383" s="105"/>
      <c r="R383" s="105"/>
      <c r="S383" s="105"/>
      <c r="T383" s="105"/>
      <c r="U383" s="105"/>
      <c r="V383" s="105"/>
    </row>
    <row r="384" spans="1:28" hidden="1" outlineLevel="2" x14ac:dyDescent="0.2">
      <c r="F384" s="357">
        <v>2</v>
      </c>
      <c r="G384" s="357">
        <v>3</v>
      </c>
      <c r="H384" s="357">
        <v>4</v>
      </c>
      <c r="I384" s="357">
        <v>5</v>
      </c>
      <c r="J384" s="357">
        <v>6</v>
      </c>
      <c r="K384" s="357">
        <v>7</v>
      </c>
      <c r="L384" s="357"/>
    </row>
    <row r="385" spans="1:28" ht="15" hidden="1" outlineLevel="2" x14ac:dyDescent="0.2">
      <c r="D385" s="462" t="s">
        <v>0</v>
      </c>
      <c r="E385" s="462"/>
      <c r="F385" s="74">
        <f>FirstYear</f>
        <v>2026</v>
      </c>
      <c r="G385" s="74">
        <f>F385+1</f>
        <v>2027</v>
      </c>
      <c r="H385" s="74">
        <f>G385+1</f>
        <v>2028</v>
      </c>
      <c r="I385" s="74">
        <f>H385+1</f>
        <v>2029</v>
      </c>
      <c r="J385" s="74">
        <f>I385+1</f>
        <v>2030</v>
      </c>
      <c r="K385" s="74">
        <f>J385+1</f>
        <v>2031</v>
      </c>
      <c r="N385" s="470"/>
      <c r="O385" s="470"/>
      <c r="P385" s="470"/>
      <c r="Q385" s="223"/>
      <c r="R385" s="223"/>
      <c r="S385" s="223"/>
      <c r="T385" s="223"/>
      <c r="U385" s="223"/>
      <c r="V385" s="223"/>
      <c r="X385" s="223"/>
      <c r="Y385" s="223"/>
      <c r="Z385" s="223"/>
      <c r="AA385" s="223"/>
    </row>
    <row r="386" spans="1:28" hidden="1" outlineLevel="2" x14ac:dyDescent="0.2">
      <c r="E386" s="82" t="s">
        <v>938</v>
      </c>
      <c r="F386" s="239">
        <f t="shared" ref="F386:K386" si="287">F387*INDEX(MBSIncCalc,$C383,3)</f>
        <v>0</v>
      </c>
      <c r="G386" s="239">
        <f t="shared" si="287"/>
        <v>0</v>
      </c>
      <c r="H386" s="239">
        <f t="shared" si="287"/>
        <v>0</v>
      </c>
      <c r="I386" s="239">
        <f t="shared" si="287"/>
        <v>0</v>
      </c>
      <c r="J386" s="239">
        <f t="shared" si="287"/>
        <v>0</v>
      </c>
      <c r="K386" s="239">
        <f t="shared" si="287"/>
        <v>0</v>
      </c>
      <c r="M386" s="471"/>
      <c r="N386" s="463"/>
      <c r="O386" s="463"/>
      <c r="P386" s="463"/>
      <c r="Q386" s="472"/>
      <c r="R386" s="472"/>
      <c r="S386" s="472"/>
      <c r="T386" s="472"/>
      <c r="U386" s="472"/>
      <c r="V386" s="472"/>
      <c r="X386" s="402">
        <f>INDEX(MBSIncItems,C383,1)</f>
        <v>0</v>
      </c>
      <c r="Y386" s="402">
        <f>FirstYear</f>
        <v>2026</v>
      </c>
      <c r="Z386" s="401">
        <f>IF(F387&lt;&gt;0,F387-F389,0)</f>
        <v>0</v>
      </c>
      <c r="AA386" s="401">
        <f>IF(F395&lt;&gt;0,F395-F397,0)</f>
        <v>0</v>
      </c>
      <c r="AB386" s="223"/>
    </row>
    <row r="387" spans="1:28" hidden="1" outlineLevel="2" x14ac:dyDescent="0.2">
      <c r="B387" s="468"/>
      <c r="C387" s="209" t="str">
        <f>INDEX(MBSIncCalc,C383,2)</f>
        <v/>
      </c>
      <c r="E387" s="56" t="s">
        <v>1297</v>
      </c>
      <c r="F387" s="57">
        <f t="shared" ref="F387:K387" si="288">IF(INDEX(MBSIncRate,$C383,2)=2,IFERROR(INDEX(PBSScriptsNew,$C387,F384),0),IFERROR(INDEX(MBSPBSInc,$C383,INDEX(MBSIncRate,$C383,3)*7+F384),0) * IFERROR(INDEX(MBSIncPopSplit,$C383),0)) * INDEX(MBSIncRate,$C383,1) * INDEX(MBSIncRate,$C383,4)</f>
        <v>0</v>
      </c>
      <c r="G387" s="57">
        <f t="shared" si="288"/>
        <v>0</v>
      </c>
      <c r="H387" s="57">
        <f t="shared" si="288"/>
        <v>0</v>
      </c>
      <c r="I387" s="57">
        <f t="shared" si="288"/>
        <v>0</v>
      </c>
      <c r="J387" s="57">
        <f t="shared" si="288"/>
        <v>0</v>
      </c>
      <c r="K387" s="57">
        <f t="shared" si="288"/>
        <v>0</v>
      </c>
      <c r="O387" s="463"/>
      <c r="P387" s="463"/>
      <c r="Q387" s="472"/>
      <c r="R387" s="472"/>
      <c r="S387" s="472"/>
      <c r="T387" s="472"/>
      <c r="U387" s="472"/>
      <c r="V387" s="472"/>
      <c r="X387" s="402">
        <f>X386</f>
        <v>0</v>
      </c>
      <c r="Y387" s="402">
        <f>Y386+1</f>
        <v>2027</v>
      </c>
      <c r="Z387" s="401">
        <f>IF(G387&lt;&gt;0,G387-G389,0)</f>
        <v>0</v>
      </c>
      <c r="AA387" s="401">
        <f>IF(G395&lt;&gt;0,G395-G397,0)</f>
        <v>0</v>
      </c>
      <c r="AB387" s="223"/>
    </row>
    <row r="388" spans="1:28" hidden="1" outlineLevel="2" x14ac:dyDescent="0.2">
      <c r="B388" s="209">
        <v>5</v>
      </c>
      <c r="C388" s="209">
        <v>6</v>
      </c>
      <c r="E388" s="358" t="s">
        <v>1294</v>
      </c>
      <c r="F388" s="57" t="str">
        <f t="shared" ref="F388:K388" si="289">IFERROR(F387*INDEX(MBSIncItems,$C383,$B388)*INDEX(MBSIncItems,$C383,$C388),"")</f>
        <v/>
      </c>
      <c r="G388" s="57" t="str">
        <f t="shared" si="289"/>
        <v/>
      </c>
      <c r="H388" s="57" t="str">
        <f t="shared" si="289"/>
        <v/>
      </c>
      <c r="I388" s="57" t="str">
        <f t="shared" si="289"/>
        <v/>
      </c>
      <c r="J388" s="57" t="str">
        <f t="shared" si="289"/>
        <v/>
      </c>
      <c r="K388" s="57" t="str">
        <f t="shared" si="289"/>
        <v/>
      </c>
      <c r="O388" s="473"/>
      <c r="P388" s="514"/>
      <c r="Q388" s="472"/>
      <c r="R388" s="472"/>
      <c r="S388" s="472"/>
      <c r="T388" s="472"/>
      <c r="U388" s="472"/>
      <c r="V388" s="472"/>
      <c r="X388" s="402">
        <f t="shared" ref="X388:X391" si="290">X387</f>
        <v>0</v>
      </c>
      <c r="Y388" s="402">
        <f>Y387+1</f>
        <v>2028</v>
      </c>
      <c r="Z388" s="401">
        <f>IF(H387&lt;&gt;0,H387-H389,0)</f>
        <v>0</v>
      </c>
      <c r="AA388" s="401">
        <f>IF(H395&lt;&gt;0,H395-H397,0)</f>
        <v>0</v>
      </c>
      <c r="AB388" s="469"/>
    </row>
    <row r="389" spans="1:28" hidden="1" outlineLevel="2" x14ac:dyDescent="0.2">
      <c r="A389"/>
      <c r="B389" s="209">
        <v>4</v>
      </c>
      <c r="C389" s="209">
        <v>6</v>
      </c>
      <c r="E389" s="358" t="s">
        <v>1293</v>
      </c>
      <c r="F389" s="57" t="str">
        <f t="shared" ref="F389:K389" si="291">IFERROR(F387*INDEX(MBSIncItems,$C383,$B389)*INDEX(MBSIncItems,$C383,$C389),"")</f>
        <v/>
      </c>
      <c r="G389" s="57" t="str">
        <f t="shared" si="291"/>
        <v/>
      </c>
      <c r="H389" s="57" t="str">
        <f t="shared" si="291"/>
        <v/>
      </c>
      <c r="I389" s="57" t="str">
        <f t="shared" si="291"/>
        <v/>
      </c>
      <c r="J389" s="57" t="str">
        <f t="shared" si="291"/>
        <v/>
      </c>
      <c r="K389" s="57" t="str">
        <f t="shared" si="291"/>
        <v/>
      </c>
      <c r="L389"/>
      <c r="M389"/>
      <c r="N389"/>
      <c r="O389"/>
      <c r="P389"/>
      <c r="Q389"/>
      <c r="R389"/>
      <c r="S389"/>
      <c r="T389"/>
      <c r="U389"/>
      <c r="V389"/>
      <c r="X389" s="402">
        <f t="shared" si="290"/>
        <v>0</v>
      </c>
      <c r="Y389" s="402">
        <f>Y388+1</f>
        <v>2029</v>
      </c>
      <c r="Z389" s="401">
        <f>IF(I387&lt;&gt;0,I387-I389,0)</f>
        <v>0</v>
      </c>
      <c r="AA389" s="401">
        <f>IF(I395&lt;&gt;0,I395-I397,0)</f>
        <v>0</v>
      </c>
      <c r="AB389" s="469"/>
    </row>
    <row r="390" spans="1:28" hidden="1" outlineLevel="2" x14ac:dyDescent="0.2">
      <c r="B390" s="209"/>
      <c r="C390" s="209">
        <v>7</v>
      </c>
      <c r="E390" s="359" t="s">
        <v>1295</v>
      </c>
      <c r="F390" s="57" t="str">
        <f t="shared" ref="F390:K390" si="292">IFERROR(F387*INDEX(MBSIncItems,$C383,$C390),"")</f>
        <v/>
      </c>
      <c r="G390" s="57" t="str">
        <f t="shared" si="292"/>
        <v/>
      </c>
      <c r="H390" s="57" t="str">
        <f t="shared" si="292"/>
        <v/>
      </c>
      <c r="I390" s="57" t="str">
        <f t="shared" si="292"/>
        <v/>
      </c>
      <c r="J390" s="57" t="str">
        <f t="shared" si="292"/>
        <v/>
      </c>
      <c r="K390" s="57" t="str">
        <f t="shared" si="292"/>
        <v/>
      </c>
      <c r="O390" s="473"/>
      <c r="P390" s="514"/>
      <c r="Q390" s="472"/>
      <c r="R390" s="472"/>
      <c r="S390" s="472"/>
      <c r="T390" s="472"/>
      <c r="U390" s="472"/>
      <c r="V390" s="472"/>
      <c r="X390" s="402">
        <f t="shared" si="290"/>
        <v>0</v>
      </c>
      <c r="Y390" s="402">
        <f>Y389+1</f>
        <v>2030</v>
      </c>
      <c r="Z390" s="401">
        <f>IF(J387&lt;&gt;0,J387-J389,0)</f>
        <v>0</v>
      </c>
      <c r="AA390" s="401">
        <f>IF(J395&lt;&gt;0,J395-J397,0)</f>
        <v>0</v>
      </c>
      <c r="AB390" s="469"/>
    </row>
    <row r="391" spans="1:28" hidden="1" outlineLevel="2" x14ac:dyDescent="0.2">
      <c r="O391" s="473"/>
      <c r="P391" s="473"/>
      <c r="Q391" s="472"/>
      <c r="R391" s="472"/>
      <c r="S391" s="472"/>
      <c r="T391" s="472"/>
      <c r="U391" s="472"/>
      <c r="V391" s="472"/>
      <c r="X391" s="402">
        <f t="shared" si="290"/>
        <v>0</v>
      </c>
      <c r="Y391" s="402">
        <f>Y390+1</f>
        <v>2031</v>
      </c>
      <c r="Z391" s="401">
        <f>IF(K387&lt;&gt;0,K387-K389,0)</f>
        <v>0</v>
      </c>
      <c r="AA391" s="401">
        <f>IF(K395&lt;&gt;0,K395-K397,0)</f>
        <v>0</v>
      </c>
      <c r="AB391" s="469"/>
    </row>
    <row r="392" spans="1:28" hidden="1" outlineLevel="2" x14ac:dyDescent="0.2">
      <c r="D392" s="360"/>
      <c r="E392" s="360"/>
      <c r="F392" s="357">
        <v>2</v>
      </c>
      <c r="G392" s="357">
        <v>3</v>
      </c>
      <c r="H392" s="357">
        <v>4</v>
      </c>
      <c r="I392" s="357">
        <v>5</v>
      </c>
      <c r="J392" s="357">
        <v>6</v>
      </c>
      <c r="K392" s="357">
        <v>7</v>
      </c>
      <c r="N392" s="360"/>
      <c r="O392" s="360"/>
      <c r="P392" s="360"/>
      <c r="AB392" s="469"/>
    </row>
    <row r="393" spans="1:28" ht="15.75" hidden="1" outlineLevel="2" x14ac:dyDescent="0.2">
      <c r="D393" s="462" t="s">
        <v>1</v>
      </c>
      <c r="E393" s="462"/>
      <c r="F393" s="74">
        <f>FirstYear</f>
        <v>2026</v>
      </c>
      <c r="G393" s="74">
        <f>F393+1</f>
        <v>2027</v>
      </c>
      <c r="H393" s="74">
        <f>G393+1</f>
        <v>2028</v>
      </c>
      <c r="I393" s="74">
        <f>H393+1</f>
        <v>2029</v>
      </c>
      <c r="J393" s="74">
        <f>I393+1</f>
        <v>2030</v>
      </c>
      <c r="K393" s="74">
        <f>J393+1</f>
        <v>2031</v>
      </c>
      <c r="N393" s="466"/>
      <c r="O393" s="466"/>
      <c r="P393" s="466"/>
    </row>
    <row r="394" spans="1:28" hidden="1" outlineLevel="2" x14ac:dyDescent="0.2">
      <c r="E394" s="82" t="s">
        <v>938</v>
      </c>
      <c r="F394" s="239">
        <f t="shared" ref="F394:K394" si="293">F395*INDEX(MBSIncCalc,$C383,3)</f>
        <v>0</v>
      </c>
      <c r="G394" s="239">
        <f t="shared" si="293"/>
        <v>0</v>
      </c>
      <c r="H394" s="239">
        <f t="shared" si="293"/>
        <v>0</v>
      </c>
      <c r="I394" s="239">
        <f t="shared" si="293"/>
        <v>0</v>
      </c>
      <c r="J394" s="239">
        <f t="shared" si="293"/>
        <v>0</v>
      </c>
      <c r="K394" s="239">
        <f t="shared" si="293"/>
        <v>0</v>
      </c>
      <c r="M394"/>
      <c r="N394"/>
      <c r="O394" s="360"/>
      <c r="P394" s="360"/>
    </row>
    <row r="395" spans="1:28" hidden="1" outlineLevel="2" x14ac:dyDescent="0.2">
      <c r="B395" s="468"/>
      <c r="C395" s="209" t="str">
        <f>C387</f>
        <v/>
      </c>
      <c r="E395" s="56" t="s">
        <v>1297</v>
      </c>
      <c r="F395" s="57">
        <f t="shared" ref="F395:K395" si="294">IF(INDEX(MBSIncRate,$C383,2)=2,IFERROR(INDEX(RPBSScriptsNew,$C395,F392),0),IFERROR(INDEX(MBSRPBSInc,$C383,INDEX(MBSIncRate,$C383,3)*7+F392),0) * IFERROR(INDEX(MBSIncPopSplit,$C383),0)) * INDEX(MBSIncRate,$C383,1) * INDEX(MBSIncRate,$C383,4)</f>
        <v>0</v>
      </c>
      <c r="G395" s="57">
        <f t="shared" si="294"/>
        <v>0</v>
      </c>
      <c r="H395" s="57">
        <f t="shared" si="294"/>
        <v>0</v>
      </c>
      <c r="I395" s="57">
        <f t="shared" si="294"/>
        <v>0</v>
      </c>
      <c r="J395" s="57">
        <f t="shared" si="294"/>
        <v>0</v>
      </c>
      <c r="K395" s="57">
        <f t="shared" si="294"/>
        <v>0</v>
      </c>
      <c r="N395" s="344"/>
      <c r="O395" s="360"/>
      <c r="P395" s="360"/>
    </row>
    <row r="396" spans="1:28" hidden="1" outlineLevel="2" x14ac:dyDescent="0.2">
      <c r="B396" s="209">
        <v>5</v>
      </c>
      <c r="C396" s="209">
        <v>6</v>
      </c>
      <c r="E396" s="358" t="s">
        <v>1294</v>
      </c>
      <c r="F396" s="57" t="str">
        <f t="shared" ref="F396:K396" si="295">IFERROR(F395*INDEX(MBSIncItems,$C383,$B396)*INDEX(MBSIncItems,$C383,$C396),"")</f>
        <v/>
      </c>
      <c r="G396" s="57" t="str">
        <f t="shared" si="295"/>
        <v/>
      </c>
      <c r="H396" s="57" t="str">
        <f t="shared" si="295"/>
        <v/>
      </c>
      <c r="I396" s="57" t="str">
        <f t="shared" si="295"/>
        <v/>
      </c>
      <c r="J396" s="57" t="str">
        <f t="shared" si="295"/>
        <v/>
      </c>
      <c r="K396" s="57" t="str">
        <f t="shared" si="295"/>
        <v/>
      </c>
      <c r="M396" s="474"/>
      <c r="N396" s="344"/>
      <c r="O396" s="360"/>
      <c r="P396" s="360"/>
    </row>
    <row r="397" spans="1:28" hidden="1" outlineLevel="2" x14ac:dyDescent="0.2">
      <c r="B397" s="209">
        <v>4</v>
      </c>
      <c r="C397" s="209">
        <v>6</v>
      </c>
      <c r="E397" s="358" t="s">
        <v>1293</v>
      </c>
      <c r="F397" s="57" t="str">
        <f t="shared" ref="F397:K397" si="296">IFERROR(F395*INDEX(MBSIncItems,$C383,$B397)*INDEX(MBSIncItems,$C383,$C397),"")</f>
        <v/>
      </c>
      <c r="G397" s="57" t="str">
        <f t="shared" si="296"/>
        <v/>
      </c>
      <c r="H397" s="57" t="str">
        <f t="shared" si="296"/>
        <v/>
      </c>
      <c r="I397" s="57" t="str">
        <f t="shared" si="296"/>
        <v/>
      </c>
      <c r="J397" s="57" t="str">
        <f t="shared" si="296"/>
        <v/>
      </c>
      <c r="K397" s="57" t="str">
        <f t="shared" si="296"/>
        <v/>
      </c>
      <c r="M397" s="475"/>
      <c r="N397" s="473"/>
      <c r="O397" s="360"/>
      <c r="P397" s="360"/>
    </row>
    <row r="398" spans="1:28" hidden="1" outlineLevel="2" x14ac:dyDescent="0.2">
      <c r="B398" s="209"/>
      <c r="C398" s="209">
        <v>7</v>
      </c>
      <c r="E398" s="359" t="s">
        <v>1295</v>
      </c>
      <c r="F398" s="57" t="str">
        <f t="shared" ref="F398:K398" si="297">IFERROR(F395*INDEX(MBSIncItems,$C383,$C398),"")</f>
        <v/>
      </c>
      <c r="G398" s="57" t="str">
        <f t="shared" si="297"/>
        <v/>
      </c>
      <c r="H398" s="57" t="str">
        <f t="shared" si="297"/>
        <v/>
      </c>
      <c r="I398" s="57" t="str">
        <f t="shared" si="297"/>
        <v/>
      </c>
      <c r="J398" s="57" t="str">
        <f t="shared" si="297"/>
        <v/>
      </c>
      <c r="K398" s="57" t="str">
        <f t="shared" si="297"/>
        <v/>
      </c>
      <c r="M398" s="475"/>
      <c r="N398" s="473"/>
      <c r="O398" s="360"/>
      <c r="P398" s="360"/>
    </row>
    <row r="399" spans="1:28" outlineLevel="1" collapsed="1" x14ac:dyDescent="0.2">
      <c r="D399" s="360"/>
      <c r="E399" s="360"/>
      <c r="N399" s="360"/>
      <c r="O399" s="360"/>
      <c r="P399" s="360"/>
    </row>
    <row r="400" spans="1:28" ht="15.75" outlineLevel="1" collapsed="1" x14ac:dyDescent="0.2">
      <c r="C400" s="209">
        <v>18</v>
      </c>
      <c r="D400" s="72" t="str">
        <f>INDEX(MBSIncNames,C400)</f>
        <v>** NOT USED **</v>
      </c>
      <c r="E400" s="72"/>
      <c r="F400" s="105"/>
      <c r="G400" s="105"/>
      <c r="H400" s="105"/>
      <c r="I400" s="105"/>
      <c r="J400" s="588" t="str">
        <f>IF(D400&lt;&gt;MsgNotUsed,"Co-payment group " &amp; K229,"")</f>
        <v/>
      </c>
      <c r="K400" s="588"/>
      <c r="L400" s="105"/>
      <c r="M400" s="105"/>
      <c r="N400" s="105"/>
      <c r="O400" s="105"/>
      <c r="P400" s="105"/>
      <c r="Q400" s="105"/>
      <c r="R400" s="105"/>
      <c r="S400" s="105"/>
      <c r="T400" s="105"/>
      <c r="U400" s="105"/>
      <c r="V400" s="105"/>
    </row>
    <row r="401" spans="1:28" hidden="1" outlineLevel="2" x14ac:dyDescent="0.2">
      <c r="F401" s="357">
        <v>2</v>
      </c>
      <c r="G401" s="357">
        <v>3</v>
      </c>
      <c r="H401" s="357">
        <v>4</v>
      </c>
      <c r="I401" s="357">
        <v>5</v>
      </c>
      <c r="J401" s="357">
        <v>6</v>
      </c>
      <c r="K401" s="357">
        <v>7</v>
      </c>
      <c r="L401" s="357"/>
    </row>
    <row r="402" spans="1:28" ht="15" hidden="1" outlineLevel="2" x14ac:dyDescent="0.2">
      <c r="D402" s="462" t="s">
        <v>0</v>
      </c>
      <c r="E402" s="462"/>
      <c r="F402" s="74">
        <f>FirstYear</f>
        <v>2026</v>
      </c>
      <c r="G402" s="74">
        <f>F402+1</f>
        <v>2027</v>
      </c>
      <c r="H402" s="74">
        <f>G402+1</f>
        <v>2028</v>
      </c>
      <c r="I402" s="74">
        <f>H402+1</f>
        <v>2029</v>
      </c>
      <c r="J402" s="74">
        <f>I402+1</f>
        <v>2030</v>
      </c>
      <c r="K402" s="74">
        <f>J402+1</f>
        <v>2031</v>
      </c>
      <c r="N402" s="470"/>
      <c r="O402" s="470"/>
      <c r="P402" s="470"/>
      <c r="Q402" s="223"/>
      <c r="R402" s="223"/>
      <c r="S402" s="223"/>
      <c r="T402" s="223"/>
      <c r="U402" s="223"/>
      <c r="V402" s="223"/>
      <c r="X402" s="223"/>
      <c r="Y402" s="223"/>
      <c r="Z402" s="223"/>
      <c r="AA402" s="223"/>
    </row>
    <row r="403" spans="1:28" hidden="1" outlineLevel="2" x14ac:dyDescent="0.2">
      <c r="E403" s="82" t="s">
        <v>938</v>
      </c>
      <c r="F403" s="239">
        <f t="shared" ref="F403:K403" si="298">F404*INDEX(MBSIncCalc,$C400,3)</f>
        <v>0</v>
      </c>
      <c r="G403" s="239">
        <f t="shared" si="298"/>
        <v>0</v>
      </c>
      <c r="H403" s="239">
        <f t="shared" si="298"/>
        <v>0</v>
      </c>
      <c r="I403" s="239">
        <f t="shared" si="298"/>
        <v>0</v>
      </c>
      <c r="J403" s="239">
        <f t="shared" si="298"/>
        <v>0</v>
      </c>
      <c r="K403" s="239">
        <f t="shared" si="298"/>
        <v>0</v>
      </c>
      <c r="M403" s="471"/>
      <c r="N403" s="463"/>
      <c r="O403" s="463"/>
      <c r="P403" s="463"/>
      <c r="Q403" s="472"/>
      <c r="R403" s="472"/>
      <c r="S403" s="472"/>
      <c r="T403" s="472"/>
      <c r="U403" s="472"/>
      <c r="V403" s="472"/>
      <c r="X403" s="402">
        <f>INDEX(MBSIncItems,C400,1)</f>
        <v>0</v>
      </c>
      <c r="Y403" s="402">
        <f>FirstYear</f>
        <v>2026</v>
      </c>
      <c r="Z403" s="401">
        <f>IF(F404&lt;&gt;0,F404-F406,0)</f>
        <v>0</v>
      </c>
      <c r="AA403" s="401">
        <f>IF(F412&lt;&gt;0,F412-F414,0)</f>
        <v>0</v>
      </c>
      <c r="AB403" s="223"/>
    </row>
    <row r="404" spans="1:28" hidden="1" outlineLevel="2" x14ac:dyDescent="0.2">
      <c r="B404" s="468"/>
      <c r="C404" s="209" t="str">
        <f>INDEX(MBSIncCalc,C400,2)</f>
        <v/>
      </c>
      <c r="E404" s="56" t="s">
        <v>1297</v>
      </c>
      <c r="F404" s="57">
        <f t="shared" ref="F404:K404" si="299">IF(INDEX(MBSIncRate,$C400,2)=2,IFERROR(INDEX(PBSScriptsNew,$C404,F401),0),IFERROR(INDEX(MBSPBSInc,$C400,INDEX(MBSIncRate,$C400,3)*7+F401),0) * IFERROR(INDEX(MBSIncPopSplit,$C400),0)) * INDEX(MBSIncRate,$C400,1) * INDEX(MBSIncRate,$C400,4)</f>
        <v>0</v>
      </c>
      <c r="G404" s="57">
        <f t="shared" si="299"/>
        <v>0</v>
      </c>
      <c r="H404" s="57">
        <f t="shared" si="299"/>
        <v>0</v>
      </c>
      <c r="I404" s="57">
        <f t="shared" si="299"/>
        <v>0</v>
      </c>
      <c r="J404" s="57">
        <f t="shared" si="299"/>
        <v>0</v>
      </c>
      <c r="K404" s="57">
        <f t="shared" si="299"/>
        <v>0</v>
      </c>
      <c r="O404" s="463"/>
      <c r="P404" s="463"/>
      <c r="Q404" s="472"/>
      <c r="R404" s="472"/>
      <c r="S404" s="472"/>
      <c r="T404" s="472"/>
      <c r="U404" s="472"/>
      <c r="V404" s="472"/>
      <c r="X404" s="402">
        <f>X403</f>
        <v>0</v>
      </c>
      <c r="Y404" s="402">
        <f>Y403+1</f>
        <v>2027</v>
      </c>
      <c r="Z404" s="401">
        <f>IF(G404&lt;&gt;0,G404-G406,0)</f>
        <v>0</v>
      </c>
      <c r="AA404" s="401">
        <f>IF(G412&lt;&gt;0,G412-G414,0)</f>
        <v>0</v>
      </c>
      <c r="AB404" s="223"/>
    </row>
    <row r="405" spans="1:28" hidden="1" outlineLevel="2" x14ac:dyDescent="0.2">
      <c r="B405" s="209">
        <v>5</v>
      </c>
      <c r="C405" s="209">
        <v>6</v>
      </c>
      <c r="E405" s="358" t="s">
        <v>1294</v>
      </c>
      <c r="F405" s="57" t="str">
        <f t="shared" ref="F405:K405" si="300">IFERROR(F404*INDEX(MBSIncItems,$C400,$B405)*INDEX(MBSIncItems,$C400,$C405),"")</f>
        <v/>
      </c>
      <c r="G405" s="57" t="str">
        <f t="shared" si="300"/>
        <v/>
      </c>
      <c r="H405" s="57" t="str">
        <f t="shared" si="300"/>
        <v/>
      </c>
      <c r="I405" s="57" t="str">
        <f t="shared" si="300"/>
        <v/>
      </c>
      <c r="J405" s="57" t="str">
        <f t="shared" si="300"/>
        <v/>
      </c>
      <c r="K405" s="57" t="str">
        <f t="shared" si="300"/>
        <v/>
      </c>
      <c r="O405" s="473"/>
      <c r="P405" s="514"/>
      <c r="Q405" s="472"/>
      <c r="R405" s="472"/>
      <c r="S405" s="472"/>
      <c r="T405" s="472"/>
      <c r="U405" s="472"/>
      <c r="V405" s="472"/>
      <c r="X405" s="402">
        <f t="shared" ref="X405:X408" si="301">X404</f>
        <v>0</v>
      </c>
      <c r="Y405" s="402">
        <f>Y404+1</f>
        <v>2028</v>
      </c>
      <c r="Z405" s="401">
        <f>IF(H404&lt;&gt;0,H404-H406,0)</f>
        <v>0</v>
      </c>
      <c r="AA405" s="401">
        <f>IF(H412&lt;&gt;0,H412-H414,0)</f>
        <v>0</v>
      </c>
      <c r="AB405" s="469"/>
    </row>
    <row r="406" spans="1:28" hidden="1" outlineLevel="2" x14ac:dyDescent="0.2">
      <c r="A406"/>
      <c r="B406" s="209">
        <v>4</v>
      </c>
      <c r="C406" s="209">
        <v>6</v>
      </c>
      <c r="E406" s="358" t="s">
        <v>1293</v>
      </c>
      <c r="F406" s="57" t="str">
        <f t="shared" ref="F406:K406" si="302">IFERROR(F404*INDEX(MBSIncItems,$C400,$B406)*INDEX(MBSIncItems,$C400,$C406),"")</f>
        <v/>
      </c>
      <c r="G406" s="57" t="str">
        <f t="shared" si="302"/>
        <v/>
      </c>
      <c r="H406" s="57" t="str">
        <f t="shared" si="302"/>
        <v/>
      </c>
      <c r="I406" s="57" t="str">
        <f t="shared" si="302"/>
        <v/>
      </c>
      <c r="J406" s="57" t="str">
        <f t="shared" si="302"/>
        <v/>
      </c>
      <c r="K406" s="57" t="str">
        <f t="shared" si="302"/>
        <v/>
      </c>
      <c r="L406"/>
      <c r="M406"/>
      <c r="N406"/>
      <c r="O406"/>
      <c r="P406"/>
      <c r="Q406"/>
      <c r="R406"/>
      <c r="S406"/>
      <c r="T406"/>
      <c r="U406"/>
      <c r="V406"/>
      <c r="X406" s="402">
        <f t="shared" si="301"/>
        <v>0</v>
      </c>
      <c r="Y406" s="402">
        <f>Y405+1</f>
        <v>2029</v>
      </c>
      <c r="Z406" s="401">
        <f>IF(I404&lt;&gt;0,I404-I406,0)</f>
        <v>0</v>
      </c>
      <c r="AA406" s="401">
        <f>IF(I412&lt;&gt;0,I412-I414,0)</f>
        <v>0</v>
      </c>
      <c r="AB406" s="469"/>
    </row>
    <row r="407" spans="1:28" hidden="1" outlineLevel="2" x14ac:dyDescent="0.2">
      <c r="B407" s="209"/>
      <c r="C407" s="209">
        <v>7</v>
      </c>
      <c r="E407" s="359" t="s">
        <v>1295</v>
      </c>
      <c r="F407" s="57" t="str">
        <f t="shared" ref="F407:K407" si="303">IFERROR(F404*INDEX(MBSIncItems,$C400,$C407),"")</f>
        <v/>
      </c>
      <c r="G407" s="57" t="str">
        <f t="shared" si="303"/>
        <v/>
      </c>
      <c r="H407" s="57" t="str">
        <f t="shared" si="303"/>
        <v/>
      </c>
      <c r="I407" s="57" t="str">
        <f t="shared" si="303"/>
        <v/>
      </c>
      <c r="J407" s="57" t="str">
        <f t="shared" si="303"/>
        <v/>
      </c>
      <c r="K407" s="57" t="str">
        <f t="shared" si="303"/>
        <v/>
      </c>
      <c r="O407" s="473"/>
      <c r="P407" s="514"/>
      <c r="Q407" s="472"/>
      <c r="R407" s="472"/>
      <c r="S407" s="472"/>
      <c r="T407" s="472"/>
      <c r="U407" s="472"/>
      <c r="V407" s="472"/>
      <c r="X407" s="402">
        <f t="shared" si="301"/>
        <v>0</v>
      </c>
      <c r="Y407" s="402">
        <f>Y406+1</f>
        <v>2030</v>
      </c>
      <c r="Z407" s="401">
        <f>IF(J404&lt;&gt;0,J404-J406,0)</f>
        <v>0</v>
      </c>
      <c r="AA407" s="401">
        <f>IF(J412&lt;&gt;0,J412-J414,0)</f>
        <v>0</v>
      </c>
      <c r="AB407" s="469"/>
    </row>
    <row r="408" spans="1:28" hidden="1" outlineLevel="2" x14ac:dyDescent="0.2">
      <c r="O408" s="473"/>
      <c r="P408" s="473"/>
      <c r="Q408" s="472"/>
      <c r="R408" s="472"/>
      <c r="S408" s="472"/>
      <c r="T408" s="472"/>
      <c r="U408" s="472"/>
      <c r="V408" s="472"/>
      <c r="X408" s="402">
        <f t="shared" si="301"/>
        <v>0</v>
      </c>
      <c r="Y408" s="402">
        <f>Y407+1</f>
        <v>2031</v>
      </c>
      <c r="Z408" s="401">
        <f>IF(K404&lt;&gt;0,K404-K406,0)</f>
        <v>0</v>
      </c>
      <c r="AA408" s="401">
        <f>IF(K412&lt;&gt;0,K412-K414,0)</f>
        <v>0</v>
      </c>
      <c r="AB408" s="469"/>
    </row>
    <row r="409" spans="1:28" hidden="1" outlineLevel="2" x14ac:dyDescent="0.2">
      <c r="D409" s="360"/>
      <c r="E409" s="360"/>
      <c r="F409" s="357">
        <v>2</v>
      </c>
      <c r="G409" s="357">
        <v>3</v>
      </c>
      <c r="H409" s="357">
        <v>4</v>
      </c>
      <c r="I409" s="357">
        <v>5</v>
      </c>
      <c r="J409" s="357">
        <v>6</v>
      </c>
      <c r="K409" s="357">
        <v>7</v>
      </c>
      <c r="N409" s="360"/>
      <c r="O409" s="360"/>
      <c r="P409" s="360"/>
      <c r="AB409" s="469"/>
    </row>
    <row r="410" spans="1:28" ht="15.75" hidden="1" outlineLevel="2" x14ac:dyDescent="0.2">
      <c r="D410" s="462" t="s">
        <v>1</v>
      </c>
      <c r="E410" s="462"/>
      <c r="F410" s="74">
        <f>FirstYear</f>
        <v>2026</v>
      </c>
      <c r="G410" s="74">
        <f>F410+1</f>
        <v>2027</v>
      </c>
      <c r="H410" s="74">
        <f>G410+1</f>
        <v>2028</v>
      </c>
      <c r="I410" s="74">
        <f>H410+1</f>
        <v>2029</v>
      </c>
      <c r="J410" s="74">
        <f>I410+1</f>
        <v>2030</v>
      </c>
      <c r="K410" s="74">
        <f>J410+1</f>
        <v>2031</v>
      </c>
      <c r="N410" s="466"/>
      <c r="O410" s="466"/>
      <c r="P410" s="466"/>
    </row>
    <row r="411" spans="1:28" hidden="1" outlineLevel="2" x14ac:dyDescent="0.2">
      <c r="E411" s="82" t="s">
        <v>938</v>
      </c>
      <c r="F411" s="239">
        <f t="shared" ref="F411:K411" si="304">F412*INDEX(MBSIncCalc,$C400,3)</f>
        <v>0</v>
      </c>
      <c r="G411" s="239">
        <f t="shared" si="304"/>
        <v>0</v>
      </c>
      <c r="H411" s="239">
        <f t="shared" si="304"/>
        <v>0</v>
      </c>
      <c r="I411" s="239">
        <f t="shared" si="304"/>
        <v>0</v>
      </c>
      <c r="J411" s="239">
        <f t="shared" si="304"/>
        <v>0</v>
      </c>
      <c r="K411" s="239">
        <f t="shared" si="304"/>
        <v>0</v>
      </c>
      <c r="M411"/>
      <c r="N411"/>
      <c r="O411" s="360"/>
      <c r="P411" s="360"/>
    </row>
    <row r="412" spans="1:28" hidden="1" outlineLevel="2" x14ac:dyDescent="0.2">
      <c r="B412" s="468"/>
      <c r="C412" s="209" t="str">
        <f>C404</f>
        <v/>
      </c>
      <c r="E412" s="56" t="s">
        <v>1297</v>
      </c>
      <c r="F412" s="57">
        <f t="shared" ref="F412:K412" si="305">IF(INDEX(MBSIncRate,$C400,2)=2,IFERROR(INDEX(RPBSScriptsNew,$C412,F409),0),IFERROR(INDEX(MBSRPBSInc,$C400,INDEX(MBSIncRate,$C400,3)*7+F409),0) * IFERROR(INDEX(MBSIncPopSplit,$C400),0)) * INDEX(MBSIncRate,$C400,1) * INDEX(MBSIncRate,$C400,4)</f>
        <v>0</v>
      </c>
      <c r="G412" s="57">
        <f t="shared" si="305"/>
        <v>0</v>
      </c>
      <c r="H412" s="57">
        <f t="shared" si="305"/>
        <v>0</v>
      </c>
      <c r="I412" s="57">
        <f t="shared" si="305"/>
        <v>0</v>
      </c>
      <c r="J412" s="57">
        <f t="shared" si="305"/>
        <v>0</v>
      </c>
      <c r="K412" s="57">
        <f t="shared" si="305"/>
        <v>0</v>
      </c>
      <c r="N412" s="344"/>
      <c r="O412" s="360"/>
      <c r="P412" s="360"/>
    </row>
    <row r="413" spans="1:28" hidden="1" outlineLevel="2" x14ac:dyDescent="0.2">
      <c r="B413" s="209">
        <v>5</v>
      </c>
      <c r="C413" s="209">
        <v>6</v>
      </c>
      <c r="E413" s="358" t="s">
        <v>1294</v>
      </c>
      <c r="F413" s="57" t="str">
        <f t="shared" ref="F413:K413" si="306">IFERROR(F412*INDEX(MBSIncItems,$C400,$B413)*INDEX(MBSIncItems,$C400,$C413),"")</f>
        <v/>
      </c>
      <c r="G413" s="57" t="str">
        <f t="shared" si="306"/>
        <v/>
      </c>
      <c r="H413" s="57" t="str">
        <f t="shared" si="306"/>
        <v/>
      </c>
      <c r="I413" s="57" t="str">
        <f t="shared" si="306"/>
        <v/>
      </c>
      <c r="J413" s="57" t="str">
        <f t="shared" si="306"/>
        <v/>
      </c>
      <c r="K413" s="57" t="str">
        <f t="shared" si="306"/>
        <v/>
      </c>
      <c r="M413" s="474"/>
      <c r="N413" s="344"/>
      <c r="O413" s="360"/>
      <c r="P413" s="360"/>
    </row>
    <row r="414" spans="1:28" hidden="1" outlineLevel="2" x14ac:dyDescent="0.2">
      <c r="B414" s="209">
        <v>4</v>
      </c>
      <c r="C414" s="209">
        <v>6</v>
      </c>
      <c r="E414" s="358" t="s">
        <v>1293</v>
      </c>
      <c r="F414" s="57" t="str">
        <f t="shared" ref="F414:K414" si="307">IFERROR(F412*INDEX(MBSIncItems,$C400,$B414)*INDEX(MBSIncItems,$C400,$C414),"")</f>
        <v/>
      </c>
      <c r="G414" s="57" t="str">
        <f t="shared" si="307"/>
        <v/>
      </c>
      <c r="H414" s="57" t="str">
        <f t="shared" si="307"/>
        <v/>
      </c>
      <c r="I414" s="57" t="str">
        <f t="shared" si="307"/>
        <v/>
      </c>
      <c r="J414" s="57" t="str">
        <f t="shared" si="307"/>
        <v/>
      </c>
      <c r="K414" s="57" t="str">
        <f t="shared" si="307"/>
        <v/>
      </c>
      <c r="M414" s="475"/>
      <c r="N414" s="473"/>
      <c r="O414" s="360"/>
      <c r="P414" s="360"/>
    </row>
    <row r="415" spans="1:28" hidden="1" outlineLevel="2" x14ac:dyDescent="0.2">
      <c r="B415" s="209"/>
      <c r="C415" s="209">
        <v>7</v>
      </c>
      <c r="E415" s="359" t="s">
        <v>1295</v>
      </c>
      <c r="F415" s="57" t="str">
        <f t="shared" ref="F415:K415" si="308">IFERROR(F412*INDEX(MBSIncItems,$C400,$C415),"")</f>
        <v/>
      </c>
      <c r="G415" s="57" t="str">
        <f t="shared" si="308"/>
        <v/>
      </c>
      <c r="H415" s="57" t="str">
        <f t="shared" si="308"/>
        <v/>
      </c>
      <c r="I415" s="57" t="str">
        <f t="shared" si="308"/>
        <v/>
      </c>
      <c r="J415" s="57" t="str">
        <f t="shared" si="308"/>
        <v/>
      </c>
      <c r="K415" s="57" t="str">
        <f t="shared" si="308"/>
        <v/>
      </c>
      <c r="M415" s="475"/>
      <c r="N415" s="473"/>
      <c r="O415" s="360"/>
      <c r="P415" s="360"/>
    </row>
    <row r="416" spans="1:28" outlineLevel="1" collapsed="1" x14ac:dyDescent="0.2">
      <c r="L416"/>
      <c r="M416"/>
      <c r="N416"/>
      <c r="O416"/>
      <c r="P416"/>
      <c r="Q416"/>
      <c r="R416"/>
      <c r="S416"/>
      <c r="T416"/>
      <c r="U416"/>
      <c r="V416"/>
    </row>
    <row r="417" spans="1:28" ht="15.75" outlineLevel="1" x14ac:dyDescent="0.2">
      <c r="C417" s="209">
        <v>19</v>
      </c>
      <c r="D417" s="72" t="str">
        <f>INDEX(MBSIncNames,C417)</f>
        <v>** NOT USED **</v>
      </c>
      <c r="E417" s="72"/>
      <c r="F417" s="105"/>
      <c r="G417" s="105"/>
      <c r="H417" s="105"/>
      <c r="I417" s="105"/>
      <c r="J417" s="588" t="str">
        <f>IF(D417&lt;&gt;MsgNotUsed,"Co-payment group " &amp; K246,"")</f>
        <v/>
      </c>
      <c r="K417" s="588"/>
      <c r="L417" s="105"/>
      <c r="M417" s="105"/>
      <c r="N417" s="105"/>
      <c r="O417" s="105"/>
      <c r="P417" s="105"/>
      <c r="Q417" s="105"/>
      <c r="R417" s="105"/>
      <c r="S417" s="105"/>
      <c r="T417" s="105"/>
      <c r="U417" s="105"/>
      <c r="V417" s="105"/>
    </row>
    <row r="418" spans="1:28" hidden="1" outlineLevel="2" collapsed="1" x14ac:dyDescent="0.2">
      <c r="F418" s="357">
        <v>2</v>
      </c>
      <c r="G418" s="357">
        <v>3</v>
      </c>
      <c r="H418" s="357">
        <v>4</v>
      </c>
      <c r="I418" s="357">
        <v>5</v>
      </c>
      <c r="J418" s="357">
        <v>6</v>
      </c>
      <c r="K418" s="357">
        <v>7</v>
      </c>
      <c r="L418" s="357"/>
    </row>
    <row r="419" spans="1:28" ht="15" hidden="1" outlineLevel="2" x14ac:dyDescent="0.2">
      <c r="D419" s="462" t="s">
        <v>0</v>
      </c>
      <c r="E419" s="462"/>
      <c r="F419" s="74">
        <f>FirstYear</f>
        <v>2026</v>
      </c>
      <c r="G419" s="74">
        <f>F419+1</f>
        <v>2027</v>
      </c>
      <c r="H419" s="74">
        <f>G419+1</f>
        <v>2028</v>
      </c>
      <c r="I419" s="74">
        <f>H419+1</f>
        <v>2029</v>
      </c>
      <c r="J419" s="74">
        <f>I419+1</f>
        <v>2030</v>
      </c>
      <c r="K419" s="74">
        <f>J419+1</f>
        <v>2031</v>
      </c>
      <c r="N419" s="470"/>
      <c r="O419" s="470"/>
      <c r="P419" s="470"/>
      <c r="Q419" s="223"/>
      <c r="R419" s="223"/>
      <c r="S419" s="223"/>
      <c r="T419" s="223"/>
      <c r="U419" s="223"/>
      <c r="V419" s="223"/>
      <c r="X419" s="223"/>
      <c r="Y419" s="223"/>
      <c r="Z419" s="223"/>
      <c r="AA419" s="223"/>
    </row>
    <row r="420" spans="1:28" hidden="1" outlineLevel="2" x14ac:dyDescent="0.2">
      <c r="E420" s="82" t="s">
        <v>938</v>
      </c>
      <c r="F420" s="239">
        <f t="shared" ref="F420:K420" si="309">F421*INDEX(MBSIncCalc,$C417,3)</f>
        <v>0</v>
      </c>
      <c r="G420" s="239">
        <f t="shared" si="309"/>
        <v>0</v>
      </c>
      <c r="H420" s="239">
        <f t="shared" si="309"/>
        <v>0</v>
      </c>
      <c r="I420" s="239">
        <f t="shared" si="309"/>
        <v>0</v>
      </c>
      <c r="J420" s="239">
        <f t="shared" si="309"/>
        <v>0</v>
      </c>
      <c r="K420" s="239">
        <f t="shared" si="309"/>
        <v>0</v>
      </c>
      <c r="M420" s="471"/>
      <c r="N420" s="463"/>
      <c r="O420" s="463"/>
      <c r="P420" s="463"/>
      <c r="Q420" s="472"/>
      <c r="R420" s="472"/>
      <c r="S420" s="472"/>
      <c r="T420" s="472"/>
      <c r="U420" s="472"/>
      <c r="V420" s="472"/>
      <c r="X420" s="402">
        <f>INDEX(MBSIncItems,C417,1)</f>
        <v>0</v>
      </c>
      <c r="Y420" s="402">
        <f>FirstYear</f>
        <v>2026</v>
      </c>
      <c r="Z420" s="401">
        <f>IF(F421&lt;&gt;0,F421-F423,0)</f>
        <v>0</v>
      </c>
      <c r="AA420" s="401">
        <f>IF(F429&lt;&gt;0,F429-F431,0)</f>
        <v>0</v>
      </c>
    </row>
    <row r="421" spans="1:28" hidden="1" outlineLevel="2" x14ac:dyDescent="0.2">
      <c r="B421" s="468"/>
      <c r="C421" s="209" t="str">
        <f>INDEX(MBSIncCalc,C417,2)</f>
        <v/>
      </c>
      <c r="E421" s="56" t="s">
        <v>1297</v>
      </c>
      <c r="F421" s="57">
        <f t="shared" ref="F421:K421" si="310">IF(INDEX(MBSIncRate,$C417,2)=2,IFERROR(INDEX(PBSScriptsNew,$C421,F418),0),IFERROR(INDEX(MBSPBSInc,$C417,INDEX(MBSIncRate,$C417,3)*7+F418),0) * IFERROR(INDEX(MBSIncPopSplit,$C417),0)) * INDEX(MBSIncRate,$C417,1) * INDEX(MBSIncRate,$C417,4)</f>
        <v>0</v>
      </c>
      <c r="G421" s="57">
        <f t="shared" si="310"/>
        <v>0</v>
      </c>
      <c r="H421" s="57">
        <f t="shared" si="310"/>
        <v>0</v>
      </c>
      <c r="I421" s="57">
        <f t="shared" si="310"/>
        <v>0</v>
      </c>
      <c r="J421" s="57">
        <f t="shared" si="310"/>
        <v>0</v>
      </c>
      <c r="K421" s="57">
        <f t="shared" si="310"/>
        <v>0</v>
      </c>
      <c r="O421" s="463"/>
      <c r="P421" s="463"/>
      <c r="Q421" s="472"/>
      <c r="R421" s="472"/>
      <c r="S421" s="472"/>
      <c r="T421" s="472"/>
      <c r="U421" s="472"/>
      <c r="V421" s="472"/>
      <c r="X421" s="402">
        <f>X420</f>
        <v>0</v>
      </c>
      <c r="Y421" s="402">
        <f>Y420+1</f>
        <v>2027</v>
      </c>
      <c r="Z421" s="401">
        <f>IF(G421&lt;&gt;0,G421-G423,0)</f>
        <v>0</v>
      </c>
      <c r="AA421" s="401">
        <f>IF(G429&lt;&gt;0,G429-G431,0)</f>
        <v>0</v>
      </c>
      <c r="AB421" s="223"/>
    </row>
    <row r="422" spans="1:28" hidden="1" outlineLevel="2" x14ac:dyDescent="0.2">
      <c r="B422" s="209">
        <v>5</v>
      </c>
      <c r="C422" s="209">
        <v>6</v>
      </c>
      <c r="E422" s="358" t="s">
        <v>1294</v>
      </c>
      <c r="F422" s="57" t="str">
        <f t="shared" ref="F422:K422" si="311">IFERROR(F421*INDEX(MBSIncItems,$C417,$B422)*INDEX(MBSIncItems,$C417,$C422),"")</f>
        <v/>
      </c>
      <c r="G422" s="57" t="str">
        <f t="shared" si="311"/>
        <v/>
      </c>
      <c r="H422" s="57" t="str">
        <f t="shared" si="311"/>
        <v/>
      </c>
      <c r="I422" s="57" t="str">
        <f t="shared" si="311"/>
        <v/>
      </c>
      <c r="J422" s="57" t="str">
        <f t="shared" si="311"/>
        <v/>
      </c>
      <c r="K422" s="57" t="str">
        <f t="shared" si="311"/>
        <v/>
      </c>
      <c r="O422" s="473"/>
      <c r="P422" s="514"/>
      <c r="Q422" s="472"/>
      <c r="R422" s="472"/>
      <c r="S422" s="472"/>
      <c r="T422" s="472"/>
      <c r="U422" s="472"/>
      <c r="V422" s="472"/>
      <c r="X422" s="402">
        <f t="shared" ref="X422:X425" si="312">X421</f>
        <v>0</v>
      </c>
      <c r="Y422" s="402">
        <f>Y421+1</f>
        <v>2028</v>
      </c>
      <c r="Z422" s="401">
        <f>IF(H421&lt;&gt;0,H421-H423,0)</f>
        <v>0</v>
      </c>
      <c r="AA422" s="401">
        <f>IF(H429&lt;&gt;0,H429-H431,0)</f>
        <v>0</v>
      </c>
      <c r="AB422" s="223"/>
    </row>
    <row r="423" spans="1:28" hidden="1" outlineLevel="2" x14ac:dyDescent="0.2">
      <c r="A423"/>
      <c r="B423" s="209">
        <v>4</v>
      </c>
      <c r="C423" s="209">
        <v>6</v>
      </c>
      <c r="E423" s="358" t="s">
        <v>1293</v>
      </c>
      <c r="F423" s="57" t="str">
        <f t="shared" ref="F423:K423" si="313">IFERROR(F421*INDEX(MBSIncItems,$C417,$B423)*INDEX(MBSIncItems,$C417,$C423),"")</f>
        <v/>
      </c>
      <c r="G423" s="57" t="str">
        <f t="shared" si="313"/>
        <v/>
      </c>
      <c r="H423" s="57" t="str">
        <f t="shared" si="313"/>
        <v/>
      </c>
      <c r="I423" s="57" t="str">
        <f t="shared" si="313"/>
        <v/>
      </c>
      <c r="J423" s="57" t="str">
        <f t="shared" si="313"/>
        <v/>
      </c>
      <c r="K423" s="57" t="str">
        <f t="shared" si="313"/>
        <v/>
      </c>
      <c r="L423"/>
      <c r="M423"/>
      <c r="N423"/>
      <c r="O423"/>
      <c r="P423"/>
      <c r="Q423"/>
      <c r="R423"/>
      <c r="S423"/>
      <c r="T423"/>
      <c r="U423"/>
      <c r="V423"/>
      <c r="X423" s="402">
        <f t="shared" si="312"/>
        <v>0</v>
      </c>
      <c r="Y423" s="402">
        <f>Y422+1</f>
        <v>2029</v>
      </c>
      <c r="Z423" s="401">
        <f>IF(I421&lt;&gt;0,I421-I423,0)</f>
        <v>0</v>
      </c>
      <c r="AA423" s="401">
        <f>IF(I429&lt;&gt;0,I429-I431,0)</f>
        <v>0</v>
      </c>
      <c r="AB423" s="469"/>
    </row>
    <row r="424" spans="1:28" hidden="1" outlineLevel="2" x14ac:dyDescent="0.2">
      <c r="B424" s="209"/>
      <c r="C424" s="209">
        <v>7</v>
      </c>
      <c r="E424" s="359" t="s">
        <v>1295</v>
      </c>
      <c r="F424" s="57" t="str">
        <f t="shared" ref="F424:K424" si="314">IFERROR(F421*INDEX(MBSIncItems,$C417,$C424),"")</f>
        <v/>
      </c>
      <c r="G424" s="57" t="str">
        <f t="shared" si="314"/>
        <v/>
      </c>
      <c r="H424" s="57" t="str">
        <f t="shared" si="314"/>
        <v/>
      </c>
      <c r="I424" s="57" t="str">
        <f t="shared" si="314"/>
        <v/>
      </c>
      <c r="J424" s="57" t="str">
        <f t="shared" si="314"/>
        <v/>
      </c>
      <c r="K424" s="57" t="str">
        <f t="shared" si="314"/>
        <v/>
      </c>
      <c r="O424" s="473"/>
      <c r="P424" s="514"/>
      <c r="Q424" s="472"/>
      <c r="R424" s="472"/>
      <c r="S424" s="472"/>
      <c r="T424" s="472"/>
      <c r="U424" s="472"/>
      <c r="V424" s="472"/>
      <c r="X424" s="402">
        <f t="shared" si="312"/>
        <v>0</v>
      </c>
      <c r="Y424" s="402">
        <f>Y423+1</f>
        <v>2030</v>
      </c>
      <c r="Z424" s="401">
        <f>IF(J421&lt;&gt;0,J421-J423,0)</f>
        <v>0</v>
      </c>
      <c r="AA424" s="401">
        <f>IF(J429&lt;&gt;0,J429-J431,0)</f>
        <v>0</v>
      </c>
      <c r="AB424" s="469"/>
    </row>
    <row r="425" spans="1:28" hidden="1" outlineLevel="2" x14ac:dyDescent="0.2">
      <c r="O425" s="473"/>
      <c r="P425" s="473"/>
      <c r="Q425" s="472"/>
      <c r="R425" s="472"/>
      <c r="S425" s="472"/>
      <c r="T425" s="472"/>
      <c r="U425" s="472"/>
      <c r="V425" s="472"/>
      <c r="X425" s="402">
        <f t="shared" si="312"/>
        <v>0</v>
      </c>
      <c r="Y425" s="402">
        <f>Y424+1</f>
        <v>2031</v>
      </c>
      <c r="Z425" s="401">
        <f>IF(K421&lt;&gt;0,K421-K423,0)</f>
        <v>0</v>
      </c>
      <c r="AA425" s="401">
        <f>IF(K429&lt;&gt;0,K429-K431,0)</f>
        <v>0</v>
      </c>
      <c r="AB425" s="469"/>
    </row>
    <row r="426" spans="1:28" hidden="1" outlineLevel="2" x14ac:dyDescent="0.2">
      <c r="D426" s="360"/>
      <c r="E426" s="360"/>
      <c r="F426" s="357">
        <v>2</v>
      </c>
      <c r="G426" s="357">
        <v>3</v>
      </c>
      <c r="H426" s="357">
        <v>4</v>
      </c>
      <c r="I426" s="357">
        <v>5</v>
      </c>
      <c r="J426" s="357">
        <v>6</v>
      </c>
      <c r="K426" s="357">
        <v>7</v>
      </c>
      <c r="N426" s="360"/>
      <c r="O426" s="360"/>
      <c r="P426" s="360"/>
      <c r="AB426" s="469"/>
    </row>
    <row r="427" spans="1:28" ht="15.75" hidden="1" outlineLevel="2" x14ac:dyDescent="0.2">
      <c r="D427" s="462" t="s">
        <v>1</v>
      </c>
      <c r="E427" s="462"/>
      <c r="F427" s="74">
        <f>FirstYear</f>
        <v>2026</v>
      </c>
      <c r="G427" s="74">
        <f>F427+1</f>
        <v>2027</v>
      </c>
      <c r="H427" s="74">
        <f>G427+1</f>
        <v>2028</v>
      </c>
      <c r="I427" s="74">
        <f>H427+1</f>
        <v>2029</v>
      </c>
      <c r="J427" s="74">
        <f>I427+1</f>
        <v>2030</v>
      </c>
      <c r="K427" s="74">
        <f>J427+1</f>
        <v>2031</v>
      </c>
      <c r="N427" s="466"/>
      <c r="O427" s="466"/>
      <c r="P427" s="466"/>
      <c r="AB427" s="469"/>
    </row>
    <row r="428" spans="1:28" hidden="1" outlineLevel="2" x14ac:dyDescent="0.2">
      <c r="E428" s="82" t="s">
        <v>938</v>
      </c>
      <c r="F428" s="239">
        <f t="shared" ref="F428:K428" si="315">F429*INDEX(MBSIncCalc,$C417,3)</f>
        <v>0</v>
      </c>
      <c r="G428" s="239">
        <f t="shared" si="315"/>
        <v>0</v>
      </c>
      <c r="H428" s="239">
        <f t="shared" si="315"/>
        <v>0</v>
      </c>
      <c r="I428" s="239">
        <f t="shared" si="315"/>
        <v>0</v>
      </c>
      <c r="J428" s="239">
        <f t="shared" si="315"/>
        <v>0</v>
      </c>
      <c r="K428" s="239">
        <f t="shared" si="315"/>
        <v>0</v>
      </c>
      <c r="M428"/>
      <c r="N428"/>
      <c r="O428" s="360"/>
      <c r="P428" s="360"/>
    </row>
    <row r="429" spans="1:28" hidden="1" outlineLevel="2" x14ac:dyDescent="0.2">
      <c r="B429" s="468"/>
      <c r="C429" s="209" t="str">
        <f>C421</f>
        <v/>
      </c>
      <c r="E429" s="56" t="s">
        <v>1297</v>
      </c>
      <c r="F429" s="57">
        <f t="shared" ref="F429:K429" si="316">IF(INDEX(MBSIncRate,$C417,2)=2,IFERROR(INDEX(RPBSScriptsNew,$C429,F426),0),IFERROR(INDEX(MBSRPBSInc,$C417,INDEX(MBSIncRate,$C417,3)*7+F426),0) * IFERROR(INDEX(MBSIncPopSplit,$C417),0)) * INDEX(MBSIncRate,$C417,1) * INDEX(MBSIncRate,$C417,4)</f>
        <v>0</v>
      </c>
      <c r="G429" s="57">
        <f t="shared" si="316"/>
        <v>0</v>
      </c>
      <c r="H429" s="57">
        <f t="shared" si="316"/>
        <v>0</v>
      </c>
      <c r="I429" s="57">
        <f t="shared" si="316"/>
        <v>0</v>
      </c>
      <c r="J429" s="57">
        <f t="shared" si="316"/>
        <v>0</v>
      </c>
      <c r="K429" s="57">
        <f t="shared" si="316"/>
        <v>0</v>
      </c>
      <c r="N429" s="344"/>
      <c r="O429" s="360"/>
      <c r="P429" s="360"/>
    </row>
    <row r="430" spans="1:28" hidden="1" outlineLevel="2" x14ac:dyDescent="0.2">
      <c r="B430" s="209">
        <v>5</v>
      </c>
      <c r="C430" s="209">
        <v>6</v>
      </c>
      <c r="E430" s="358" t="s">
        <v>1294</v>
      </c>
      <c r="F430" s="57" t="str">
        <f t="shared" ref="F430:K430" si="317">IFERROR(F429*INDEX(MBSIncItems,$C417,$B430)*INDEX(MBSIncItems,$C417,$C430),"")</f>
        <v/>
      </c>
      <c r="G430" s="57" t="str">
        <f t="shared" si="317"/>
        <v/>
      </c>
      <c r="H430" s="57" t="str">
        <f t="shared" si="317"/>
        <v/>
      </c>
      <c r="I430" s="57" t="str">
        <f t="shared" si="317"/>
        <v/>
      </c>
      <c r="J430" s="57" t="str">
        <f t="shared" si="317"/>
        <v/>
      </c>
      <c r="K430" s="57" t="str">
        <f t="shared" si="317"/>
        <v/>
      </c>
      <c r="M430" s="474"/>
      <c r="N430" s="344"/>
      <c r="O430" s="360"/>
      <c r="P430" s="360"/>
    </row>
    <row r="431" spans="1:28" hidden="1" outlineLevel="2" x14ac:dyDescent="0.2">
      <c r="B431" s="209">
        <v>4</v>
      </c>
      <c r="C431" s="209">
        <v>6</v>
      </c>
      <c r="E431" s="358" t="s">
        <v>1293</v>
      </c>
      <c r="F431" s="57" t="str">
        <f t="shared" ref="F431:K431" si="318">IFERROR(F429*INDEX(MBSIncItems,$C417,$B431)*INDEX(MBSIncItems,$C417,$C431),"")</f>
        <v/>
      </c>
      <c r="G431" s="57" t="str">
        <f t="shared" si="318"/>
        <v/>
      </c>
      <c r="H431" s="57" t="str">
        <f t="shared" si="318"/>
        <v/>
      </c>
      <c r="I431" s="57" t="str">
        <f t="shared" si="318"/>
        <v/>
      </c>
      <c r="J431" s="57" t="str">
        <f t="shared" si="318"/>
        <v/>
      </c>
      <c r="K431" s="57" t="str">
        <f t="shared" si="318"/>
        <v/>
      </c>
      <c r="M431" s="475"/>
      <c r="N431" s="473"/>
      <c r="O431" s="360"/>
      <c r="P431" s="360"/>
    </row>
    <row r="432" spans="1:28" hidden="1" outlineLevel="2" x14ac:dyDescent="0.2">
      <c r="B432" s="209"/>
      <c r="C432" s="209">
        <v>7</v>
      </c>
      <c r="E432" s="359" t="s">
        <v>1295</v>
      </c>
      <c r="F432" s="57" t="str">
        <f t="shared" ref="F432:K432" si="319">IFERROR(F429*INDEX(MBSIncItems,$C417,$C432),"")</f>
        <v/>
      </c>
      <c r="G432" s="57" t="str">
        <f t="shared" si="319"/>
        <v/>
      </c>
      <c r="H432" s="57" t="str">
        <f t="shared" si="319"/>
        <v/>
      </c>
      <c r="I432" s="57" t="str">
        <f t="shared" si="319"/>
        <v/>
      </c>
      <c r="J432" s="57" t="str">
        <f t="shared" si="319"/>
        <v/>
      </c>
      <c r="K432" s="57" t="str">
        <f t="shared" si="319"/>
        <v/>
      </c>
      <c r="M432" s="475"/>
      <c r="N432" s="473"/>
      <c r="O432" s="360"/>
      <c r="P432" s="360"/>
    </row>
    <row r="433" spans="1:28" outlineLevel="1" collapsed="1" x14ac:dyDescent="0.2">
      <c r="N433" s="360"/>
      <c r="O433" s="360"/>
      <c r="P433" s="360"/>
    </row>
    <row r="434" spans="1:28" ht="15.75" outlineLevel="1" x14ac:dyDescent="0.2">
      <c r="C434" s="209">
        <v>20</v>
      </c>
      <c r="D434" s="72" t="str">
        <f>INDEX(MBSIncNames,C434)</f>
        <v>** NOT USED **</v>
      </c>
      <c r="E434" s="72"/>
      <c r="F434" s="105"/>
      <c r="G434" s="105"/>
      <c r="H434" s="105"/>
      <c r="I434" s="105"/>
      <c r="J434" s="588" t="str">
        <f>IF(D434&lt;&gt;MsgNotUsed,"Co-payment group " &amp; K263,"")</f>
        <v/>
      </c>
      <c r="K434" s="588"/>
      <c r="L434" s="105"/>
      <c r="M434" s="105"/>
      <c r="N434" s="105"/>
      <c r="O434" s="105"/>
      <c r="P434" s="105"/>
      <c r="Q434" s="105"/>
      <c r="R434" s="105"/>
      <c r="S434" s="105"/>
      <c r="T434" s="105"/>
      <c r="U434" s="105"/>
      <c r="V434" s="105"/>
    </row>
    <row r="435" spans="1:28" hidden="1" outlineLevel="2" x14ac:dyDescent="0.2">
      <c r="F435" s="357">
        <v>2</v>
      </c>
      <c r="G435" s="357">
        <v>3</v>
      </c>
      <c r="H435" s="357">
        <v>4</v>
      </c>
      <c r="I435" s="357">
        <v>5</v>
      </c>
      <c r="J435" s="357">
        <v>6</v>
      </c>
      <c r="K435" s="357">
        <v>7</v>
      </c>
      <c r="L435" s="357"/>
    </row>
    <row r="436" spans="1:28" ht="15" hidden="1" outlineLevel="2" collapsed="1" x14ac:dyDescent="0.2">
      <c r="D436" s="462" t="s">
        <v>0</v>
      </c>
      <c r="E436" s="462"/>
      <c r="F436" s="74">
        <f>FirstYear</f>
        <v>2026</v>
      </c>
      <c r="G436" s="74">
        <f>F436+1</f>
        <v>2027</v>
      </c>
      <c r="H436" s="74">
        <f>G436+1</f>
        <v>2028</v>
      </c>
      <c r="I436" s="74">
        <f>H436+1</f>
        <v>2029</v>
      </c>
      <c r="J436" s="74">
        <f>I436+1</f>
        <v>2030</v>
      </c>
      <c r="K436" s="74">
        <f>J436+1</f>
        <v>2031</v>
      </c>
      <c r="N436" s="470"/>
      <c r="O436" s="470"/>
      <c r="P436" s="470"/>
      <c r="Q436" s="223"/>
      <c r="R436" s="223"/>
      <c r="S436" s="223"/>
      <c r="T436" s="223"/>
      <c r="U436" s="223"/>
      <c r="V436" s="223"/>
      <c r="X436" s="223"/>
      <c r="Y436" s="223"/>
      <c r="Z436" s="223"/>
      <c r="AA436" s="223"/>
    </row>
    <row r="437" spans="1:28" hidden="1" outlineLevel="2" x14ac:dyDescent="0.2">
      <c r="E437" s="82" t="s">
        <v>938</v>
      </c>
      <c r="F437" s="239">
        <f t="shared" ref="F437:K437" si="320">F438*INDEX(MBSIncCalc,$C434,3)</f>
        <v>0</v>
      </c>
      <c r="G437" s="239">
        <f t="shared" si="320"/>
        <v>0</v>
      </c>
      <c r="H437" s="239">
        <f t="shared" si="320"/>
        <v>0</v>
      </c>
      <c r="I437" s="239">
        <f t="shared" si="320"/>
        <v>0</v>
      </c>
      <c r="J437" s="239">
        <f t="shared" si="320"/>
        <v>0</v>
      </c>
      <c r="K437" s="239">
        <f t="shared" si="320"/>
        <v>0</v>
      </c>
      <c r="M437" s="471"/>
      <c r="N437" s="463"/>
      <c r="O437" s="463"/>
      <c r="P437" s="463"/>
      <c r="Q437" s="472"/>
      <c r="R437" s="472"/>
      <c r="S437" s="472"/>
      <c r="T437" s="472"/>
      <c r="U437" s="472"/>
      <c r="V437" s="472"/>
      <c r="X437" s="402">
        <f>INDEX(MBSIncItems,C434,1)</f>
        <v>0</v>
      </c>
      <c r="Y437" s="402">
        <f>FirstYear</f>
        <v>2026</v>
      </c>
      <c r="Z437" s="401">
        <f>IF(F438&lt;&gt;0,F438-F440,0)</f>
        <v>0</v>
      </c>
      <c r="AA437" s="401">
        <f>IF(F446&lt;&gt;0,F446-F448,0)</f>
        <v>0</v>
      </c>
    </row>
    <row r="438" spans="1:28" hidden="1" outlineLevel="2" x14ac:dyDescent="0.2">
      <c r="B438" s="468"/>
      <c r="C438" s="209" t="str">
        <f>INDEX(MBSIncCalc,C434,2)</f>
        <v/>
      </c>
      <c r="E438" s="56" t="s">
        <v>1297</v>
      </c>
      <c r="F438" s="57">
        <f t="shared" ref="F438:K438" si="321">IF(INDEX(MBSIncRate,$C434,2)=2,IFERROR(INDEX(PBSScriptsNew,$C438,F435),0),IFERROR(INDEX(MBSPBSInc,$C434,INDEX(MBSIncRate,$C434,3)*7+F435),0) * IFERROR(INDEX(MBSIncPopSplit,$C434),0)) * INDEX(MBSIncRate,$C434,1) * INDEX(MBSIncRate,$C434,4)</f>
        <v>0</v>
      </c>
      <c r="G438" s="57">
        <f t="shared" si="321"/>
        <v>0</v>
      </c>
      <c r="H438" s="57">
        <f t="shared" si="321"/>
        <v>0</v>
      </c>
      <c r="I438" s="57">
        <f t="shared" si="321"/>
        <v>0</v>
      </c>
      <c r="J438" s="57">
        <f t="shared" si="321"/>
        <v>0</v>
      </c>
      <c r="K438" s="57">
        <f t="shared" si="321"/>
        <v>0</v>
      </c>
      <c r="O438" s="463"/>
      <c r="P438" s="463"/>
      <c r="Q438" s="472"/>
      <c r="R438" s="472"/>
      <c r="S438" s="472"/>
      <c r="T438" s="472"/>
      <c r="U438" s="472"/>
      <c r="V438" s="472"/>
      <c r="X438" s="402">
        <f>X437</f>
        <v>0</v>
      </c>
      <c r="Y438" s="402">
        <f>Y437+1</f>
        <v>2027</v>
      </c>
      <c r="Z438" s="401">
        <f>IF(G438&lt;&gt;0,G438-G440,0)</f>
        <v>0</v>
      </c>
      <c r="AA438" s="401">
        <f>IF(G446&lt;&gt;0,G446-G448,0)</f>
        <v>0</v>
      </c>
    </row>
    <row r="439" spans="1:28" hidden="1" outlineLevel="2" x14ac:dyDescent="0.2">
      <c r="B439" s="209">
        <v>5</v>
      </c>
      <c r="C439" s="209">
        <v>6</v>
      </c>
      <c r="E439" s="358" t="s">
        <v>1294</v>
      </c>
      <c r="F439" s="57" t="str">
        <f t="shared" ref="F439:K439" si="322">IFERROR(F438*INDEX(MBSIncItems,$C434,$B439)*INDEX(MBSIncItems,$C434,$C439),"")</f>
        <v/>
      </c>
      <c r="G439" s="57" t="str">
        <f t="shared" si="322"/>
        <v/>
      </c>
      <c r="H439" s="57" t="str">
        <f t="shared" si="322"/>
        <v/>
      </c>
      <c r="I439" s="57" t="str">
        <f t="shared" si="322"/>
        <v/>
      </c>
      <c r="J439" s="57" t="str">
        <f t="shared" si="322"/>
        <v/>
      </c>
      <c r="K439" s="57" t="str">
        <f t="shared" si="322"/>
        <v/>
      </c>
      <c r="O439" s="473"/>
      <c r="P439" s="514"/>
      <c r="Q439" s="472"/>
      <c r="R439" s="472"/>
      <c r="S439" s="472"/>
      <c r="T439" s="472"/>
      <c r="U439" s="472"/>
      <c r="V439" s="472"/>
      <c r="X439" s="402">
        <f>X438</f>
        <v>0</v>
      </c>
      <c r="Y439" s="402">
        <f>Y438+1</f>
        <v>2028</v>
      </c>
      <c r="Z439" s="401">
        <f>IF(H438&lt;&gt;0,H438-H440,0)</f>
        <v>0</v>
      </c>
      <c r="AA439" s="401">
        <f>IF(H446&lt;&gt;0,H446-H448,0)</f>
        <v>0</v>
      </c>
      <c r="AB439" s="223"/>
    </row>
    <row r="440" spans="1:28" hidden="1" outlineLevel="2" x14ac:dyDescent="0.2">
      <c r="A440"/>
      <c r="B440" s="209">
        <v>4</v>
      </c>
      <c r="C440" s="209">
        <v>6</v>
      </c>
      <c r="E440" s="358" t="s">
        <v>1293</v>
      </c>
      <c r="F440" s="57" t="str">
        <f t="shared" ref="F440:K440" si="323">IFERROR(F438*INDEX(MBSIncItems,$C434,$B440)*INDEX(MBSIncItems,$C434,$C440),"")</f>
        <v/>
      </c>
      <c r="G440" s="57" t="str">
        <f t="shared" si="323"/>
        <v/>
      </c>
      <c r="H440" s="57" t="str">
        <f t="shared" si="323"/>
        <v/>
      </c>
      <c r="I440" s="57" t="str">
        <f t="shared" si="323"/>
        <v/>
      </c>
      <c r="J440" s="57" t="str">
        <f t="shared" si="323"/>
        <v/>
      </c>
      <c r="K440" s="57" t="str">
        <f t="shared" si="323"/>
        <v/>
      </c>
      <c r="L440"/>
      <c r="M440"/>
      <c r="N440"/>
      <c r="O440"/>
      <c r="P440"/>
      <c r="Q440"/>
      <c r="R440"/>
      <c r="S440"/>
      <c r="T440"/>
      <c r="U440"/>
      <c r="V440"/>
      <c r="X440" s="402">
        <f>X439</f>
        <v>0</v>
      </c>
      <c r="Y440" s="402">
        <f>Y439+1</f>
        <v>2029</v>
      </c>
      <c r="Z440" s="401">
        <f>IF(I438&lt;&gt;0,I438-I440,0)</f>
        <v>0</v>
      </c>
      <c r="AA440" s="401">
        <f>IF(I446&lt;&gt;0,I446-I448,0)</f>
        <v>0</v>
      </c>
      <c r="AB440" s="223"/>
    </row>
    <row r="441" spans="1:28" hidden="1" outlineLevel="2" x14ac:dyDescent="0.2">
      <c r="B441" s="209"/>
      <c r="C441" s="209">
        <v>7</v>
      </c>
      <c r="E441" s="359" t="s">
        <v>1295</v>
      </c>
      <c r="F441" s="57" t="str">
        <f t="shared" ref="F441:K441" si="324">IFERROR(F438*INDEX(MBSIncItems,$C434,$C441),"")</f>
        <v/>
      </c>
      <c r="G441" s="57" t="str">
        <f t="shared" si="324"/>
        <v/>
      </c>
      <c r="H441" s="57" t="str">
        <f t="shared" si="324"/>
        <v/>
      </c>
      <c r="I441" s="57" t="str">
        <f t="shared" si="324"/>
        <v/>
      </c>
      <c r="J441" s="57" t="str">
        <f t="shared" si="324"/>
        <v/>
      </c>
      <c r="K441" s="57" t="str">
        <f t="shared" si="324"/>
        <v/>
      </c>
      <c r="O441" s="473"/>
      <c r="P441" s="514"/>
      <c r="Q441" s="472"/>
      <c r="R441" s="472"/>
      <c r="S441" s="472"/>
      <c r="T441" s="472"/>
      <c r="U441" s="472"/>
      <c r="V441" s="472"/>
      <c r="X441" s="402">
        <f>X440</f>
        <v>0</v>
      </c>
      <c r="Y441" s="402">
        <f>Y440+1</f>
        <v>2030</v>
      </c>
      <c r="Z441" s="401">
        <f>IF(J438&lt;&gt;0,J438-J440,0)</f>
        <v>0</v>
      </c>
      <c r="AA441" s="401">
        <f>IF(J446&lt;&gt;0,J446-J448,0)</f>
        <v>0</v>
      </c>
      <c r="AB441" s="469"/>
    </row>
    <row r="442" spans="1:28" hidden="1" outlineLevel="2" x14ac:dyDescent="0.2">
      <c r="O442" s="473"/>
      <c r="P442" s="473"/>
      <c r="Q442" s="472"/>
      <c r="R442" s="472"/>
      <c r="S442" s="472"/>
      <c r="T442" s="472"/>
      <c r="U442" s="472"/>
      <c r="V442" s="472"/>
      <c r="X442" s="402">
        <f>X441</f>
        <v>0</v>
      </c>
      <c r="Y442" s="402">
        <f>Y441+1</f>
        <v>2031</v>
      </c>
      <c r="Z442" s="401">
        <f>IF(K438&lt;&gt;0,K438-K440,0)</f>
        <v>0</v>
      </c>
      <c r="AA442" s="401">
        <f>IF(K446&lt;&gt;0,K446-K448,0)</f>
        <v>0</v>
      </c>
      <c r="AB442" s="469"/>
    </row>
    <row r="443" spans="1:28" hidden="1" outlineLevel="2" x14ac:dyDescent="0.2">
      <c r="D443" s="360"/>
      <c r="E443" s="360"/>
      <c r="F443" s="357">
        <v>2</v>
      </c>
      <c r="G443" s="357">
        <v>3</v>
      </c>
      <c r="H443" s="357">
        <v>4</v>
      </c>
      <c r="I443" s="357">
        <v>5</v>
      </c>
      <c r="J443" s="357">
        <v>6</v>
      </c>
      <c r="K443" s="357">
        <v>7</v>
      </c>
      <c r="N443" s="360"/>
      <c r="O443" s="360"/>
      <c r="P443" s="360"/>
      <c r="AB443" s="469"/>
    </row>
    <row r="444" spans="1:28" ht="15.75" hidden="1" outlineLevel="2" x14ac:dyDescent="0.2">
      <c r="D444" s="462" t="s">
        <v>1</v>
      </c>
      <c r="E444" s="462"/>
      <c r="F444" s="74">
        <f>FirstYear</f>
        <v>2026</v>
      </c>
      <c r="G444" s="74">
        <f>F444+1</f>
        <v>2027</v>
      </c>
      <c r="H444" s="74">
        <f>G444+1</f>
        <v>2028</v>
      </c>
      <c r="I444" s="74">
        <f>H444+1</f>
        <v>2029</v>
      </c>
      <c r="J444" s="74">
        <f>I444+1</f>
        <v>2030</v>
      </c>
      <c r="K444" s="74">
        <f>J444+1</f>
        <v>2031</v>
      </c>
      <c r="N444" s="466"/>
      <c r="O444" s="466"/>
      <c r="P444" s="466"/>
      <c r="AB444" s="469"/>
    </row>
    <row r="445" spans="1:28" hidden="1" outlineLevel="2" x14ac:dyDescent="0.2">
      <c r="E445" s="82" t="s">
        <v>938</v>
      </c>
      <c r="F445" s="239">
        <f t="shared" ref="F445:K445" si="325">F446*INDEX(MBSIncCalc,$C434,3)</f>
        <v>0</v>
      </c>
      <c r="G445" s="239">
        <f t="shared" si="325"/>
        <v>0</v>
      </c>
      <c r="H445" s="239">
        <f t="shared" si="325"/>
        <v>0</v>
      </c>
      <c r="I445" s="239">
        <f t="shared" si="325"/>
        <v>0</v>
      </c>
      <c r="J445" s="239">
        <f t="shared" si="325"/>
        <v>0</v>
      </c>
      <c r="K445" s="239">
        <f t="shared" si="325"/>
        <v>0</v>
      </c>
      <c r="M445"/>
      <c r="N445"/>
      <c r="O445" s="360"/>
      <c r="P445" s="360"/>
      <c r="AB445" s="469"/>
    </row>
    <row r="446" spans="1:28" hidden="1" outlineLevel="2" x14ac:dyDescent="0.2">
      <c r="B446" s="468"/>
      <c r="C446" s="209" t="str">
        <f>C438</f>
        <v/>
      </c>
      <c r="E446" s="56" t="s">
        <v>1297</v>
      </c>
      <c r="F446" s="57">
        <f t="shared" ref="F446:K446" si="326">IF(INDEX(MBSIncRate,$C434,2)=2,IFERROR(INDEX(RPBSScriptsNew,$C446,F443),0),IFERROR(INDEX(MBSRPBSInc,$C434,INDEX(MBSIncRate,$C434,3)*7+F443),0) * IFERROR(INDEX(MBSIncPopSplit,$C434),0)) * INDEX(MBSIncRate,$C434,1) * INDEX(MBSIncRate,$C434,4)</f>
        <v>0</v>
      </c>
      <c r="G446" s="57">
        <f t="shared" si="326"/>
        <v>0</v>
      </c>
      <c r="H446" s="57">
        <f t="shared" si="326"/>
        <v>0</v>
      </c>
      <c r="I446" s="57">
        <f t="shared" si="326"/>
        <v>0</v>
      </c>
      <c r="J446" s="57">
        <f t="shared" si="326"/>
        <v>0</v>
      </c>
      <c r="K446" s="57">
        <f t="shared" si="326"/>
        <v>0</v>
      </c>
      <c r="N446" s="344"/>
      <c r="O446" s="360"/>
      <c r="P446" s="360"/>
    </row>
    <row r="447" spans="1:28" hidden="1" outlineLevel="2" x14ac:dyDescent="0.2">
      <c r="B447" s="209">
        <v>5</v>
      </c>
      <c r="C447" s="209">
        <v>6</v>
      </c>
      <c r="E447" s="358" t="s">
        <v>1294</v>
      </c>
      <c r="F447" s="57" t="str">
        <f t="shared" ref="F447:K447" si="327">IFERROR(F446*INDEX(MBSIncItems,$C434,$B447)*INDEX(MBSIncItems,$C434,$C447),"")</f>
        <v/>
      </c>
      <c r="G447" s="57" t="str">
        <f t="shared" si="327"/>
        <v/>
      </c>
      <c r="H447" s="57" t="str">
        <f t="shared" si="327"/>
        <v/>
      </c>
      <c r="I447" s="57" t="str">
        <f t="shared" si="327"/>
        <v/>
      </c>
      <c r="J447" s="57" t="str">
        <f t="shared" si="327"/>
        <v/>
      </c>
      <c r="K447" s="57" t="str">
        <f t="shared" si="327"/>
        <v/>
      </c>
      <c r="M447" s="474"/>
      <c r="N447" s="344"/>
      <c r="O447" s="360"/>
      <c r="P447" s="360"/>
    </row>
    <row r="448" spans="1:28" hidden="1" outlineLevel="2" x14ac:dyDescent="0.2">
      <c r="B448" s="209">
        <v>4</v>
      </c>
      <c r="C448" s="209">
        <v>6</v>
      </c>
      <c r="E448" s="358" t="s">
        <v>1293</v>
      </c>
      <c r="F448" s="57" t="str">
        <f t="shared" ref="F448:K448" si="328">IFERROR(F446*INDEX(MBSIncItems,$C434,$B448)*INDEX(MBSIncItems,$C434,$C448),"")</f>
        <v/>
      </c>
      <c r="G448" s="57" t="str">
        <f t="shared" si="328"/>
        <v/>
      </c>
      <c r="H448" s="57" t="str">
        <f t="shared" si="328"/>
        <v/>
      </c>
      <c r="I448" s="57" t="str">
        <f t="shared" si="328"/>
        <v/>
      </c>
      <c r="J448" s="57" t="str">
        <f t="shared" si="328"/>
        <v/>
      </c>
      <c r="K448" s="57" t="str">
        <f t="shared" si="328"/>
        <v/>
      </c>
      <c r="M448" s="475"/>
      <c r="N448" s="473"/>
      <c r="O448" s="360"/>
      <c r="P448" s="360"/>
    </row>
    <row r="449" spans="2:47" hidden="1" outlineLevel="2" x14ac:dyDescent="0.2">
      <c r="B449" s="209"/>
      <c r="C449" s="209">
        <v>7</v>
      </c>
      <c r="E449" s="359" t="s">
        <v>1295</v>
      </c>
      <c r="F449" s="57" t="str">
        <f t="shared" ref="F449:K449" si="329">IFERROR(F446*INDEX(MBSIncItems,$C434,$C449),"")</f>
        <v/>
      </c>
      <c r="G449" s="57" t="str">
        <f t="shared" si="329"/>
        <v/>
      </c>
      <c r="H449" s="57" t="str">
        <f t="shared" si="329"/>
        <v/>
      </c>
      <c r="I449" s="57" t="str">
        <f t="shared" si="329"/>
        <v/>
      </c>
      <c r="J449" s="57" t="str">
        <f t="shared" si="329"/>
        <v/>
      </c>
      <c r="K449" s="57" t="str">
        <f t="shared" si="329"/>
        <v/>
      </c>
      <c r="M449" s="475"/>
      <c r="N449" s="473"/>
      <c r="O449" s="360"/>
      <c r="P449" s="360"/>
    </row>
    <row r="450" spans="2:47" outlineLevel="1" collapsed="1" x14ac:dyDescent="0.2">
      <c r="D450" s="360"/>
      <c r="E450" s="360"/>
      <c r="N450" s="360"/>
      <c r="O450" s="360"/>
      <c r="P450" s="360"/>
    </row>
    <row r="451" spans="2:47" x14ac:dyDescent="0.2">
      <c r="D451" s="360"/>
      <c r="E451" s="360"/>
      <c r="N451" s="360"/>
      <c r="O451" s="360"/>
      <c r="P451" s="360"/>
    </row>
    <row r="452" spans="2:47" ht="15.75" x14ac:dyDescent="0.2">
      <c r="D452" s="72" t="s">
        <v>864</v>
      </c>
      <c r="E452" s="72"/>
      <c r="F452" s="105"/>
      <c r="G452" s="105"/>
      <c r="H452" s="105"/>
      <c r="I452" s="105"/>
      <c r="J452" s="105"/>
      <c r="K452" s="105"/>
      <c r="L452" s="105"/>
      <c r="M452" s="105"/>
      <c r="N452" s="105"/>
      <c r="O452" s="105"/>
      <c r="P452" s="105"/>
      <c r="Q452" s="105"/>
      <c r="R452" s="105"/>
      <c r="S452" s="105"/>
      <c r="T452" s="105"/>
      <c r="U452" s="105"/>
      <c r="V452" s="105"/>
    </row>
    <row r="453" spans="2:47" outlineLevel="1" x14ac:dyDescent="0.2">
      <c r="F453" s="467"/>
    </row>
    <row r="454" spans="2:47" outlineLevel="1" collapsed="1" x14ac:dyDescent="0.2">
      <c r="D454" s="103" t="s">
        <v>840</v>
      </c>
      <c r="F454" s="467"/>
    </row>
    <row r="455" spans="2:47" outlineLevel="1" x14ac:dyDescent="0.2">
      <c r="D455" s="103" t="s">
        <v>224</v>
      </c>
      <c r="F455" s="467"/>
      <c r="AI455" s="209">
        <v>1</v>
      </c>
      <c r="AJ455" s="209">
        <v>2</v>
      </c>
      <c r="AK455" s="209">
        <v>3</v>
      </c>
      <c r="AL455" s="209">
        <v>4</v>
      </c>
      <c r="AM455" s="209">
        <v>5</v>
      </c>
      <c r="AN455" s="209">
        <v>6</v>
      </c>
      <c r="AP455" s="209">
        <v>1</v>
      </c>
      <c r="AQ455" s="209">
        <v>2</v>
      </c>
      <c r="AR455" s="209">
        <v>3</v>
      </c>
      <c r="AS455" s="209">
        <v>4</v>
      </c>
      <c r="AT455" s="209">
        <v>5</v>
      </c>
      <c r="AU455" s="209">
        <v>6</v>
      </c>
    </row>
    <row r="456" spans="2:47" outlineLevel="1" x14ac:dyDescent="0.2">
      <c r="F456" s="467"/>
      <c r="AI456" s="617" t="str">
        <f>AH112</f>
        <v/>
      </c>
      <c r="AJ456" s="617"/>
      <c r="AK456" s="617"/>
      <c r="AL456" s="617"/>
      <c r="AM456" s="617"/>
      <c r="AN456" s="617"/>
      <c r="AP456" s="617" t="str">
        <f>AO112</f>
        <v/>
      </c>
      <c r="AQ456" s="617"/>
      <c r="AR456" s="617"/>
      <c r="AS456" s="617"/>
      <c r="AT456" s="617"/>
      <c r="AU456" s="617"/>
    </row>
    <row r="457" spans="2:47" ht="38.25" outlineLevel="1" x14ac:dyDescent="0.2">
      <c r="D457" s="61" t="s">
        <v>297</v>
      </c>
      <c r="E457" s="656" t="s">
        <v>797</v>
      </c>
      <c r="F457" s="657"/>
      <c r="G457" s="61" t="s">
        <v>34</v>
      </c>
      <c r="H457" s="61" t="s">
        <v>75</v>
      </c>
      <c r="I457" s="61" t="s">
        <v>421</v>
      </c>
      <c r="J457" s="61" t="s">
        <v>76</v>
      </c>
      <c r="K457" s="61" t="s">
        <v>743</v>
      </c>
      <c r="L457" s="61" t="s">
        <v>1241</v>
      </c>
      <c r="M457" s="61" t="str">
        <f>"Number of services / patient / " &amp; IF(TxDuration=3,"course","year")</f>
        <v>Number of services / patient / year</v>
      </c>
      <c r="N457" s="61" t="s">
        <v>1242</v>
      </c>
      <c r="O457" s="61" t="s">
        <v>225</v>
      </c>
      <c r="P457" s="61" t="s">
        <v>56</v>
      </c>
      <c r="Q457" s="61" t="s">
        <v>354</v>
      </c>
      <c r="R457" s="656" t="s">
        <v>1178</v>
      </c>
      <c r="S457" s="656"/>
      <c r="T457" s="656"/>
      <c r="U457" s="656"/>
      <c r="V457" s="656"/>
      <c r="AB457" s="204" t="s">
        <v>300</v>
      </c>
      <c r="AC457" s="204" t="s">
        <v>298</v>
      </c>
      <c r="AD457" s="204" t="s">
        <v>299</v>
      </c>
      <c r="AE457" s="204" t="s">
        <v>282</v>
      </c>
      <c r="AF457" s="204" t="s">
        <v>936</v>
      </c>
      <c r="AG457" s="355" t="s">
        <v>1179</v>
      </c>
      <c r="AI457" s="204">
        <f>FirstYear</f>
        <v>2026</v>
      </c>
      <c r="AJ457" s="204">
        <f>AI457+1</f>
        <v>2027</v>
      </c>
      <c r="AK457" s="204">
        <f>AJ457+1</f>
        <v>2028</v>
      </c>
      <c r="AL457" s="204">
        <f>AK457+1</f>
        <v>2029</v>
      </c>
      <c r="AM457" s="204">
        <f>AL457+1</f>
        <v>2030</v>
      </c>
      <c r="AN457" s="204">
        <f>AM457+1</f>
        <v>2031</v>
      </c>
      <c r="AP457" s="204">
        <f>FirstYear</f>
        <v>2026</v>
      </c>
      <c r="AQ457" s="204">
        <f>AP457+1</f>
        <v>2027</v>
      </c>
      <c r="AR457" s="204">
        <f>AQ457+1</f>
        <v>2028</v>
      </c>
      <c r="AS457" s="204">
        <f>AR457+1</f>
        <v>2029</v>
      </c>
      <c r="AT457" s="204">
        <f>AS457+1</f>
        <v>2030</v>
      </c>
      <c r="AU457" s="204">
        <f>AT457+1</f>
        <v>2031</v>
      </c>
    </row>
    <row r="458" spans="2:47" outlineLevel="1" x14ac:dyDescent="0.2">
      <c r="C458" s="209">
        <v>1</v>
      </c>
      <c r="D458" s="316"/>
      <c r="E458" s="603"/>
      <c r="F458" s="612"/>
      <c r="G458" s="45" t="str">
        <f t="shared" ref="G458:G467" si="330">IFERROR(INDEX(ServiceSplitPublic,K458),"")</f>
        <v/>
      </c>
      <c r="H458" s="45" t="str">
        <f t="shared" ref="H458:H467" si="331">IFERROR(INDEX(ServiceSplitPrivate,K458),"")</f>
        <v/>
      </c>
      <c r="I458" s="133"/>
      <c r="J458" s="45" t="str">
        <f t="shared" ref="J458:J467" si="332">IF(I458&lt;&gt;"",1-I458,"")</f>
        <v/>
      </c>
      <c r="K458" s="70"/>
      <c r="L458" s="70"/>
      <c r="M458" s="51"/>
      <c r="N458" s="51"/>
      <c r="O458" s="361"/>
      <c r="P458" s="227"/>
      <c r="Q458" s="210"/>
      <c r="R458" s="611"/>
      <c r="S458" s="611"/>
      <c r="T458" s="611"/>
      <c r="U458" s="611"/>
      <c r="V458" s="611"/>
      <c r="AB458" s="65" t="str">
        <f t="shared" ref="AB458:AB477" si="333">IF(INDEX(MBSDecItems,C458,1)&lt;&gt;"",INDEX(MBSDecItems,C458,1) &amp; " - " &amp; INDEX(MBSDecItems,C458,2),MsgNotUsed)</f>
        <v>** NOT USED **</v>
      </c>
      <c r="AC458" s="209">
        <f>IF(AD458=1,-1,1)</f>
        <v>1</v>
      </c>
      <c r="AD458" s="209">
        <f t="shared" ref="AD458:AD477" si="334">IFERROR(MATCH(L458,MBSBasis,0),0)</f>
        <v>0</v>
      </c>
      <c r="AE458" s="346">
        <f t="shared" ref="AE458:AE477" si="335">IFERROR(VLOOKUP(P458,TPShortCode,2,FALSE)-1,0)</f>
        <v>0</v>
      </c>
      <c r="AF458" s="346">
        <f t="shared" ref="AF458:AF477" si="336">CHOOSE(AD458+1,0,M458,N458)</f>
        <v>0</v>
      </c>
      <c r="AG458" s="347">
        <f t="shared" ref="AG458:AG477" ca="1" si="337">IFERROR(MATCH(R458,DTGPops,0),0)</f>
        <v>0</v>
      </c>
      <c r="AI458" s="369">
        <f t="shared" ref="AI458:AN467" ca="1" si="338">IF($AG458&lt;&gt;0,INDEX(PxTxPhase1Adj,$AG458,AI$455),0)</f>
        <v>0</v>
      </c>
      <c r="AJ458" s="369">
        <f t="shared" ca="1" si="338"/>
        <v>0</v>
      </c>
      <c r="AK458" s="369">
        <f t="shared" ca="1" si="338"/>
        <v>0</v>
      </c>
      <c r="AL458" s="369">
        <f t="shared" ca="1" si="338"/>
        <v>0</v>
      </c>
      <c r="AM458" s="369">
        <f t="shared" ca="1" si="338"/>
        <v>0</v>
      </c>
      <c r="AN458" s="369">
        <f t="shared" ca="1" si="338"/>
        <v>0</v>
      </c>
      <c r="AP458" s="369">
        <f t="shared" ref="AP458:AU467" ca="1" si="339">IF($AG458&lt;&gt;0,INDEX(PxTxPhase2Adj,$AG458,AP$455),0)</f>
        <v>0</v>
      </c>
      <c r="AQ458" s="369">
        <f t="shared" ca="1" si="339"/>
        <v>0</v>
      </c>
      <c r="AR458" s="369">
        <f t="shared" ca="1" si="339"/>
        <v>0</v>
      </c>
      <c r="AS458" s="369">
        <f t="shared" ca="1" si="339"/>
        <v>0</v>
      </c>
      <c r="AT458" s="369">
        <f t="shared" ca="1" si="339"/>
        <v>0</v>
      </c>
      <c r="AU458" s="369">
        <f t="shared" ca="1" si="339"/>
        <v>0</v>
      </c>
    </row>
    <row r="459" spans="2:47" outlineLevel="1" x14ac:dyDescent="0.2">
      <c r="C459" s="209">
        <v>2</v>
      </c>
      <c r="D459" s="316"/>
      <c r="E459" s="603"/>
      <c r="F459" s="612"/>
      <c r="G459" s="45" t="str">
        <f t="shared" si="330"/>
        <v/>
      </c>
      <c r="H459" s="45" t="str">
        <f t="shared" si="331"/>
        <v/>
      </c>
      <c r="I459" s="133"/>
      <c r="J459" s="45" t="str">
        <f t="shared" si="332"/>
        <v/>
      </c>
      <c r="K459" s="70"/>
      <c r="L459" s="70"/>
      <c r="M459" s="51"/>
      <c r="N459" s="51"/>
      <c r="O459" s="361"/>
      <c r="P459" s="227"/>
      <c r="Q459" s="210"/>
      <c r="R459" s="611"/>
      <c r="S459" s="611"/>
      <c r="T459" s="611"/>
      <c r="U459" s="611"/>
      <c r="V459" s="611"/>
      <c r="AB459" s="65" t="str">
        <f t="shared" si="333"/>
        <v>** NOT USED **</v>
      </c>
      <c r="AC459" s="209">
        <f t="shared" ref="AC459:AC467" si="340">IF(AD459=1,-1,1)</f>
        <v>1</v>
      </c>
      <c r="AD459" s="209">
        <f t="shared" si="334"/>
        <v>0</v>
      </c>
      <c r="AE459" s="346">
        <f t="shared" si="335"/>
        <v>0</v>
      </c>
      <c r="AF459" s="346">
        <f t="shared" si="336"/>
        <v>0</v>
      </c>
      <c r="AG459" s="347">
        <f t="shared" ca="1" si="337"/>
        <v>0</v>
      </c>
      <c r="AI459" s="369">
        <f t="shared" ca="1" si="338"/>
        <v>0</v>
      </c>
      <c r="AJ459" s="369">
        <f t="shared" ca="1" si="338"/>
        <v>0</v>
      </c>
      <c r="AK459" s="369">
        <f t="shared" ca="1" si="338"/>
        <v>0</v>
      </c>
      <c r="AL459" s="369">
        <f t="shared" ca="1" si="338"/>
        <v>0</v>
      </c>
      <c r="AM459" s="369">
        <f t="shared" ca="1" si="338"/>
        <v>0</v>
      </c>
      <c r="AN459" s="369">
        <f t="shared" ca="1" si="338"/>
        <v>0</v>
      </c>
      <c r="AP459" s="369">
        <f t="shared" ca="1" si="339"/>
        <v>0</v>
      </c>
      <c r="AQ459" s="369">
        <f t="shared" ca="1" si="339"/>
        <v>0</v>
      </c>
      <c r="AR459" s="369">
        <f t="shared" ca="1" si="339"/>
        <v>0</v>
      </c>
      <c r="AS459" s="369">
        <f t="shared" ca="1" si="339"/>
        <v>0</v>
      </c>
      <c r="AT459" s="369">
        <f t="shared" ca="1" si="339"/>
        <v>0</v>
      </c>
      <c r="AU459" s="369">
        <f t="shared" ca="1" si="339"/>
        <v>0</v>
      </c>
    </row>
    <row r="460" spans="2:47" outlineLevel="1" x14ac:dyDescent="0.2">
      <c r="C460" s="209">
        <v>3</v>
      </c>
      <c r="D460" s="316"/>
      <c r="E460" s="603"/>
      <c r="F460" s="612"/>
      <c r="G460" s="45" t="str">
        <f t="shared" si="330"/>
        <v/>
      </c>
      <c r="H460" s="45" t="str">
        <f t="shared" si="331"/>
        <v/>
      </c>
      <c r="I460" s="133"/>
      <c r="J460" s="45" t="str">
        <f t="shared" si="332"/>
        <v/>
      </c>
      <c r="K460" s="70"/>
      <c r="L460" s="70"/>
      <c r="M460" s="51"/>
      <c r="N460" s="51"/>
      <c r="O460" s="361"/>
      <c r="P460" s="227"/>
      <c r="Q460" s="210"/>
      <c r="R460" s="611"/>
      <c r="S460" s="611"/>
      <c r="T460" s="611"/>
      <c r="U460" s="611"/>
      <c r="V460" s="611"/>
      <c r="AB460" s="65" t="str">
        <f t="shared" si="333"/>
        <v>** NOT USED **</v>
      </c>
      <c r="AC460" s="209">
        <f t="shared" si="340"/>
        <v>1</v>
      </c>
      <c r="AD460" s="209">
        <f t="shared" si="334"/>
        <v>0</v>
      </c>
      <c r="AE460" s="346">
        <f t="shared" si="335"/>
        <v>0</v>
      </c>
      <c r="AF460" s="346">
        <f t="shared" si="336"/>
        <v>0</v>
      </c>
      <c r="AG460" s="347">
        <f t="shared" ca="1" si="337"/>
        <v>0</v>
      </c>
      <c r="AI460" s="369">
        <f t="shared" ca="1" si="338"/>
        <v>0</v>
      </c>
      <c r="AJ460" s="369">
        <f t="shared" ca="1" si="338"/>
        <v>0</v>
      </c>
      <c r="AK460" s="369">
        <f t="shared" ca="1" si="338"/>
        <v>0</v>
      </c>
      <c r="AL460" s="369">
        <f t="shared" ca="1" si="338"/>
        <v>0</v>
      </c>
      <c r="AM460" s="369">
        <f t="shared" ca="1" si="338"/>
        <v>0</v>
      </c>
      <c r="AN460" s="369">
        <f t="shared" ca="1" si="338"/>
        <v>0</v>
      </c>
      <c r="AP460" s="369">
        <f t="shared" ca="1" si="339"/>
        <v>0</v>
      </c>
      <c r="AQ460" s="369">
        <f t="shared" ca="1" si="339"/>
        <v>0</v>
      </c>
      <c r="AR460" s="369">
        <f t="shared" ca="1" si="339"/>
        <v>0</v>
      </c>
      <c r="AS460" s="369">
        <f t="shared" ca="1" si="339"/>
        <v>0</v>
      </c>
      <c r="AT460" s="369">
        <f t="shared" ca="1" si="339"/>
        <v>0</v>
      </c>
      <c r="AU460" s="369">
        <f t="shared" ca="1" si="339"/>
        <v>0</v>
      </c>
    </row>
    <row r="461" spans="2:47" outlineLevel="1" x14ac:dyDescent="0.2">
      <c r="C461" s="209">
        <v>4</v>
      </c>
      <c r="D461" s="316"/>
      <c r="E461" s="603"/>
      <c r="F461" s="612"/>
      <c r="G461" s="45" t="str">
        <f t="shared" si="330"/>
        <v/>
      </c>
      <c r="H461" s="45" t="str">
        <f t="shared" si="331"/>
        <v/>
      </c>
      <c r="I461" s="133"/>
      <c r="J461" s="45" t="str">
        <f t="shared" si="332"/>
        <v/>
      </c>
      <c r="K461" s="70"/>
      <c r="L461" s="70"/>
      <c r="M461" s="51"/>
      <c r="N461" s="51"/>
      <c r="O461" s="361"/>
      <c r="P461" s="227"/>
      <c r="Q461" s="210"/>
      <c r="R461" s="611"/>
      <c r="S461" s="611"/>
      <c r="T461" s="611"/>
      <c r="U461" s="611"/>
      <c r="V461" s="611"/>
      <c r="AB461" s="65" t="str">
        <f t="shared" si="333"/>
        <v>** NOT USED **</v>
      </c>
      <c r="AC461" s="209">
        <f t="shared" si="340"/>
        <v>1</v>
      </c>
      <c r="AD461" s="209">
        <f t="shared" si="334"/>
        <v>0</v>
      </c>
      <c r="AE461" s="346">
        <f t="shared" si="335"/>
        <v>0</v>
      </c>
      <c r="AF461" s="346">
        <f t="shared" si="336"/>
        <v>0</v>
      </c>
      <c r="AG461" s="347">
        <f t="shared" ca="1" si="337"/>
        <v>0</v>
      </c>
      <c r="AI461" s="369">
        <f t="shared" ca="1" si="338"/>
        <v>0</v>
      </c>
      <c r="AJ461" s="369">
        <f t="shared" ca="1" si="338"/>
        <v>0</v>
      </c>
      <c r="AK461" s="369">
        <f t="shared" ca="1" si="338"/>
        <v>0</v>
      </c>
      <c r="AL461" s="369">
        <f t="shared" ca="1" si="338"/>
        <v>0</v>
      </c>
      <c r="AM461" s="369">
        <f t="shared" ca="1" si="338"/>
        <v>0</v>
      </c>
      <c r="AN461" s="369">
        <f t="shared" ca="1" si="338"/>
        <v>0</v>
      </c>
      <c r="AP461" s="369">
        <f t="shared" ca="1" si="339"/>
        <v>0</v>
      </c>
      <c r="AQ461" s="369">
        <f t="shared" ca="1" si="339"/>
        <v>0</v>
      </c>
      <c r="AR461" s="369">
        <f t="shared" ca="1" si="339"/>
        <v>0</v>
      </c>
      <c r="AS461" s="369">
        <f t="shared" ca="1" si="339"/>
        <v>0</v>
      </c>
      <c r="AT461" s="369">
        <f t="shared" ca="1" si="339"/>
        <v>0</v>
      </c>
      <c r="AU461" s="369">
        <f t="shared" ca="1" si="339"/>
        <v>0</v>
      </c>
    </row>
    <row r="462" spans="2:47" outlineLevel="1" x14ac:dyDescent="0.2">
      <c r="C462" s="209">
        <v>5</v>
      </c>
      <c r="D462" s="316"/>
      <c r="E462" s="603"/>
      <c r="F462" s="612"/>
      <c r="G462" s="45" t="str">
        <f t="shared" si="330"/>
        <v/>
      </c>
      <c r="H462" s="45" t="str">
        <f t="shared" si="331"/>
        <v/>
      </c>
      <c r="I462" s="133"/>
      <c r="J462" s="45" t="str">
        <f t="shared" si="332"/>
        <v/>
      </c>
      <c r="K462" s="70"/>
      <c r="L462" s="70"/>
      <c r="M462" s="51"/>
      <c r="N462" s="51"/>
      <c r="O462" s="361"/>
      <c r="P462" s="227"/>
      <c r="Q462" s="210"/>
      <c r="R462" s="611"/>
      <c r="S462" s="611"/>
      <c r="T462" s="611"/>
      <c r="U462" s="611"/>
      <c r="V462" s="611"/>
      <c r="AB462" s="65" t="str">
        <f t="shared" si="333"/>
        <v>** NOT USED **</v>
      </c>
      <c r="AC462" s="209">
        <f t="shared" si="340"/>
        <v>1</v>
      </c>
      <c r="AD462" s="209">
        <f t="shared" si="334"/>
        <v>0</v>
      </c>
      <c r="AE462" s="346">
        <f t="shared" si="335"/>
        <v>0</v>
      </c>
      <c r="AF462" s="346">
        <f t="shared" si="336"/>
        <v>0</v>
      </c>
      <c r="AG462" s="347">
        <f t="shared" ca="1" si="337"/>
        <v>0</v>
      </c>
      <c r="AI462" s="369">
        <f t="shared" ca="1" si="338"/>
        <v>0</v>
      </c>
      <c r="AJ462" s="369">
        <f t="shared" ca="1" si="338"/>
        <v>0</v>
      </c>
      <c r="AK462" s="369">
        <f t="shared" ca="1" si="338"/>
        <v>0</v>
      </c>
      <c r="AL462" s="369">
        <f t="shared" ca="1" si="338"/>
        <v>0</v>
      </c>
      <c r="AM462" s="369">
        <f t="shared" ca="1" si="338"/>
        <v>0</v>
      </c>
      <c r="AN462" s="369">
        <f t="shared" ca="1" si="338"/>
        <v>0</v>
      </c>
      <c r="AP462" s="369">
        <f t="shared" ca="1" si="339"/>
        <v>0</v>
      </c>
      <c r="AQ462" s="369">
        <f t="shared" ca="1" si="339"/>
        <v>0</v>
      </c>
      <c r="AR462" s="369">
        <f t="shared" ca="1" si="339"/>
        <v>0</v>
      </c>
      <c r="AS462" s="369">
        <f t="shared" ca="1" si="339"/>
        <v>0</v>
      </c>
      <c r="AT462" s="369">
        <f t="shared" ca="1" si="339"/>
        <v>0</v>
      </c>
      <c r="AU462" s="369">
        <f t="shared" ca="1" si="339"/>
        <v>0</v>
      </c>
    </row>
    <row r="463" spans="2:47" outlineLevel="1" x14ac:dyDescent="0.2">
      <c r="C463" s="209">
        <v>6</v>
      </c>
      <c r="D463" s="316"/>
      <c r="E463" s="603"/>
      <c r="F463" s="612"/>
      <c r="G463" s="45" t="str">
        <f t="shared" si="330"/>
        <v/>
      </c>
      <c r="H463" s="45" t="str">
        <f t="shared" si="331"/>
        <v/>
      </c>
      <c r="I463" s="133"/>
      <c r="J463" s="45" t="str">
        <f t="shared" si="332"/>
        <v/>
      </c>
      <c r="K463" s="70"/>
      <c r="L463" s="70"/>
      <c r="M463" s="51"/>
      <c r="N463" s="51"/>
      <c r="O463" s="361"/>
      <c r="P463" s="227"/>
      <c r="Q463" s="210"/>
      <c r="R463" s="611"/>
      <c r="S463" s="611"/>
      <c r="T463" s="611"/>
      <c r="U463" s="611"/>
      <c r="V463" s="611"/>
      <c r="AB463" s="65" t="str">
        <f t="shared" si="333"/>
        <v>** NOT USED **</v>
      </c>
      <c r="AC463" s="209">
        <f t="shared" si="340"/>
        <v>1</v>
      </c>
      <c r="AD463" s="209">
        <f t="shared" si="334"/>
        <v>0</v>
      </c>
      <c r="AE463" s="346">
        <f t="shared" si="335"/>
        <v>0</v>
      </c>
      <c r="AF463" s="346">
        <f t="shared" si="336"/>
        <v>0</v>
      </c>
      <c r="AG463" s="347">
        <f t="shared" ca="1" si="337"/>
        <v>0</v>
      </c>
      <c r="AI463" s="369">
        <f t="shared" ca="1" si="338"/>
        <v>0</v>
      </c>
      <c r="AJ463" s="369">
        <f t="shared" ca="1" si="338"/>
        <v>0</v>
      </c>
      <c r="AK463" s="369">
        <f t="shared" ca="1" si="338"/>
        <v>0</v>
      </c>
      <c r="AL463" s="369">
        <f t="shared" ca="1" si="338"/>
        <v>0</v>
      </c>
      <c r="AM463" s="369">
        <f t="shared" ca="1" si="338"/>
        <v>0</v>
      </c>
      <c r="AN463" s="369">
        <f t="shared" ca="1" si="338"/>
        <v>0</v>
      </c>
      <c r="AP463" s="369">
        <f t="shared" ca="1" si="339"/>
        <v>0</v>
      </c>
      <c r="AQ463" s="369">
        <f t="shared" ca="1" si="339"/>
        <v>0</v>
      </c>
      <c r="AR463" s="369">
        <f t="shared" ca="1" si="339"/>
        <v>0</v>
      </c>
      <c r="AS463" s="369">
        <f t="shared" ca="1" si="339"/>
        <v>0</v>
      </c>
      <c r="AT463" s="369">
        <f t="shared" ca="1" si="339"/>
        <v>0</v>
      </c>
      <c r="AU463" s="369">
        <f t="shared" ca="1" si="339"/>
        <v>0</v>
      </c>
    </row>
    <row r="464" spans="2:47" outlineLevel="1" x14ac:dyDescent="0.2">
      <c r="C464" s="209">
        <v>7</v>
      </c>
      <c r="D464" s="316"/>
      <c r="E464" s="603"/>
      <c r="F464" s="612"/>
      <c r="G464" s="45" t="str">
        <f t="shared" si="330"/>
        <v/>
      </c>
      <c r="H464" s="45" t="str">
        <f t="shared" si="331"/>
        <v/>
      </c>
      <c r="I464" s="133"/>
      <c r="J464" s="45" t="str">
        <f t="shared" si="332"/>
        <v/>
      </c>
      <c r="K464" s="70"/>
      <c r="L464" s="70"/>
      <c r="M464" s="51"/>
      <c r="N464" s="51"/>
      <c r="O464" s="361"/>
      <c r="P464" s="227"/>
      <c r="Q464" s="210"/>
      <c r="R464" s="611"/>
      <c r="S464" s="611"/>
      <c r="T464" s="611"/>
      <c r="U464" s="611"/>
      <c r="V464" s="611"/>
      <c r="AB464" s="65" t="str">
        <f t="shared" si="333"/>
        <v>** NOT USED **</v>
      </c>
      <c r="AC464" s="209">
        <f t="shared" si="340"/>
        <v>1</v>
      </c>
      <c r="AD464" s="209">
        <f t="shared" si="334"/>
        <v>0</v>
      </c>
      <c r="AE464" s="346">
        <f t="shared" si="335"/>
        <v>0</v>
      </c>
      <c r="AF464" s="346">
        <f t="shared" si="336"/>
        <v>0</v>
      </c>
      <c r="AG464" s="347">
        <f t="shared" ca="1" si="337"/>
        <v>0</v>
      </c>
      <c r="AI464" s="369">
        <f t="shared" ca="1" si="338"/>
        <v>0</v>
      </c>
      <c r="AJ464" s="369">
        <f t="shared" ca="1" si="338"/>
        <v>0</v>
      </c>
      <c r="AK464" s="369">
        <f t="shared" ca="1" si="338"/>
        <v>0</v>
      </c>
      <c r="AL464" s="369">
        <f t="shared" ca="1" si="338"/>
        <v>0</v>
      </c>
      <c r="AM464" s="369">
        <f t="shared" ca="1" si="338"/>
        <v>0</v>
      </c>
      <c r="AN464" s="369">
        <f t="shared" ca="1" si="338"/>
        <v>0</v>
      </c>
      <c r="AP464" s="369">
        <f t="shared" ca="1" si="339"/>
        <v>0</v>
      </c>
      <c r="AQ464" s="369">
        <f t="shared" ca="1" si="339"/>
        <v>0</v>
      </c>
      <c r="AR464" s="369">
        <f t="shared" ca="1" si="339"/>
        <v>0</v>
      </c>
      <c r="AS464" s="369">
        <f t="shared" ca="1" si="339"/>
        <v>0</v>
      </c>
      <c r="AT464" s="369">
        <f t="shared" ca="1" si="339"/>
        <v>0</v>
      </c>
      <c r="AU464" s="369">
        <f t="shared" ca="1" si="339"/>
        <v>0</v>
      </c>
    </row>
    <row r="465" spans="3:47" outlineLevel="1" x14ac:dyDescent="0.2">
      <c r="C465" s="209">
        <v>8</v>
      </c>
      <c r="D465" s="316"/>
      <c r="E465" s="603"/>
      <c r="F465" s="612"/>
      <c r="G465" s="45" t="str">
        <f t="shared" si="330"/>
        <v/>
      </c>
      <c r="H465" s="45" t="str">
        <f t="shared" si="331"/>
        <v/>
      </c>
      <c r="I465" s="133"/>
      <c r="J465" s="45" t="str">
        <f t="shared" si="332"/>
        <v/>
      </c>
      <c r="K465" s="70"/>
      <c r="L465" s="70"/>
      <c r="M465" s="51"/>
      <c r="N465" s="51"/>
      <c r="O465" s="361"/>
      <c r="P465" s="227"/>
      <c r="Q465" s="210"/>
      <c r="R465" s="611"/>
      <c r="S465" s="611"/>
      <c r="T465" s="611"/>
      <c r="U465" s="611"/>
      <c r="V465" s="611"/>
      <c r="AB465" s="65" t="str">
        <f t="shared" si="333"/>
        <v>** NOT USED **</v>
      </c>
      <c r="AC465" s="209">
        <f t="shared" si="340"/>
        <v>1</v>
      </c>
      <c r="AD465" s="209">
        <f t="shared" si="334"/>
        <v>0</v>
      </c>
      <c r="AE465" s="346">
        <f t="shared" si="335"/>
        <v>0</v>
      </c>
      <c r="AF465" s="346">
        <f t="shared" si="336"/>
        <v>0</v>
      </c>
      <c r="AG465" s="347">
        <f t="shared" ca="1" si="337"/>
        <v>0</v>
      </c>
      <c r="AI465" s="369">
        <f t="shared" ca="1" si="338"/>
        <v>0</v>
      </c>
      <c r="AJ465" s="369">
        <f t="shared" ca="1" si="338"/>
        <v>0</v>
      </c>
      <c r="AK465" s="369">
        <f t="shared" ca="1" si="338"/>
        <v>0</v>
      </c>
      <c r="AL465" s="369">
        <f t="shared" ca="1" si="338"/>
        <v>0</v>
      </c>
      <c r="AM465" s="369">
        <f t="shared" ca="1" si="338"/>
        <v>0</v>
      </c>
      <c r="AN465" s="369">
        <f t="shared" ca="1" si="338"/>
        <v>0</v>
      </c>
      <c r="AP465" s="369">
        <f t="shared" ca="1" si="339"/>
        <v>0</v>
      </c>
      <c r="AQ465" s="369">
        <f t="shared" ca="1" si="339"/>
        <v>0</v>
      </c>
      <c r="AR465" s="369">
        <f t="shared" ca="1" si="339"/>
        <v>0</v>
      </c>
      <c r="AS465" s="369">
        <f t="shared" ca="1" si="339"/>
        <v>0</v>
      </c>
      <c r="AT465" s="369">
        <f t="shared" ca="1" si="339"/>
        <v>0</v>
      </c>
      <c r="AU465" s="369">
        <f t="shared" ca="1" si="339"/>
        <v>0</v>
      </c>
    </row>
    <row r="466" spans="3:47" outlineLevel="1" x14ac:dyDescent="0.2">
      <c r="C466" s="209">
        <v>9</v>
      </c>
      <c r="D466" s="316"/>
      <c r="E466" s="603"/>
      <c r="F466" s="612"/>
      <c r="G466" s="45" t="str">
        <f t="shared" si="330"/>
        <v/>
      </c>
      <c r="H466" s="45" t="str">
        <f t="shared" si="331"/>
        <v/>
      </c>
      <c r="I466" s="133"/>
      <c r="J466" s="45" t="str">
        <f t="shared" si="332"/>
        <v/>
      </c>
      <c r="K466" s="70"/>
      <c r="L466" s="70"/>
      <c r="M466" s="51"/>
      <c r="N466" s="51"/>
      <c r="O466" s="361"/>
      <c r="P466" s="227"/>
      <c r="Q466" s="210"/>
      <c r="R466" s="611"/>
      <c r="S466" s="611"/>
      <c r="T466" s="611"/>
      <c r="U466" s="611"/>
      <c r="V466" s="611"/>
      <c r="AB466" s="65" t="str">
        <f t="shared" si="333"/>
        <v>** NOT USED **</v>
      </c>
      <c r="AC466" s="209">
        <f t="shared" si="340"/>
        <v>1</v>
      </c>
      <c r="AD466" s="209">
        <f t="shared" si="334"/>
        <v>0</v>
      </c>
      <c r="AE466" s="346">
        <f t="shared" si="335"/>
        <v>0</v>
      </c>
      <c r="AF466" s="346">
        <f t="shared" si="336"/>
        <v>0</v>
      </c>
      <c r="AG466" s="347">
        <f t="shared" ca="1" si="337"/>
        <v>0</v>
      </c>
      <c r="AI466" s="369">
        <f t="shared" ca="1" si="338"/>
        <v>0</v>
      </c>
      <c r="AJ466" s="369">
        <f t="shared" ca="1" si="338"/>
        <v>0</v>
      </c>
      <c r="AK466" s="369">
        <f t="shared" ca="1" si="338"/>
        <v>0</v>
      </c>
      <c r="AL466" s="369">
        <f t="shared" ca="1" si="338"/>
        <v>0</v>
      </c>
      <c r="AM466" s="369">
        <f t="shared" ca="1" si="338"/>
        <v>0</v>
      </c>
      <c r="AN466" s="369">
        <f t="shared" ca="1" si="338"/>
        <v>0</v>
      </c>
      <c r="AP466" s="369">
        <f t="shared" ca="1" si="339"/>
        <v>0</v>
      </c>
      <c r="AQ466" s="369">
        <f t="shared" ca="1" si="339"/>
        <v>0</v>
      </c>
      <c r="AR466" s="369">
        <f t="shared" ca="1" si="339"/>
        <v>0</v>
      </c>
      <c r="AS466" s="369">
        <f t="shared" ca="1" si="339"/>
        <v>0</v>
      </c>
      <c r="AT466" s="369">
        <f t="shared" ca="1" si="339"/>
        <v>0</v>
      </c>
      <c r="AU466" s="369">
        <f t="shared" ca="1" si="339"/>
        <v>0</v>
      </c>
    </row>
    <row r="467" spans="3:47" outlineLevel="1" x14ac:dyDescent="0.2">
      <c r="C467" s="209">
        <v>10</v>
      </c>
      <c r="D467" s="316"/>
      <c r="E467" s="603"/>
      <c r="F467" s="612"/>
      <c r="G467" s="45" t="str">
        <f t="shared" si="330"/>
        <v/>
      </c>
      <c r="H467" s="45" t="str">
        <f t="shared" si="331"/>
        <v/>
      </c>
      <c r="I467" s="133"/>
      <c r="J467" s="45" t="str">
        <f t="shared" si="332"/>
        <v/>
      </c>
      <c r="K467" s="70"/>
      <c r="L467" s="70"/>
      <c r="M467" s="51"/>
      <c r="N467" s="51"/>
      <c r="O467" s="361"/>
      <c r="P467" s="227"/>
      <c r="Q467" s="210"/>
      <c r="R467" s="611"/>
      <c r="S467" s="611"/>
      <c r="T467" s="611"/>
      <c r="U467" s="611"/>
      <c r="V467" s="611"/>
      <c r="AB467" s="65" t="str">
        <f t="shared" si="333"/>
        <v>** NOT USED **</v>
      </c>
      <c r="AC467" s="209">
        <f t="shared" si="340"/>
        <v>1</v>
      </c>
      <c r="AD467" s="209">
        <f t="shared" si="334"/>
        <v>0</v>
      </c>
      <c r="AE467" s="346">
        <f t="shared" si="335"/>
        <v>0</v>
      </c>
      <c r="AF467" s="346">
        <f t="shared" si="336"/>
        <v>0</v>
      </c>
      <c r="AG467" s="347">
        <f t="shared" ca="1" si="337"/>
        <v>0</v>
      </c>
      <c r="AI467" s="369">
        <f t="shared" ca="1" si="338"/>
        <v>0</v>
      </c>
      <c r="AJ467" s="369">
        <f t="shared" ca="1" si="338"/>
        <v>0</v>
      </c>
      <c r="AK467" s="369">
        <f t="shared" ca="1" si="338"/>
        <v>0</v>
      </c>
      <c r="AL467" s="369">
        <f t="shared" ca="1" si="338"/>
        <v>0</v>
      </c>
      <c r="AM467" s="369">
        <f t="shared" ca="1" si="338"/>
        <v>0</v>
      </c>
      <c r="AN467" s="369">
        <f t="shared" ca="1" si="338"/>
        <v>0</v>
      </c>
      <c r="AP467" s="369">
        <f t="shared" ca="1" si="339"/>
        <v>0</v>
      </c>
      <c r="AQ467" s="369">
        <f t="shared" ca="1" si="339"/>
        <v>0</v>
      </c>
      <c r="AR467" s="369">
        <f t="shared" ca="1" si="339"/>
        <v>0</v>
      </c>
      <c r="AS467" s="369">
        <f t="shared" ca="1" si="339"/>
        <v>0</v>
      </c>
      <c r="AT467" s="369">
        <f t="shared" ca="1" si="339"/>
        <v>0</v>
      </c>
      <c r="AU467" s="369">
        <f t="shared" ca="1" si="339"/>
        <v>0</v>
      </c>
    </row>
    <row r="468" spans="3:47" outlineLevel="1" x14ac:dyDescent="0.2">
      <c r="C468" s="209">
        <v>11</v>
      </c>
      <c r="D468" s="316"/>
      <c r="E468" s="603"/>
      <c r="F468" s="612"/>
      <c r="G468" s="45" t="str">
        <f t="shared" ref="G468:G477" si="341">IFERROR(INDEX(ServiceSplitPublic,K468),"")</f>
        <v/>
      </c>
      <c r="H468" s="45" t="str">
        <f t="shared" ref="H468:H477" si="342">IFERROR(INDEX(ServiceSplitPrivate,K468),"")</f>
        <v/>
      </c>
      <c r="I468" s="133"/>
      <c r="J468" s="45" t="str">
        <f t="shared" ref="J468:J477" si="343">IF(I468&lt;&gt;"",1-I468,"")</f>
        <v/>
      </c>
      <c r="K468" s="70"/>
      <c r="L468" s="70"/>
      <c r="M468" s="51"/>
      <c r="N468" s="51"/>
      <c r="O468" s="361"/>
      <c r="P468" s="227"/>
      <c r="Q468" s="210"/>
      <c r="R468" s="611"/>
      <c r="S468" s="611"/>
      <c r="T468" s="611"/>
      <c r="U468" s="611"/>
      <c r="V468" s="611"/>
      <c r="AB468" s="65" t="str">
        <f t="shared" si="333"/>
        <v>** NOT USED **</v>
      </c>
      <c r="AC468" s="209">
        <f t="shared" ref="AC468:AC477" si="344">IF(AD468=1,-1,1)</f>
        <v>1</v>
      </c>
      <c r="AD468" s="209">
        <f t="shared" si="334"/>
        <v>0</v>
      </c>
      <c r="AE468" s="346">
        <f t="shared" si="335"/>
        <v>0</v>
      </c>
      <c r="AF468" s="346">
        <f t="shared" si="336"/>
        <v>0</v>
      </c>
      <c r="AG468" s="347">
        <f t="shared" ca="1" si="337"/>
        <v>0</v>
      </c>
      <c r="AI468" s="369">
        <f t="shared" ref="AI468:AN477" ca="1" si="345">IF($AG468&lt;&gt;0,INDEX(PxTxPhase1Adj,$AG468,AI$455),0)</f>
        <v>0</v>
      </c>
      <c r="AJ468" s="369">
        <f t="shared" ca="1" si="345"/>
        <v>0</v>
      </c>
      <c r="AK468" s="369">
        <f t="shared" ca="1" si="345"/>
        <v>0</v>
      </c>
      <c r="AL468" s="369">
        <f t="shared" ca="1" si="345"/>
        <v>0</v>
      </c>
      <c r="AM468" s="369">
        <f t="shared" ca="1" si="345"/>
        <v>0</v>
      </c>
      <c r="AN468" s="369">
        <f t="shared" ca="1" si="345"/>
        <v>0</v>
      </c>
      <c r="AP468" s="369">
        <f t="shared" ref="AP468:AU477" ca="1" si="346">IF($AG468&lt;&gt;0,INDEX(PxTxPhase2Adj,$AG468,AP$455),0)</f>
        <v>0</v>
      </c>
      <c r="AQ468" s="369">
        <f t="shared" ca="1" si="346"/>
        <v>0</v>
      </c>
      <c r="AR468" s="369">
        <f t="shared" ca="1" si="346"/>
        <v>0</v>
      </c>
      <c r="AS468" s="369">
        <f t="shared" ca="1" si="346"/>
        <v>0</v>
      </c>
      <c r="AT468" s="369">
        <f t="shared" ca="1" si="346"/>
        <v>0</v>
      </c>
      <c r="AU468" s="369">
        <f t="shared" ca="1" si="346"/>
        <v>0</v>
      </c>
    </row>
    <row r="469" spans="3:47" outlineLevel="1" x14ac:dyDescent="0.2">
      <c r="C469" s="209">
        <v>12</v>
      </c>
      <c r="D469" s="316"/>
      <c r="E469" s="603"/>
      <c r="F469" s="612"/>
      <c r="G469" s="45" t="str">
        <f t="shared" si="341"/>
        <v/>
      </c>
      <c r="H469" s="45" t="str">
        <f t="shared" si="342"/>
        <v/>
      </c>
      <c r="I469" s="133"/>
      <c r="J469" s="45" t="str">
        <f t="shared" si="343"/>
        <v/>
      </c>
      <c r="K469" s="70"/>
      <c r="L469" s="70"/>
      <c r="M469" s="51"/>
      <c r="N469" s="51"/>
      <c r="O469" s="361"/>
      <c r="P469" s="227"/>
      <c r="Q469" s="210"/>
      <c r="R469" s="611"/>
      <c r="S469" s="611"/>
      <c r="T469" s="611"/>
      <c r="U469" s="611"/>
      <c r="V469" s="611"/>
      <c r="AB469" s="65" t="str">
        <f t="shared" si="333"/>
        <v>** NOT USED **</v>
      </c>
      <c r="AC469" s="209">
        <f t="shared" si="344"/>
        <v>1</v>
      </c>
      <c r="AD469" s="209">
        <f t="shared" si="334"/>
        <v>0</v>
      </c>
      <c r="AE469" s="346">
        <f t="shared" si="335"/>
        <v>0</v>
      </c>
      <c r="AF469" s="346">
        <f t="shared" si="336"/>
        <v>0</v>
      </c>
      <c r="AG469" s="347">
        <f t="shared" ca="1" si="337"/>
        <v>0</v>
      </c>
      <c r="AI469" s="369">
        <f t="shared" ca="1" si="345"/>
        <v>0</v>
      </c>
      <c r="AJ469" s="369">
        <f t="shared" ca="1" si="345"/>
        <v>0</v>
      </c>
      <c r="AK469" s="369">
        <f t="shared" ca="1" si="345"/>
        <v>0</v>
      </c>
      <c r="AL469" s="369">
        <f t="shared" ca="1" si="345"/>
        <v>0</v>
      </c>
      <c r="AM469" s="369">
        <f t="shared" ca="1" si="345"/>
        <v>0</v>
      </c>
      <c r="AN469" s="369">
        <f t="shared" ca="1" si="345"/>
        <v>0</v>
      </c>
      <c r="AP469" s="369">
        <f t="shared" ca="1" si="346"/>
        <v>0</v>
      </c>
      <c r="AQ469" s="369">
        <f t="shared" ca="1" si="346"/>
        <v>0</v>
      </c>
      <c r="AR469" s="369">
        <f t="shared" ca="1" si="346"/>
        <v>0</v>
      </c>
      <c r="AS469" s="369">
        <f t="shared" ca="1" si="346"/>
        <v>0</v>
      </c>
      <c r="AT469" s="369">
        <f t="shared" ca="1" si="346"/>
        <v>0</v>
      </c>
      <c r="AU469" s="369">
        <f t="shared" ca="1" si="346"/>
        <v>0</v>
      </c>
    </row>
    <row r="470" spans="3:47" outlineLevel="1" x14ac:dyDescent="0.2">
      <c r="C470" s="209">
        <v>13</v>
      </c>
      <c r="D470" s="316"/>
      <c r="E470" s="603"/>
      <c r="F470" s="612"/>
      <c r="G470" s="45" t="str">
        <f t="shared" si="341"/>
        <v/>
      </c>
      <c r="H470" s="45" t="str">
        <f t="shared" si="342"/>
        <v/>
      </c>
      <c r="I470" s="133"/>
      <c r="J470" s="45" t="str">
        <f t="shared" si="343"/>
        <v/>
      </c>
      <c r="K470" s="70"/>
      <c r="L470" s="70"/>
      <c r="M470" s="51"/>
      <c r="N470" s="51"/>
      <c r="O470" s="361"/>
      <c r="P470" s="227"/>
      <c r="Q470" s="210"/>
      <c r="R470" s="611"/>
      <c r="S470" s="611"/>
      <c r="T470" s="611"/>
      <c r="U470" s="611"/>
      <c r="V470" s="611"/>
      <c r="AB470" s="65" t="str">
        <f t="shared" si="333"/>
        <v>** NOT USED **</v>
      </c>
      <c r="AC470" s="209">
        <f t="shared" si="344"/>
        <v>1</v>
      </c>
      <c r="AD470" s="209">
        <f t="shared" si="334"/>
        <v>0</v>
      </c>
      <c r="AE470" s="346">
        <f t="shared" si="335"/>
        <v>0</v>
      </c>
      <c r="AF470" s="346">
        <f t="shared" si="336"/>
        <v>0</v>
      </c>
      <c r="AG470" s="347">
        <f t="shared" ca="1" si="337"/>
        <v>0</v>
      </c>
      <c r="AI470" s="369">
        <f t="shared" ca="1" si="345"/>
        <v>0</v>
      </c>
      <c r="AJ470" s="369">
        <f t="shared" ca="1" si="345"/>
        <v>0</v>
      </c>
      <c r="AK470" s="369">
        <f t="shared" ca="1" si="345"/>
        <v>0</v>
      </c>
      <c r="AL470" s="369">
        <f t="shared" ca="1" si="345"/>
        <v>0</v>
      </c>
      <c r="AM470" s="369">
        <f t="shared" ca="1" si="345"/>
        <v>0</v>
      </c>
      <c r="AN470" s="369">
        <f t="shared" ca="1" si="345"/>
        <v>0</v>
      </c>
      <c r="AP470" s="369">
        <f t="shared" ca="1" si="346"/>
        <v>0</v>
      </c>
      <c r="AQ470" s="369">
        <f t="shared" ca="1" si="346"/>
        <v>0</v>
      </c>
      <c r="AR470" s="369">
        <f t="shared" ca="1" si="346"/>
        <v>0</v>
      </c>
      <c r="AS470" s="369">
        <f t="shared" ca="1" si="346"/>
        <v>0</v>
      </c>
      <c r="AT470" s="369">
        <f t="shared" ca="1" si="346"/>
        <v>0</v>
      </c>
      <c r="AU470" s="369">
        <f t="shared" ca="1" si="346"/>
        <v>0</v>
      </c>
    </row>
    <row r="471" spans="3:47" outlineLevel="1" x14ac:dyDescent="0.2">
      <c r="C471" s="209">
        <v>14</v>
      </c>
      <c r="D471" s="316"/>
      <c r="E471" s="603"/>
      <c r="F471" s="612"/>
      <c r="G471" s="45" t="str">
        <f t="shared" si="341"/>
        <v/>
      </c>
      <c r="H471" s="45" t="str">
        <f t="shared" si="342"/>
        <v/>
      </c>
      <c r="I471" s="133"/>
      <c r="J471" s="45" t="str">
        <f t="shared" si="343"/>
        <v/>
      </c>
      <c r="K471" s="70"/>
      <c r="L471" s="70"/>
      <c r="M471" s="51"/>
      <c r="N471" s="51"/>
      <c r="O471" s="361"/>
      <c r="P471" s="227"/>
      <c r="Q471" s="210"/>
      <c r="R471" s="611"/>
      <c r="S471" s="611"/>
      <c r="T471" s="611"/>
      <c r="U471" s="611"/>
      <c r="V471" s="611"/>
      <c r="AB471" s="65" t="str">
        <f t="shared" si="333"/>
        <v>** NOT USED **</v>
      </c>
      <c r="AC471" s="209">
        <f t="shared" si="344"/>
        <v>1</v>
      </c>
      <c r="AD471" s="209">
        <f t="shared" si="334"/>
        <v>0</v>
      </c>
      <c r="AE471" s="346">
        <f t="shared" si="335"/>
        <v>0</v>
      </c>
      <c r="AF471" s="346">
        <f t="shared" si="336"/>
        <v>0</v>
      </c>
      <c r="AG471" s="347">
        <f t="shared" ca="1" si="337"/>
        <v>0</v>
      </c>
      <c r="AI471" s="369">
        <f t="shared" ca="1" si="345"/>
        <v>0</v>
      </c>
      <c r="AJ471" s="369">
        <f t="shared" ca="1" si="345"/>
        <v>0</v>
      </c>
      <c r="AK471" s="369">
        <f t="shared" ca="1" si="345"/>
        <v>0</v>
      </c>
      <c r="AL471" s="369">
        <f t="shared" ca="1" si="345"/>
        <v>0</v>
      </c>
      <c r="AM471" s="369">
        <f t="shared" ca="1" si="345"/>
        <v>0</v>
      </c>
      <c r="AN471" s="369">
        <f t="shared" ca="1" si="345"/>
        <v>0</v>
      </c>
      <c r="AP471" s="369">
        <f t="shared" ca="1" si="346"/>
        <v>0</v>
      </c>
      <c r="AQ471" s="369">
        <f t="shared" ca="1" si="346"/>
        <v>0</v>
      </c>
      <c r="AR471" s="369">
        <f t="shared" ca="1" si="346"/>
        <v>0</v>
      </c>
      <c r="AS471" s="369">
        <f t="shared" ca="1" si="346"/>
        <v>0</v>
      </c>
      <c r="AT471" s="369">
        <f t="shared" ca="1" si="346"/>
        <v>0</v>
      </c>
      <c r="AU471" s="369">
        <f t="shared" ca="1" si="346"/>
        <v>0</v>
      </c>
    </row>
    <row r="472" spans="3:47" outlineLevel="1" x14ac:dyDescent="0.2">
      <c r="C472" s="209">
        <v>15</v>
      </c>
      <c r="D472" s="316"/>
      <c r="E472" s="603"/>
      <c r="F472" s="612"/>
      <c r="G472" s="45" t="str">
        <f t="shared" si="341"/>
        <v/>
      </c>
      <c r="H472" s="45" t="str">
        <f t="shared" si="342"/>
        <v/>
      </c>
      <c r="I472" s="133"/>
      <c r="J472" s="45" t="str">
        <f t="shared" si="343"/>
        <v/>
      </c>
      <c r="K472" s="70"/>
      <c r="L472" s="70"/>
      <c r="M472" s="51"/>
      <c r="N472" s="51"/>
      <c r="O472" s="361"/>
      <c r="P472" s="227"/>
      <c r="Q472" s="210"/>
      <c r="R472" s="611"/>
      <c r="S472" s="611"/>
      <c r="T472" s="611"/>
      <c r="U472" s="611"/>
      <c r="V472" s="611"/>
      <c r="AB472" s="65" t="str">
        <f t="shared" si="333"/>
        <v>** NOT USED **</v>
      </c>
      <c r="AC472" s="209">
        <f t="shared" si="344"/>
        <v>1</v>
      </c>
      <c r="AD472" s="209">
        <f t="shared" si="334"/>
        <v>0</v>
      </c>
      <c r="AE472" s="346">
        <f t="shared" si="335"/>
        <v>0</v>
      </c>
      <c r="AF472" s="346">
        <f t="shared" si="336"/>
        <v>0</v>
      </c>
      <c r="AG472" s="347">
        <f t="shared" ca="1" si="337"/>
        <v>0</v>
      </c>
      <c r="AI472" s="369">
        <f t="shared" ca="1" si="345"/>
        <v>0</v>
      </c>
      <c r="AJ472" s="369">
        <f t="shared" ca="1" si="345"/>
        <v>0</v>
      </c>
      <c r="AK472" s="369">
        <f t="shared" ca="1" si="345"/>
        <v>0</v>
      </c>
      <c r="AL472" s="369">
        <f t="shared" ca="1" si="345"/>
        <v>0</v>
      </c>
      <c r="AM472" s="369">
        <f t="shared" ca="1" si="345"/>
        <v>0</v>
      </c>
      <c r="AN472" s="369">
        <f t="shared" ca="1" si="345"/>
        <v>0</v>
      </c>
      <c r="AP472" s="369">
        <f t="shared" ca="1" si="346"/>
        <v>0</v>
      </c>
      <c r="AQ472" s="369">
        <f t="shared" ca="1" si="346"/>
        <v>0</v>
      </c>
      <c r="AR472" s="369">
        <f t="shared" ca="1" si="346"/>
        <v>0</v>
      </c>
      <c r="AS472" s="369">
        <f t="shared" ca="1" si="346"/>
        <v>0</v>
      </c>
      <c r="AT472" s="369">
        <f t="shared" ca="1" si="346"/>
        <v>0</v>
      </c>
      <c r="AU472" s="369">
        <f t="shared" ca="1" si="346"/>
        <v>0</v>
      </c>
    </row>
    <row r="473" spans="3:47" outlineLevel="1" x14ac:dyDescent="0.2">
      <c r="C473" s="209">
        <v>16</v>
      </c>
      <c r="D473" s="316"/>
      <c r="E473" s="603"/>
      <c r="F473" s="612"/>
      <c r="G473" s="45" t="str">
        <f t="shared" si="341"/>
        <v/>
      </c>
      <c r="H473" s="45" t="str">
        <f t="shared" si="342"/>
        <v/>
      </c>
      <c r="I473" s="133"/>
      <c r="J473" s="45" t="str">
        <f t="shared" si="343"/>
        <v/>
      </c>
      <c r="K473" s="70"/>
      <c r="L473" s="70"/>
      <c r="M473" s="51"/>
      <c r="N473" s="51"/>
      <c r="O473" s="361"/>
      <c r="P473" s="227"/>
      <c r="Q473" s="210"/>
      <c r="R473" s="611"/>
      <c r="S473" s="611"/>
      <c r="T473" s="611"/>
      <c r="U473" s="611"/>
      <c r="V473" s="611"/>
      <c r="AB473" s="65" t="str">
        <f t="shared" si="333"/>
        <v>** NOT USED **</v>
      </c>
      <c r="AC473" s="209">
        <f t="shared" si="344"/>
        <v>1</v>
      </c>
      <c r="AD473" s="209">
        <f t="shared" si="334"/>
        <v>0</v>
      </c>
      <c r="AE473" s="346">
        <f t="shared" si="335"/>
        <v>0</v>
      </c>
      <c r="AF473" s="346">
        <f t="shared" si="336"/>
        <v>0</v>
      </c>
      <c r="AG473" s="347">
        <f t="shared" ca="1" si="337"/>
        <v>0</v>
      </c>
      <c r="AI473" s="369">
        <f t="shared" ca="1" si="345"/>
        <v>0</v>
      </c>
      <c r="AJ473" s="369">
        <f t="shared" ca="1" si="345"/>
        <v>0</v>
      </c>
      <c r="AK473" s="369">
        <f t="shared" ca="1" si="345"/>
        <v>0</v>
      </c>
      <c r="AL473" s="369">
        <f t="shared" ca="1" si="345"/>
        <v>0</v>
      </c>
      <c r="AM473" s="369">
        <f t="shared" ca="1" si="345"/>
        <v>0</v>
      </c>
      <c r="AN473" s="369">
        <f t="shared" ca="1" si="345"/>
        <v>0</v>
      </c>
      <c r="AP473" s="369">
        <f t="shared" ca="1" si="346"/>
        <v>0</v>
      </c>
      <c r="AQ473" s="369">
        <f t="shared" ca="1" si="346"/>
        <v>0</v>
      </c>
      <c r="AR473" s="369">
        <f t="shared" ca="1" si="346"/>
        <v>0</v>
      </c>
      <c r="AS473" s="369">
        <f t="shared" ca="1" si="346"/>
        <v>0</v>
      </c>
      <c r="AT473" s="369">
        <f t="shared" ca="1" si="346"/>
        <v>0</v>
      </c>
      <c r="AU473" s="369">
        <f t="shared" ca="1" si="346"/>
        <v>0</v>
      </c>
    </row>
    <row r="474" spans="3:47" outlineLevel="1" x14ac:dyDescent="0.2">
      <c r="C474" s="209">
        <v>17</v>
      </c>
      <c r="D474" s="316"/>
      <c r="E474" s="603"/>
      <c r="F474" s="612"/>
      <c r="G474" s="45" t="str">
        <f t="shared" si="341"/>
        <v/>
      </c>
      <c r="H474" s="45" t="str">
        <f t="shared" si="342"/>
        <v/>
      </c>
      <c r="I474" s="133"/>
      <c r="J474" s="45" t="str">
        <f t="shared" si="343"/>
        <v/>
      </c>
      <c r="K474" s="70"/>
      <c r="L474" s="70"/>
      <c r="M474" s="51"/>
      <c r="N474" s="51"/>
      <c r="O474" s="361"/>
      <c r="P474" s="227"/>
      <c r="Q474" s="210"/>
      <c r="R474" s="611"/>
      <c r="S474" s="611"/>
      <c r="T474" s="611"/>
      <c r="U474" s="611"/>
      <c r="V474" s="611"/>
      <c r="AB474" s="65" t="str">
        <f t="shared" si="333"/>
        <v>** NOT USED **</v>
      </c>
      <c r="AC474" s="209">
        <f t="shared" si="344"/>
        <v>1</v>
      </c>
      <c r="AD474" s="209">
        <f t="shared" si="334"/>
        <v>0</v>
      </c>
      <c r="AE474" s="346">
        <f t="shared" si="335"/>
        <v>0</v>
      </c>
      <c r="AF474" s="346">
        <f t="shared" si="336"/>
        <v>0</v>
      </c>
      <c r="AG474" s="347">
        <f t="shared" ca="1" si="337"/>
        <v>0</v>
      </c>
      <c r="AI474" s="369">
        <f t="shared" ca="1" si="345"/>
        <v>0</v>
      </c>
      <c r="AJ474" s="369">
        <f t="shared" ca="1" si="345"/>
        <v>0</v>
      </c>
      <c r="AK474" s="369">
        <f t="shared" ca="1" si="345"/>
        <v>0</v>
      </c>
      <c r="AL474" s="369">
        <f t="shared" ca="1" si="345"/>
        <v>0</v>
      </c>
      <c r="AM474" s="369">
        <f t="shared" ca="1" si="345"/>
        <v>0</v>
      </c>
      <c r="AN474" s="369">
        <f t="shared" ca="1" si="345"/>
        <v>0</v>
      </c>
      <c r="AP474" s="369">
        <f t="shared" ca="1" si="346"/>
        <v>0</v>
      </c>
      <c r="AQ474" s="369">
        <f t="shared" ca="1" si="346"/>
        <v>0</v>
      </c>
      <c r="AR474" s="369">
        <f t="shared" ca="1" si="346"/>
        <v>0</v>
      </c>
      <c r="AS474" s="369">
        <f t="shared" ca="1" si="346"/>
        <v>0</v>
      </c>
      <c r="AT474" s="369">
        <f t="shared" ca="1" si="346"/>
        <v>0</v>
      </c>
      <c r="AU474" s="369">
        <f t="shared" ca="1" si="346"/>
        <v>0</v>
      </c>
    </row>
    <row r="475" spans="3:47" outlineLevel="1" x14ac:dyDescent="0.2">
      <c r="C475" s="209">
        <v>18</v>
      </c>
      <c r="D475" s="316"/>
      <c r="E475" s="603"/>
      <c r="F475" s="612"/>
      <c r="G475" s="45" t="str">
        <f t="shared" si="341"/>
        <v/>
      </c>
      <c r="H475" s="45" t="str">
        <f t="shared" si="342"/>
        <v/>
      </c>
      <c r="I475" s="133"/>
      <c r="J475" s="45" t="str">
        <f t="shared" si="343"/>
        <v/>
      </c>
      <c r="K475" s="70"/>
      <c r="L475" s="70"/>
      <c r="M475" s="51"/>
      <c r="N475" s="51"/>
      <c r="O475" s="361"/>
      <c r="P475" s="227"/>
      <c r="Q475" s="210"/>
      <c r="R475" s="611"/>
      <c r="S475" s="611"/>
      <c r="T475" s="611"/>
      <c r="U475" s="611"/>
      <c r="V475" s="611"/>
      <c r="AB475" s="65" t="str">
        <f t="shared" si="333"/>
        <v>** NOT USED **</v>
      </c>
      <c r="AC475" s="209">
        <f t="shared" si="344"/>
        <v>1</v>
      </c>
      <c r="AD475" s="209">
        <f t="shared" si="334"/>
        <v>0</v>
      </c>
      <c r="AE475" s="346">
        <f t="shared" si="335"/>
        <v>0</v>
      </c>
      <c r="AF475" s="346">
        <f t="shared" si="336"/>
        <v>0</v>
      </c>
      <c r="AG475" s="347">
        <f t="shared" ca="1" si="337"/>
        <v>0</v>
      </c>
      <c r="AI475" s="369">
        <f t="shared" ca="1" si="345"/>
        <v>0</v>
      </c>
      <c r="AJ475" s="369">
        <f t="shared" ca="1" si="345"/>
        <v>0</v>
      </c>
      <c r="AK475" s="369">
        <f t="shared" ca="1" si="345"/>
        <v>0</v>
      </c>
      <c r="AL475" s="369">
        <f t="shared" ca="1" si="345"/>
        <v>0</v>
      </c>
      <c r="AM475" s="369">
        <f t="shared" ca="1" si="345"/>
        <v>0</v>
      </c>
      <c r="AN475" s="369">
        <f t="shared" ca="1" si="345"/>
        <v>0</v>
      </c>
      <c r="AP475" s="369">
        <f t="shared" ca="1" si="346"/>
        <v>0</v>
      </c>
      <c r="AQ475" s="369">
        <f t="shared" ca="1" si="346"/>
        <v>0</v>
      </c>
      <c r="AR475" s="369">
        <f t="shared" ca="1" si="346"/>
        <v>0</v>
      </c>
      <c r="AS475" s="369">
        <f t="shared" ca="1" si="346"/>
        <v>0</v>
      </c>
      <c r="AT475" s="369">
        <f t="shared" ca="1" si="346"/>
        <v>0</v>
      </c>
      <c r="AU475" s="369">
        <f t="shared" ca="1" si="346"/>
        <v>0</v>
      </c>
    </row>
    <row r="476" spans="3:47" outlineLevel="1" x14ac:dyDescent="0.2">
      <c r="C476" s="209">
        <v>19</v>
      </c>
      <c r="D476" s="316"/>
      <c r="E476" s="603"/>
      <c r="F476" s="612"/>
      <c r="G476" s="45" t="str">
        <f t="shared" si="341"/>
        <v/>
      </c>
      <c r="H476" s="45" t="str">
        <f t="shared" si="342"/>
        <v/>
      </c>
      <c r="I476" s="133"/>
      <c r="J476" s="45" t="str">
        <f t="shared" si="343"/>
        <v/>
      </c>
      <c r="K476" s="70"/>
      <c r="L476" s="70"/>
      <c r="M476" s="51"/>
      <c r="N476" s="51"/>
      <c r="O476" s="361"/>
      <c r="P476" s="227"/>
      <c r="Q476" s="210"/>
      <c r="R476" s="611"/>
      <c r="S476" s="611"/>
      <c r="T476" s="611"/>
      <c r="U476" s="611"/>
      <c r="V476" s="611"/>
      <c r="AB476" s="65" t="str">
        <f t="shared" si="333"/>
        <v>** NOT USED **</v>
      </c>
      <c r="AC476" s="209">
        <f t="shared" si="344"/>
        <v>1</v>
      </c>
      <c r="AD476" s="209">
        <f t="shared" si="334"/>
        <v>0</v>
      </c>
      <c r="AE476" s="346">
        <f t="shared" si="335"/>
        <v>0</v>
      </c>
      <c r="AF476" s="346">
        <f t="shared" si="336"/>
        <v>0</v>
      </c>
      <c r="AG476" s="347">
        <f t="shared" ca="1" si="337"/>
        <v>0</v>
      </c>
      <c r="AI476" s="369">
        <f t="shared" ca="1" si="345"/>
        <v>0</v>
      </c>
      <c r="AJ476" s="369">
        <f t="shared" ca="1" si="345"/>
        <v>0</v>
      </c>
      <c r="AK476" s="369">
        <f t="shared" ca="1" si="345"/>
        <v>0</v>
      </c>
      <c r="AL476" s="369">
        <f t="shared" ca="1" si="345"/>
        <v>0</v>
      </c>
      <c r="AM476" s="369">
        <f t="shared" ca="1" si="345"/>
        <v>0</v>
      </c>
      <c r="AN476" s="369">
        <f t="shared" ca="1" si="345"/>
        <v>0</v>
      </c>
      <c r="AP476" s="369">
        <f t="shared" ca="1" si="346"/>
        <v>0</v>
      </c>
      <c r="AQ476" s="369">
        <f t="shared" ca="1" si="346"/>
        <v>0</v>
      </c>
      <c r="AR476" s="369">
        <f t="shared" ca="1" si="346"/>
        <v>0</v>
      </c>
      <c r="AS476" s="369">
        <f t="shared" ca="1" si="346"/>
        <v>0</v>
      </c>
      <c r="AT476" s="369">
        <f t="shared" ca="1" si="346"/>
        <v>0</v>
      </c>
      <c r="AU476" s="369">
        <f t="shared" ca="1" si="346"/>
        <v>0</v>
      </c>
    </row>
    <row r="477" spans="3:47" outlineLevel="1" x14ac:dyDescent="0.2">
      <c r="C477" s="209">
        <v>20</v>
      </c>
      <c r="D477" s="316"/>
      <c r="E477" s="603"/>
      <c r="F477" s="612"/>
      <c r="G477" s="45" t="str">
        <f t="shared" si="341"/>
        <v/>
      </c>
      <c r="H477" s="45" t="str">
        <f t="shared" si="342"/>
        <v/>
      </c>
      <c r="I477" s="133"/>
      <c r="J477" s="45" t="str">
        <f t="shared" si="343"/>
        <v/>
      </c>
      <c r="K477" s="70"/>
      <c r="L477" s="70"/>
      <c r="M477" s="51"/>
      <c r="N477" s="51"/>
      <c r="O477" s="361"/>
      <c r="P477" s="227"/>
      <c r="Q477" s="210"/>
      <c r="R477" s="611"/>
      <c r="S477" s="611"/>
      <c r="T477" s="611"/>
      <c r="U477" s="611"/>
      <c r="V477" s="611"/>
      <c r="AB477" s="65" t="str">
        <f t="shared" si="333"/>
        <v>** NOT USED **</v>
      </c>
      <c r="AC477" s="209">
        <f t="shared" si="344"/>
        <v>1</v>
      </c>
      <c r="AD477" s="209">
        <f t="shared" si="334"/>
        <v>0</v>
      </c>
      <c r="AE477" s="346">
        <f t="shared" si="335"/>
        <v>0</v>
      </c>
      <c r="AF477" s="346">
        <f t="shared" si="336"/>
        <v>0</v>
      </c>
      <c r="AG477" s="347">
        <f t="shared" ca="1" si="337"/>
        <v>0</v>
      </c>
      <c r="AI477" s="369">
        <f t="shared" ca="1" si="345"/>
        <v>0</v>
      </c>
      <c r="AJ477" s="369">
        <f t="shared" ca="1" si="345"/>
        <v>0</v>
      </c>
      <c r="AK477" s="369">
        <f t="shared" ca="1" si="345"/>
        <v>0</v>
      </c>
      <c r="AL477" s="369">
        <f t="shared" ca="1" si="345"/>
        <v>0</v>
      </c>
      <c r="AM477" s="369">
        <f t="shared" ca="1" si="345"/>
        <v>0</v>
      </c>
      <c r="AN477" s="369">
        <f t="shared" ca="1" si="345"/>
        <v>0</v>
      </c>
      <c r="AP477" s="369">
        <f t="shared" ca="1" si="346"/>
        <v>0</v>
      </c>
      <c r="AQ477" s="369">
        <f t="shared" ca="1" si="346"/>
        <v>0</v>
      </c>
      <c r="AR477" s="369">
        <f t="shared" ca="1" si="346"/>
        <v>0</v>
      </c>
      <c r="AS477" s="369">
        <f t="shared" ca="1" si="346"/>
        <v>0</v>
      </c>
      <c r="AT477" s="369">
        <f t="shared" ca="1" si="346"/>
        <v>0</v>
      </c>
      <c r="AU477" s="369">
        <f t="shared" ca="1" si="346"/>
        <v>0</v>
      </c>
    </row>
    <row r="478" spans="3:47" outlineLevel="1" x14ac:dyDescent="0.2"/>
    <row r="479" spans="3:47" outlineLevel="1" x14ac:dyDescent="0.2"/>
    <row r="480" spans="3:47" ht="15.75" outlineLevel="1" x14ac:dyDescent="0.2">
      <c r="D480" s="72" t="s">
        <v>865</v>
      </c>
      <c r="E480" s="356"/>
      <c r="F480" s="105"/>
      <c r="G480" s="105"/>
      <c r="H480" s="105"/>
      <c r="I480" s="105"/>
      <c r="J480" s="105"/>
      <c r="K480" s="105"/>
      <c r="L480" s="105"/>
      <c r="M480" s="105"/>
      <c r="N480" s="105"/>
      <c r="O480" s="105"/>
      <c r="P480" s="105"/>
      <c r="Q480" s="105"/>
      <c r="R480" s="105"/>
      <c r="S480" s="105"/>
      <c r="T480" s="105"/>
      <c r="U480" s="105"/>
      <c r="V480" s="105"/>
    </row>
    <row r="481" spans="3:54" outlineLevel="1" x14ac:dyDescent="0.2"/>
    <row r="482" spans="3:54" ht="25.5" outlineLevel="1" x14ac:dyDescent="0.2">
      <c r="D482" s="656" t="s">
        <v>301</v>
      </c>
      <c r="E482" s="656"/>
      <c r="F482" s="656"/>
      <c r="G482" s="656" t="s">
        <v>841</v>
      </c>
      <c r="H482" s="657"/>
      <c r="I482" s="657"/>
      <c r="J482" s="61" t="s">
        <v>304</v>
      </c>
      <c r="X482" s="501"/>
      <c r="Y482" s="204" t="s">
        <v>238</v>
      </c>
      <c r="Z482" s="204" t="s">
        <v>802</v>
      </c>
      <c r="AA482" s="204" t="str">
        <f>"Fee @ " &amp; TEXT(MBSRebateRate,"00%")</f>
        <v>Fee @ 80%</v>
      </c>
    </row>
    <row r="483" spans="3:54" ht="13.5" outlineLevel="1" thickBot="1" x14ac:dyDescent="0.25">
      <c r="C483" s="209">
        <v>1</v>
      </c>
      <c r="D483" s="647" t="str">
        <f t="shared" ref="D483:D492" si="347">INDEX(MBSDecNames,C483)</f>
        <v>** NOT USED **</v>
      </c>
      <c r="E483" s="647"/>
      <c r="F483" s="647"/>
      <c r="G483" s="610"/>
      <c r="H483" s="611"/>
      <c r="I483" s="611"/>
      <c r="J483" s="62" t="str">
        <f t="shared" ref="J483:J502" si="348">IF(AD458=2,IF(AND(D483&lt;&gt;MsgNotUsed,G483=""),"All scripts","Specific medicine"),IF(AD458=1,"All patients",""))</f>
        <v/>
      </c>
      <c r="X483" s="502"/>
      <c r="Y483" s="209">
        <f t="shared" ref="Y483:Y502" si="349">IF(OR(D483=MsgNotUsed,AD458=1),0,1)</f>
        <v>0</v>
      </c>
      <c r="Z483" s="209" t="str">
        <f t="shared" ref="Z483:Z502" si="350">IF(G483&lt;&gt;"",MATCH(G483,NamesScriptsChangedTx,0),IF(J483="All scripts",21,""))</f>
        <v/>
      </c>
      <c r="AA483" s="515">
        <f t="shared" ref="AA483:AA502" si="351">O458*MBSRebateRate</f>
        <v>0</v>
      </c>
    </row>
    <row r="484" spans="3:54" outlineLevel="1" x14ac:dyDescent="0.2">
      <c r="C484" s="209">
        <v>2</v>
      </c>
      <c r="D484" s="647" t="str">
        <f t="shared" si="347"/>
        <v>** NOT USED **</v>
      </c>
      <c r="E484" s="647"/>
      <c r="F484" s="647"/>
      <c r="G484" s="610"/>
      <c r="H484" s="611"/>
      <c r="I484" s="611"/>
      <c r="J484" s="62" t="str">
        <f t="shared" si="348"/>
        <v/>
      </c>
      <c r="X484" s="502"/>
      <c r="Y484" s="209">
        <f t="shared" si="349"/>
        <v>0</v>
      </c>
      <c r="Z484" s="209" t="str">
        <f t="shared" si="350"/>
        <v/>
      </c>
      <c r="AA484" s="515">
        <f t="shared" si="351"/>
        <v>0</v>
      </c>
      <c r="AH484" s="648" t="s">
        <v>216</v>
      </c>
      <c r="AI484" s="649"/>
      <c r="AJ484" s="649"/>
      <c r="AK484" s="649"/>
      <c r="AL484" s="649"/>
      <c r="AM484" s="649"/>
      <c r="AN484" s="649"/>
      <c r="AO484" s="649"/>
      <c r="AP484" s="649"/>
      <c r="AQ484" s="649"/>
      <c r="AR484" s="649"/>
      <c r="AS484" s="649"/>
      <c r="AT484" s="649"/>
      <c r="AU484" s="649"/>
      <c r="AV484" s="649"/>
      <c r="AW484" s="649"/>
      <c r="AX484" s="649"/>
      <c r="AY484" s="649"/>
      <c r="AZ484" s="649"/>
      <c r="BA484" s="649"/>
      <c r="BB484" s="650"/>
    </row>
    <row r="485" spans="3:54" ht="13.5" outlineLevel="1" thickBot="1" x14ac:dyDescent="0.25">
      <c r="C485" s="209">
        <v>3</v>
      </c>
      <c r="D485" s="647" t="str">
        <f t="shared" si="347"/>
        <v>** NOT USED **</v>
      </c>
      <c r="E485" s="647"/>
      <c r="F485" s="647"/>
      <c r="G485" s="610"/>
      <c r="H485" s="611"/>
      <c r="I485" s="611"/>
      <c r="J485" s="62" t="str">
        <f t="shared" si="348"/>
        <v/>
      </c>
      <c r="X485" s="502"/>
      <c r="Y485" s="209">
        <f t="shared" si="349"/>
        <v>0</v>
      </c>
      <c r="Z485" s="209" t="str">
        <f t="shared" si="350"/>
        <v/>
      </c>
      <c r="AA485" s="515">
        <f t="shared" si="351"/>
        <v>0</v>
      </c>
      <c r="AH485" s="651" t="str">
        <f>TxPhase1PxTotal</f>
        <v/>
      </c>
      <c r="AI485" s="652"/>
      <c r="AJ485" s="652"/>
      <c r="AK485" s="652"/>
      <c r="AL485" s="652"/>
      <c r="AM485" s="652"/>
      <c r="AN485" s="653"/>
      <c r="AO485" s="654" t="str">
        <f>TxPhase2PxTotal</f>
        <v/>
      </c>
      <c r="AP485" s="652"/>
      <c r="AQ485" s="652"/>
      <c r="AR485" s="652"/>
      <c r="AS485" s="652"/>
      <c r="AT485" s="652"/>
      <c r="AU485" s="653"/>
      <c r="AV485" s="654" t="s">
        <v>417</v>
      </c>
      <c r="AW485" s="652"/>
      <c r="AX485" s="652"/>
      <c r="AY485" s="652"/>
      <c r="AZ485" s="652"/>
      <c r="BA485" s="652"/>
      <c r="BB485" s="655"/>
    </row>
    <row r="486" spans="3:54" outlineLevel="1" x14ac:dyDescent="0.2">
      <c r="C486" s="209">
        <v>4</v>
      </c>
      <c r="D486" s="647" t="str">
        <f t="shared" si="347"/>
        <v>** NOT USED **</v>
      </c>
      <c r="E486" s="647"/>
      <c r="F486" s="647"/>
      <c r="G486" s="610"/>
      <c r="H486" s="611"/>
      <c r="I486" s="611"/>
      <c r="J486" s="62" t="str">
        <f t="shared" si="348"/>
        <v/>
      </c>
      <c r="X486" s="502"/>
      <c r="Y486" s="209">
        <f t="shared" si="349"/>
        <v>0</v>
      </c>
      <c r="Z486" s="209" t="str">
        <f t="shared" si="350"/>
        <v/>
      </c>
      <c r="AA486" s="515">
        <f t="shared" si="351"/>
        <v>0</v>
      </c>
      <c r="AH486" s="303"/>
      <c r="AI486" s="304">
        <f>FirstYear</f>
        <v>2026</v>
      </c>
      <c r="AJ486" s="304">
        <f>AI486+1</f>
        <v>2027</v>
      </c>
      <c r="AK486" s="304">
        <f>AJ486+1</f>
        <v>2028</v>
      </c>
      <c r="AL486" s="304">
        <f>AK486+1</f>
        <v>2029</v>
      </c>
      <c r="AM486" s="304">
        <f>AL486+1</f>
        <v>2030</v>
      </c>
      <c r="AN486" s="305">
        <f>AM486+1</f>
        <v>2031</v>
      </c>
      <c r="AO486" s="508"/>
      <c r="AP486" s="304">
        <f>FirstYear</f>
        <v>2026</v>
      </c>
      <c r="AQ486" s="304">
        <f>AP486+1</f>
        <v>2027</v>
      </c>
      <c r="AR486" s="304">
        <f>AQ486+1</f>
        <v>2028</v>
      </c>
      <c r="AS486" s="304">
        <f>AR486+1</f>
        <v>2029</v>
      </c>
      <c r="AT486" s="304">
        <f>AS486+1</f>
        <v>2030</v>
      </c>
      <c r="AU486" s="511">
        <f>AT486+1</f>
        <v>2031</v>
      </c>
      <c r="AV486" s="303"/>
      <c r="AW486" s="304">
        <f>FirstYear</f>
        <v>2026</v>
      </c>
      <c r="AX486" s="304">
        <f>AW486+1</f>
        <v>2027</v>
      </c>
      <c r="AY486" s="304">
        <f>AX486+1</f>
        <v>2028</v>
      </c>
      <c r="AZ486" s="304">
        <f>AY486+1</f>
        <v>2029</v>
      </c>
      <c r="BA486" s="304">
        <f>AZ486+1</f>
        <v>2030</v>
      </c>
      <c r="BB486" s="305">
        <f>BA486+1</f>
        <v>2031</v>
      </c>
    </row>
    <row r="487" spans="3:54" outlineLevel="1" x14ac:dyDescent="0.2">
      <c r="C487" s="209">
        <v>5</v>
      </c>
      <c r="D487" s="647" t="str">
        <f t="shared" si="347"/>
        <v>** NOT USED **</v>
      </c>
      <c r="E487" s="647"/>
      <c r="F487" s="647"/>
      <c r="G487" s="610"/>
      <c r="H487" s="611"/>
      <c r="I487" s="611"/>
      <c r="J487" s="62" t="str">
        <f t="shared" si="348"/>
        <v/>
      </c>
      <c r="X487" s="502"/>
      <c r="Y487" s="209">
        <f t="shared" si="349"/>
        <v>0</v>
      </c>
      <c r="Z487" s="209" t="str">
        <f t="shared" si="350"/>
        <v/>
      </c>
      <c r="AA487" s="515">
        <f t="shared" si="351"/>
        <v>0</v>
      </c>
      <c r="AH487" s="371">
        <v>1</v>
      </c>
      <c r="AI487" s="369">
        <f t="shared" ref="AI487:AN496" si="352">IF(OR(ScriptSourceCode=1,ScriptSourceCode=3),AI458-AI511,0)</f>
        <v>0</v>
      </c>
      <c r="AJ487" s="369">
        <f t="shared" si="352"/>
        <v>0</v>
      </c>
      <c r="AK487" s="369">
        <f t="shared" si="352"/>
        <v>0</v>
      </c>
      <c r="AL487" s="369">
        <f t="shared" si="352"/>
        <v>0</v>
      </c>
      <c r="AM487" s="369">
        <f t="shared" si="352"/>
        <v>0</v>
      </c>
      <c r="AN487" s="370">
        <f t="shared" si="352"/>
        <v>0</v>
      </c>
      <c r="AO487" s="509"/>
      <c r="AP487" s="369">
        <f t="shared" ref="AP487:AU496" si="353">IF(OR(ScriptSourceCode=1,ScriptSourceCode=3),AP458-AP511,0)</f>
        <v>0</v>
      </c>
      <c r="AQ487" s="369">
        <f t="shared" si="353"/>
        <v>0</v>
      </c>
      <c r="AR487" s="369">
        <f t="shared" si="353"/>
        <v>0</v>
      </c>
      <c r="AS487" s="369">
        <f t="shared" si="353"/>
        <v>0</v>
      </c>
      <c r="AT487" s="369">
        <f t="shared" si="353"/>
        <v>0</v>
      </c>
      <c r="AU487" s="512">
        <f t="shared" si="353"/>
        <v>0</v>
      </c>
      <c r="AV487" s="371"/>
      <c r="AW487" s="369">
        <f t="shared" ref="AW487:AW496" si="354">AI487+AP487</f>
        <v>0</v>
      </c>
      <c r="AX487" s="369">
        <f t="shared" ref="AX487:AX496" si="355">AJ487+AQ487</f>
        <v>0</v>
      </c>
      <c r="AY487" s="369">
        <f t="shared" ref="AY487:AY496" si="356">AK487+AR487</f>
        <v>0</v>
      </c>
      <c r="AZ487" s="369">
        <f t="shared" ref="AZ487:AZ496" si="357">AL487+AS487</f>
        <v>0</v>
      </c>
      <c r="BA487" s="369">
        <f t="shared" ref="BA487:BA496" si="358">AM487+AT487</f>
        <v>0</v>
      </c>
      <c r="BB487" s="370">
        <f t="shared" ref="BB487:BB496" si="359">AN487+AU487</f>
        <v>0</v>
      </c>
    </row>
    <row r="488" spans="3:54" outlineLevel="1" x14ac:dyDescent="0.2">
      <c r="C488" s="209">
        <v>6</v>
      </c>
      <c r="D488" s="647" t="str">
        <f t="shared" si="347"/>
        <v>** NOT USED **</v>
      </c>
      <c r="E488" s="647"/>
      <c r="F488" s="647"/>
      <c r="G488" s="610"/>
      <c r="H488" s="611"/>
      <c r="I488" s="611"/>
      <c r="J488" s="62" t="str">
        <f t="shared" si="348"/>
        <v/>
      </c>
      <c r="X488" s="502"/>
      <c r="Y488" s="209">
        <f t="shared" si="349"/>
        <v>0</v>
      </c>
      <c r="Z488" s="209" t="str">
        <f t="shared" si="350"/>
        <v/>
      </c>
      <c r="AA488" s="515">
        <f t="shared" si="351"/>
        <v>0</v>
      </c>
      <c r="AH488" s="371">
        <v>2</v>
      </c>
      <c r="AI488" s="369">
        <f t="shared" si="352"/>
        <v>0</v>
      </c>
      <c r="AJ488" s="369">
        <f t="shared" si="352"/>
        <v>0</v>
      </c>
      <c r="AK488" s="369">
        <f t="shared" si="352"/>
        <v>0</v>
      </c>
      <c r="AL488" s="369">
        <f t="shared" si="352"/>
        <v>0</v>
      </c>
      <c r="AM488" s="369">
        <f t="shared" si="352"/>
        <v>0</v>
      </c>
      <c r="AN488" s="370">
        <f t="shared" si="352"/>
        <v>0</v>
      </c>
      <c r="AO488" s="509"/>
      <c r="AP488" s="369">
        <f t="shared" si="353"/>
        <v>0</v>
      </c>
      <c r="AQ488" s="369">
        <f t="shared" si="353"/>
        <v>0</v>
      </c>
      <c r="AR488" s="369">
        <f t="shared" si="353"/>
        <v>0</v>
      </c>
      <c r="AS488" s="369">
        <f t="shared" si="353"/>
        <v>0</v>
      </c>
      <c r="AT488" s="369">
        <f t="shared" si="353"/>
        <v>0</v>
      </c>
      <c r="AU488" s="512">
        <f t="shared" si="353"/>
        <v>0</v>
      </c>
      <c r="AV488" s="371"/>
      <c r="AW488" s="369">
        <f t="shared" si="354"/>
        <v>0</v>
      </c>
      <c r="AX488" s="369">
        <f t="shared" si="355"/>
        <v>0</v>
      </c>
      <c r="AY488" s="369">
        <f t="shared" si="356"/>
        <v>0</v>
      </c>
      <c r="AZ488" s="369">
        <f t="shared" si="357"/>
        <v>0</v>
      </c>
      <c r="BA488" s="369">
        <f t="shared" si="358"/>
        <v>0</v>
      </c>
      <c r="BB488" s="370">
        <f t="shared" si="359"/>
        <v>0</v>
      </c>
    </row>
    <row r="489" spans="3:54" outlineLevel="1" x14ac:dyDescent="0.2">
      <c r="C489" s="209">
        <v>7</v>
      </c>
      <c r="D489" s="647" t="str">
        <f t="shared" si="347"/>
        <v>** NOT USED **</v>
      </c>
      <c r="E489" s="647"/>
      <c r="F489" s="647"/>
      <c r="G489" s="610"/>
      <c r="H489" s="611"/>
      <c r="I489" s="611"/>
      <c r="J489" s="62" t="str">
        <f t="shared" si="348"/>
        <v/>
      </c>
      <c r="X489" s="502"/>
      <c r="Y489" s="209">
        <f t="shared" si="349"/>
        <v>0</v>
      </c>
      <c r="Z489" s="209" t="str">
        <f t="shared" si="350"/>
        <v/>
      </c>
      <c r="AA489" s="515">
        <f t="shared" si="351"/>
        <v>0</v>
      </c>
      <c r="AH489" s="371">
        <v>3</v>
      </c>
      <c r="AI489" s="369">
        <f t="shared" si="352"/>
        <v>0</v>
      </c>
      <c r="AJ489" s="369">
        <f t="shared" si="352"/>
        <v>0</v>
      </c>
      <c r="AK489" s="369">
        <f t="shared" si="352"/>
        <v>0</v>
      </c>
      <c r="AL489" s="369">
        <f t="shared" si="352"/>
        <v>0</v>
      </c>
      <c r="AM489" s="369">
        <f t="shared" si="352"/>
        <v>0</v>
      </c>
      <c r="AN489" s="370">
        <f t="shared" si="352"/>
        <v>0</v>
      </c>
      <c r="AO489" s="509"/>
      <c r="AP489" s="369">
        <f t="shared" si="353"/>
        <v>0</v>
      </c>
      <c r="AQ489" s="369">
        <f t="shared" si="353"/>
        <v>0</v>
      </c>
      <c r="AR489" s="369">
        <f t="shared" si="353"/>
        <v>0</v>
      </c>
      <c r="AS489" s="369">
        <f t="shared" si="353"/>
        <v>0</v>
      </c>
      <c r="AT489" s="369">
        <f t="shared" si="353"/>
        <v>0</v>
      </c>
      <c r="AU489" s="512">
        <f t="shared" si="353"/>
        <v>0</v>
      </c>
      <c r="AV489" s="371"/>
      <c r="AW489" s="369">
        <f t="shared" si="354"/>
        <v>0</v>
      </c>
      <c r="AX489" s="369">
        <f t="shared" si="355"/>
        <v>0</v>
      </c>
      <c r="AY489" s="369">
        <f t="shared" si="356"/>
        <v>0</v>
      </c>
      <c r="AZ489" s="369">
        <f t="shared" si="357"/>
        <v>0</v>
      </c>
      <c r="BA489" s="369">
        <f t="shared" si="358"/>
        <v>0</v>
      </c>
      <c r="BB489" s="370">
        <f t="shared" si="359"/>
        <v>0</v>
      </c>
    </row>
    <row r="490" spans="3:54" outlineLevel="1" x14ac:dyDescent="0.2">
      <c r="C490" s="209">
        <v>8</v>
      </c>
      <c r="D490" s="647" t="str">
        <f t="shared" si="347"/>
        <v>** NOT USED **</v>
      </c>
      <c r="E490" s="647"/>
      <c r="F490" s="647"/>
      <c r="G490" s="610"/>
      <c r="H490" s="611"/>
      <c r="I490" s="611"/>
      <c r="J490" s="62" t="str">
        <f t="shared" si="348"/>
        <v/>
      </c>
      <c r="X490" s="502"/>
      <c r="Y490" s="209">
        <f t="shared" si="349"/>
        <v>0</v>
      </c>
      <c r="Z490" s="209" t="str">
        <f t="shared" si="350"/>
        <v/>
      </c>
      <c r="AA490" s="515">
        <f t="shared" si="351"/>
        <v>0</v>
      </c>
      <c r="AH490" s="371">
        <v>4</v>
      </c>
      <c r="AI490" s="369">
        <f t="shared" si="352"/>
        <v>0</v>
      </c>
      <c r="AJ490" s="369">
        <f t="shared" si="352"/>
        <v>0</v>
      </c>
      <c r="AK490" s="369">
        <f t="shared" si="352"/>
        <v>0</v>
      </c>
      <c r="AL490" s="369">
        <f t="shared" si="352"/>
        <v>0</v>
      </c>
      <c r="AM490" s="369">
        <f t="shared" si="352"/>
        <v>0</v>
      </c>
      <c r="AN490" s="370">
        <f t="shared" si="352"/>
        <v>0</v>
      </c>
      <c r="AO490" s="509"/>
      <c r="AP490" s="369">
        <f t="shared" si="353"/>
        <v>0</v>
      </c>
      <c r="AQ490" s="369">
        <f t="shared" si="353"/>
        <v>0</v>
      </c>
      <c r="AR490" s="369">
        <f t="shared" si="353"/>
        <v>0</v>
      </c>
      <c r="AS490" s="369">
        <f t="shared" si="353"/>
        <v>0</v>
      </c>
      <c r="AT490" s="369">
        <f t="shared" si="353"/>
        <v>0</v>
      </c>
      <c r="AU490" s="512">
        <f t="shared" si="353"/>
        <v>0</v>
      </c>
      <c r="AV490" s="371"/>
      <c r="AW490" s="369">
        <f t="shared" si="354"/>
        <v>0</v>
      </c>
      <c r="AX490" s="369">
        <f t="shared" si="355"/>
        <v>0</v>
      </c>
      <c r="AY490" s="369">
        <f t="shared" si="356"/>
        <v>0</v>
      </c>
      <c r="AZ490" s="369">
        <f t="shared" si="357"/>
        <v>0</v>
      </c>
      <c r="BA490" s="369">
        <f t="shared" si="358"/>
        <v>0</v>
      </c>
      <c r="BB490" s="370">
        <f t="shared" si="359"/>
        <v>0</v>
      </c>
    </row>
    <row r="491" spans="3:54" outlineLevel="1" x14ac:dyDescent="0.2">
      <c r="C491" s="209">
        <v>9</v>
      </c>
      <c r="D491" s="647" t="str">
        <f t="shared" si="347"/>
        <v>** NOT USED **</v>
      </c>
      <c r="E491" s="647"/>
      <c r="F491" s="647"/>
      <c r="G491" s="610"/>
      <c r="H491" s="611"/>
      <c r="I491" s="611"/>
      <c r="J491" s="62" t="str">
        <f t="shared" si="348"/>
        <v/>
      </c>
      <c r="X491" s="502"/>
      <c r="Y491" s="209">
        <f t="shared" si="349"/>
        <v>0</v>
      </c>
      <c r="Z491" s="209" t="str">
        <f t="shared" si="350"/>
        <v/>
      </c>
      <c r="AA491" s="515">
        <f t="shared" si="351"/>
        <v>0</v>
      </c>
      <c r="AH491" s="371">
        <v>5</v>
      </c>
      <c r="AI491" s="369">
        <f t="shared" si="352"/>
        <v>0</v>
      </c>
      <c r="AJ491" s="369">
        <f t="shared" si="352"/>
        <v>0</v>
      </c>
      <c r="AK491" s="369">
        <f t="shared" si="352"/>
        <v>0</v>
      </c>
      <c r="AL491" s="369">
        <f t="shared" si="352"/>
        <v>0</v>
      </c>
      <c r="AM491" s="369">
        <f t="shared" si="352"/>
        <v>0</v>
      </c>
      <c r="AN491" s="370">
        <f t="shared" si="352"/>
        <v>0</v>
      </c>
      <c r="AO491" s="509"/>
      <c r="AP491" s="369">
        <f t="shared" si="353"/>
        <v>0</v>
      </c>
      <c r="AQ491" s="369">
        <f t="shared" si="353"/>
        <v>0</v>
      </c>
      <c r="AR491" s="369">
        <f t="shared" si="353"/>
        <v>0</v>
      </c>
      <c r="AS491" s="369">
        <f t="shared" si="353"/>
        <v>0</v>
      </c>
      <c r="AT491" s="369">
        <f t="shared" si="353"/>
        <v>0</v>
      </c>
      <c r="AU491" s="512">
        <f t="shared" si="353"/>
        <v>0</v>
      </c>
      <c r="AV491" s="371"/>
      <c r="AW491" s="369">
        <f t="shared" si="354"/>
        <v>0</v>
      </c>
      <c r="AX491" s="369">
        <f t="shared" si="355"/>
        <v>0</v>
      </c>
      <c r="AY491" s="369">
        <f t="shared" si="356"/>
        <v>0</v>
      </c>
      <c r="AZ491" s="369">
        <f t="shared" si="357"/>
        <v>0</v>
      </c>
      <c r="BA491" s="369">
        <f t="shared" si="358"/>
        <v>0</v>
      </c>
      <c r="BB491" s="370">
        <f t="shared" si="359"/>
        <v>0</v>
      </c>
    </row>
    <row r="492" spans="3:54" outlineLevel="1" x14ac:dyDescent="0.2">
      <c r="C492" s="209">
        <v>10</v>
      </c>
      <c r="D492" s="647" t="str">
        <f t="shared" si="347"/>
        <v>** NOT USED **</v>
      </c>
      <c r="E492" s="647"/>
      <c r="F492" s="647"/>
      <c r="G492" s="610"/>
      <c r="H492" s="611"/>
      <c r="I492" s="611"/>
      <c r="J492" s="62" t="str">
        <f t="shared" si="348"/>
        <v/>
      </c>
      <c r="X492" s="502"/>
      <c r="Y492" s="209">
        <f t="shared" si="349"/>
        <v>0</v>
      </c>
      <c r="Z492" s="209" t="str">
        <f t="shared" si="350"/>
        <v/>
      </c>
      <c r="AA492" s="515">
        <f t="shared" si="351"/>
        <v>0</v>
      </c>
      <c r="AH492" s="371">
        <v>6</v>
      </c>
      <c r="AI492" s="369">
        <f t="shared" si="352"/>
        <v>0</v>
      </c>
      <c r="AJ492" s="369">
        <f t="shared" si="352"/>
        <v>0</v>
      </c>
      <c r="AK492" s="369">
        <f t="shared" si="352"/>
        <v>0</v>
      </c>
      <c r="AL492" s="369">
        <f t="shared" si="352"/>
        <v>0</v>
      </c>
      <c r="AM492" s="369">
        <f t="shared" si="352"/>
        <v>0</v>
      </c>
      <c r="AN492" s="370">
        <f t="shared" si="352"/>
        <v>0</v>
      </c>
      <c r="AO492" s="509"/>
      <c r="AP492" s="369">
        <f t="shared" si="353"/>
        <v>0</v>
      </c>
      <c r="AQ492" s="369">
        <f t="shared" si="353"/>
        <v>0</v>
      </c>
      <c r="AR492" s="369">
        <f t="shared" si="353"/>
        <v>0</v>
      </c>
      <c r="AS492" s="369">
        <f t="shared" si="353"/>
        <v>0</v>
      </c>
      <c r="AT492" s="369">
        <f t="shared" si="353"/>
        <v>0</v>
      </c>
      <c r="AU492" s="512">
        <f t="shared" si="353"/>
        <v>0</v>
      </c>
      <c r="AV492" s="371"/>
      <c r="AW492" s="369">
        <f t="shared" si="354"/>
        <v>0</v>
      </c>
      <c r="AX492" s="369">
        <f t="shared" si="355"/>
        <v>0</v>
      </c>
      <c r="AY492" s="369">
        <f t="shared" si="356"/>
        <v>0</v>
      </c>
      <c r="AZ492" s="369">
        <f t="shared" si="357"/>
        <v>0</v>
      </c>
      <c r="BA492" s="369">
        <f t="shared" si="358"/>
        <v>0</v>
      </c>
      <c r="BB492" s="370">
        <f t="shared" si="359"/>
        <v>0</v>
      </c>
    </row>
    <row r="493" spans="3:54" outlineLevel="1" x14ac:dyDescent="0.2">
      <c r="C493" s="209">
        <v>11</v>
      </c>
      <c r="D493" s="647" t="str">
        <f t="shared" ref="D493:D502" si="360">INDEX(MBSDecNames,C493)</f>
        <v>** NOT USED **</v>
      </c>
      <c r="E493" s="647"/>
      <c r="F493" s="647"/>
      <c r="G493" s="610"/>
      <c r="H493" s="611"/>
      <c r="I493" s="611"/>
      <c r="J493" s="62" t="str">
        <f t="shared" si="348"/>
        <v/>
      </c>
      <c r="Y493" s="209">
        <f t="shared" si="349"/>
        <v>0</v>
      </c>
      <c r="Z493" s="209" t="str">
        <f t="shared" si="350"/>
        <v/>
      </c>
      <c r="AA493" s="515">
        <f t="shared" si="351"/>
        <v>0</v>
      </c>
      <c r="AH493" s="371">
        <v>7</v>
      </c>
      <c r="AI493" s="369">
        <f t="shared" si="352"/>
        <v>0</v>
      </c>
      <c r="AJ493" s="369">
        <f t="shared" si="352"/>
        <v>0</v>
      </c>
      <c r="AK493" s="369">
        <f t="shared" si="352"/>
        <v>0</v>
      </c>
      <c r="AL493" s="369">
        <f t="shared" si="352"/>
        <v>0</v>
      </c>
      <c r="AM493" s="369">
        <f t="shared" si="352"/>
        <v>0</v>
      </c>
      <c r="AN493" s="370">
        <f t="shared" si="352"/>
        <v>0</v>
      </c>
      <c r="AO493" s="509"/>
      <c r="AP493" s="369">
        <f t="shared" si="353"/>
        <v>0</v>
      </c>
      <c r="AQ493" s="369">
        <f t="shared" si="353"/>
        <v>0</v>
      </c>
      <c r="AR493" s="369">
        <f t="shared" si="353"/>
        <v>0</v>
      </c>
      <c r="AS493" s="369">
        <f t="shared" si="353"/>
        <v>0</v>
      </c>
      <c r="AT493" s="369">
        <f t="shared" si="353"/>
        <v>0</v>
      </c>
      <c r="AU493" s="512">
        <f t="shared" si="353"/>
        <v>0</v>
      </c>
      <c r="AV493" s="371"/>
      <c r="AW493" s="369">
        <f t="shared" si="354"/>
        <v>0</v>
      </c>
      <c r="AX493" s="369">
        <f t="shared" si="355"/>
        <v>0</v>
      </c>
      <c r="AY493" s="369">
        <f t="shared" si="356"/>
        <v>0</v>
      </c>
      <c r="AZ493" s="369">
        <f t="shared" si="357"/>
        <v>0</v>
      </c>
      <c r="BA493" s="369">
        <f t="shared" si="358"/>
        <v>0</v>
      </c>
      <c r="BB493" s="370">
        <f t="shared" si="359"/>
        <v>0</v>
      </c>
    </row>
    <row r="494" spans="3:54" outlineLevel="1" x14ac:dyDescent="0.2">
      <c r="C494" s="209">
        <v>12</v>
      </c>
      <c r="D494" s="647" t="str">
        <f t="shared" si="360"/>
        <v>** NOT USED **</v>
      </c>
      <c r="E494" s="647"/>
      <c r="F494" s="647"/>
      <c r="G494" s="610"/>
      <c r="H494" s="611"/>
      <c r="I494" s="611"/>
      <c r="J494" s="62" t="str">
        <f t="shared" si="348"/>
        <v/>
      </c>
      <c r="Y494" s="209">
        <f t="shared" si="349"/>
        <v>0</v>
      </c>
      <c r="Z494" s="209" t="str">
        <f t="shared" si="350"/>
        <v/>
      </c>
      <c r="AA494" s="515">
        <f t="shared" si="351"/>
        <v>0</v>
      </c>
      <c r="AH494" s="371">
        <v>8</v>
      </c>
      <c r="AI494" s="369">
        <f t="shared" si="352"/>
        <v>0</v>
      </c>
      <c r="AJ494" s="369">
        <f t="shared" si="352"/>
        <v>0</v>
      </c>
      <c r="AK494" s="369">
        <f t="shared" si="352"/>
        <v>0</v>
      </c>
      <c r="AL494" s="369">
        <f t="shared" si="352"/>
        <v>0</v>
      </c>
      <c r="AM494" s="369">
        <f t="shared" si="352"/>
        <v>0</v>
      </c>
      <c r="AN494" s="370">
        <f t="shared" si="352"/>
        <v>0</v>
      </c>
      <c r="AO494" s="509"/>
      <c r="AP494" s="369">
        <f t="shared" si="353"/>
        <v>0</v>
      </c>
      <c r="AQ494" s="369">
        <f t="shared" si="353"/>
        <v>0</v>
      </c>
      <c r="AR494" s="369">
        <f t="shared" si="353"/>
        <v>0</v>
      </c>
      <c r="AS494" s="369">
        <f t="shared" si="353"/>
        <v>0</v>
      </c>
      <c r="AT494" s="369">
        <f t="shared" si="353"/>
        <v>0</v>
      </c>
      <c r="AU494" s="512">
        <f t="shared" si="353"/>
        <v>0</v>
      </c>
      <c r="AV494" s="371"/>
      <c r="AW494" s="369">
        <f t="shared" si="354"/>
        <v>0</v>
      </c>
      <c r="AX494" s="369">
        <f t="shared" si="355"/>
        <v>0</v>
      </c>
      <c r="AY494" s="369">
        <f t="shared" si="356"/>
        <v>0</v>
      </c>
      <c r="AZ494" s="369">
        <f t="shared" si="357"/>
        <v>0</v>
      </c>
      <c r="BA494" s="369">
        <f t="shared" si="358"/>
        <v>0</v>
      </c>
      <c r="BB494" s="370">
        <f t="shared" si="359"/>
        <v>0</v>
      </c>
    </row>
    <row r="495" spans="3:54" outlineLevel="1" x14ac:dyDescent="0.2">
      <c r="C495" s="209">
        <v>13</v>
      </c>
      <c r="D495" s="647" t="str">
        <f t="shared" si="360"/>
        <v>** NOT USED **</v>
      </c>
      <c r="E495" s="647"/>
      <c r="F495" s="647"/>
      <c r="G495" s="610"/>
      <c r="H495" s="611"/>
      <c r="I495" s="611"/>
      <c r="J495" s="62" t="str">
        <f t="shared" si="348"/>
        <v/>
      </c>
      <c r="Y495" s="209">
        <f t="shared" si="349"/>
        <v>0</v>
      </c>
      <c r="Z495" s="209" t="str">
        <f t="shared" si="350"/>
        <v/>
      </c>
      <c r="AA495" s="515">
        <f t="shared" si="351"/>
        <v>0</v>
      </c>
      <c r="AH495" s="371">
        <v>9</v>
      </c>
      <c r="AI495" s="369">
        <f t="shared" si="352"/>
        <v>0</v>
      </c>
      <c r="AJ495" s="369">
        <f t="shared" si="352"/>
        <v>0</v>
      </c>
      <c r="AK495" s="369">
        <f t="shared" si="352"/>
        <v>0</v>
      </c>
      <c r="AL495" s="369">
        <f t="shared" si="352"/>
        <v>0</v>
      </c>
      <c r="AM495" s="369">
        <f t="shared" si="352"/>
        <v>0</v>
      </c>
      <c r="AN495" s="370">
        <f t="shared" si="352"/>
        <v>0</v>
      </c>
      <c r="AO495" s="509"/>
      <c r="AP495" s="369">
        <f t="shared" si="353"/>
        <v>0</v>
      </c>
      <c r="AQ495" s="369">
        <f t="shared" si="353"/>
        <v>0</v>
      </c>
      <c r="AR495" s="369">
        <f t="shared" si="353"/>
        <v>0</v>
      </c>
      <c r="AS495" s="369">
        <f t="shared" si="353"/>
        <v>0</v>
      </c>
      <c r="AT495" s="369">
        <f t="shared" si="353"/>
        <v>0</v>
      </c>
      <c r="AU495" s="512">
        <f t="shared" si="353"/>
        <v>0</v>
      </c>
      <c r="AV495" s="371"/>
      <c r="AW495" s="369">
        <f t="shared" si="354"/>
        <v>0</v>
      </c>
      <c r="AX495" s="369">
        <f t="shared" si="355"/>
        <v>0</v>
      </c>
      <c r="AY495" s="369">
        <f t="shared" si="356"/>
        <v>0</v>
      </c>
      <c r="AZ495" s="369">
        <f t="shared" si="357"/>
        <v>0</v>
      </c>
      <c r="BA495" s="369">
        <f t="shared" si="358"/>
        <v>0</v>
      </c>
      <c r="BB495" s="370">
        <f t="shared" si="359"/>
        <v>0</v>
      </c>
    </row>
    <row r="496" spans="3:54" outlineLevel="1" x14ac:dyDescent="0.2">
      <c r="C496" s="209">
        <v>14</v>
      </c>
      <c r="D496" s="647" t="str">
        <f t="shared" si="360"/>
        <v>** NOT USED **</v>
      </c>
      <c r="E496" s="647"/>
      <c r="F496" s="647"/>
      <c r="G496" s="610"/>
      <c r="H496" s="611"/>
      <c r="I496" s="611"/>
      <c r="J496" s="62" t="str">
        <f t="shared" si="348"/>
        <v/>
      </c>
      <c r="Y496" s="209">
        <f t="shared" si="349"/>
        <v>0</v>
      </c>
      <c r="Z496" s="209" t="str">
        <f t="shared" si="350"/>
        <v/>
      </c>
      <c r="AA496" s="515">
        <f t="shared" si="351"/>
        <v>0</v>
      </c>
      <c r="AH496" s="371">
        <v>10</v>
      </c>
      <c r="AI496" s="369">
        <f t="shared" si="352"/>
        <v>0</v>
      </c>
      <c r="AJ496" s="369">
        <f t="shared" si="352"/>
        <v>0</v>
      </c>
      <c r="AK496" s="369">
        <f t="shared" si="352"/>
        <v>0</v>
      </c>
      <c r="AL496" s="369">
        <f t="shared" si="352"/>
        <v>0</v>
      </c>
      <c r="AM496" s="369">
        <f t="shared" si="352"/>
        <v>0</v>
      </c>
      <c r="AN496" s="370">
        <f t="shared" si="352"/>
        <v>0</v>
      </c>
      <c r="AO496" s="509"/>
      <c r="AP496" s="369">
        <f t="shared" si="353"/>
        <v>0</v>
      </c>
      <c r="AQ496" s="369">
        <f t="shared" si="353"/>
        <v>0</v>
      </c>
      <c r="AR496" s="369">
        <f t="shared" si="353"/>
        <v>0</v>
      </c>
      <c r="AS496" s="369">
        <f t="shared" si="353"/>
        <v>0</v>
      </c>
      <c r="AT496" s="369">
        <f t="shared" si="353"/>
        <v>0</v>
      </c>
      <c r="AU496" s="512">
        <f t="shared" si="353"/>
        <v>0</v>
      </c>
      <c r="AV496" s="371"/>
      <c r="AW496" s="369">
        <f t="shared" si="354"/>
        <v>0</v>
      </c>
      <c r="AX496" s="369">
        <f t="shared" si="355"/>
        <v>0</v>
      </c>
      <c r="AY496" s="369">
        <f t="shared" si="356"/>
        <v>0</v>
      </c>
      <c r="AZ496" s="369">
        <f t="shared" si="357"/>
        <v>0</v>
      </c>
      <c r="BA496" s="369">
        <f t="shared" si="358"/>
        <v>0</v>
      </c>
      <c r="BB496" s="370">
        <f t="shared" si="359"/>
        <v>0</v>
      </c>
    </row>
    <row r="497" spans="1:54" outlineLevel="1" x14ac:dyDescent="0.2">
      <c r="C497" s="209">
        <v>15</v>
      </c>
      <c r="D497" s="647" t="str">
        <f t="shared" si="360"/>
        <v>** NOT USED **</v>
      </c>
      <c r="E497" s="647"/>
      <c r="F497" s="647"/>
      <c r="G497" s="610"/>
      <c r="H497" s="611"/>
      <c r="I497" s="611"/>
      <c r="J497" s="62" t="str">
        <f t="shared" si="348"/>
        <v/>
      </c>
      <c r="Y497" s="209">
        <f t="shared" si="349"/>
        <v>0</v>
      </c>
      <c r="Z497" s="209" t="str">
        <f t="shared" si="350"/>
        <v/>
      </c>
      <c r="AA497" s="515">
        <f t="shared" si="351"/>
        <v>0</v>
      </c>
      <c r="AH497" s="371">
        <v>11</v>
      </c>
      <c r="AI497" s="369">
        <f t="shared" ref="AI497:AN506" si="361">IF(OR(ScriptSourceCode=1,ScriptSourceCode=3),AI468-AI521,0)</f>
        <v>0</v>
      </c>
      <c r="AJ497" s="369">
        <f t="shared" si="361"/>
        <v>0</v>
      </c>
      <c r="AK497" s="369">
        <f t="shared" si="361"/>
        <v>0</v>
      </c>
      <c r="AL497" s="369">
        <f t="shared" si="361"/>
        <v>0</v>
      </c>
      <c r="AM497" s="369">
        <f t="shared" si="361"/>
        <v>0</v>
      </c>
      <c r="AN497" s="370">
        <f t="shared" si="361"/>
        <v>0</v>
      </c>
      <c r="AO497" s="509"/>
      <c r="AP497" s="369">
        <f t="shared" ref="AP497:AU506" si="362">IF(OR(ScriptSourceCode=1,ScriptSourceCode=3),AP468-AP521,0)</f>
        <v>0</v>
      </c>
      <c r="AQ497" s="369">
        <f t="shared" si="362"/>
        <v>0</v>
      </c>
      <c r="AR497" s="369">
        <f t="shared" si="362"/>
        <v>0</v>
      </c>
      <c r="AS497" s="369">
        <f t="shared" si="362"/>
        <v>0</v>
      </c>
      <c r="AT497" s="369">
        <f t="shared" si="362"/>
        <v>0</v>
      </c>
      <c r="AU497" s="512">
        <f t="shared" si="362"/>
        <v>0</v>
      </c>
      <c r="AV497" s="371"/>
      <c r="AW497" s="369">
        <f t="shared" ref="AW497:AW506" si="363">AI497+AP497</f>
        <v>0</v>
      </c>
      <c r="AX497" s="369">
        <f t="shared" ref="AX497:AX506" si="364">AJ497+AQ497</f>
        <v>0</v>
      </c>
      <c r="AY497" s="369">
        <f t="shared" ref="AY497:AY506" si="365">AK497+AR497</f>
        <v>0</v>
      </c>
      <c r="AZ497" s="369">
        <f t="shared" ref="AZ497:AZ506" si="366">AL497+AS497</f>
        <v>0</v>
      </c>
      <c r="BA497" s="369">
        <f t="shared" ref="BA497:BA506" si="367">AM497+AT497</f>
        <v>0</v>
      </c>
      <c r="BB497" s="370">
        <f t="shared" ref="BB497:BB506" si="368">AN497+AU497</f>
        <v>0</v>
      </c>
    </row>
    <row r="498" spans="1:54" outlineLevel="1" x14ac:dyDescent="0.2">
      <c r="C498" s="209">
        <v>16</v>
      </c>
      <c r="D498" s="647" t="str">
        <f t="shared" si="360"/>
        <v>** NOT USED **</v>
      </c>
      <c r="E498" s="647"/>
      <c r="F498" s="647"/>
      <c r="G498" s="610"/>
      <c r="H498" s="611"/>
      <c r="I498" s="611"/>
      <c r="J498" s="62" t="str">
        <f t="shared" si="348"/>
        <v/>
      </c>
      <c r="Y498" s="209">
        <f t="shared" si="349"/>
        <v>0</v>
      </c>
      <c r="Z498" s="209" t="str">
        <f t="shared" si="350"/>
        <v/>
      </c>
      <c r="AA498" s="515">
        <f t="shared" si="351"/>
        <v>0</v>
      </c>
      <c r="AH498" s="371">
        <v>12</v>
      </c>
      <c r="AI498" s="369">
        <f t="shared" si="361"/>
        <v>0</v>
      </c>
      <c r="AJ498" s="369">
        <f t="shared" si="361"/>
        <v>0</v>
      </c>
      <c r="AK498" s="369">
        <f t="shared" si="361"/>
        <v>0</v>
      </c>
      <c r="AL498" s="369">
        <f t="shared" si="361"/>
        <v>0</v>
      </c>
      <c r="AM498" s="369">
        <f t="shared" si="361"/>
        <v>0</v>
      </c>
      <c r="AN498" s="370">
        <f t="shared" si="361"/>
        <v>0</v>
      </c>
      <c r="AO498" s="509"/>
      <c r="AP498" s="369">
        <f t="shared" si="362"/>
        <v>0</v>
      </c>
      <c r="AQ498" s="369">
        <f t="shared" si="362"/>
        <v>0</v>
      </c>
      <c r="AR498" s="369">
        <f t="shared" si="362"/>
        <v>0</v>
      </c>
      <c r="AS498" s="369">
        <f t="shared" si="362"/>
        <v>0</v>
      </c>
      <c r="AT498" s="369">
        <f t="shared" si="362"/>
        <v>0</v>
      </c>
      <c r="AU498" s="512">
        <f t="shared" si="362"/>
        <v>0</v>
      </c>
      <c r="AV498" s="371"/>
      <c r="AW498" s="369">
        <f t="shared" si="363"/>
        <v>0</v>
      </c>
      <c r="AX498" s="369">
        <f t="shared" si="364"/>
        <v>0</v>
      </c>
      <c r="AY498" s="369">
        <f t="shared" si="365"/>
        <v>0</v>
      </c>
      <c r="AZ498" s="369">
        <f t="shared" si="366"/>
        <v>0</v>
      </c>
      <c r="BA498" s="369">
        <f t="shared" si="367"/>
        <v>0</v>
      </c>
      <c r="BB498" s="370">
        <f t="shared" si="368"/>
        <v>0</v>
      </c>
    </row>
    <row r="499" spans="1:54" outlineLevel="1" x14ac:dyDescent="0.2">
      <c r="C499" s="209">
        <v>17</v>
      </c>
      <c r="D499" s="647" t="str">
        <f t="shared" si="360"/>
        <v>** NOT USED **</v>
      </c>
      <c r="E499" s="647"/>
      <c r="F499" s="647"/>
      <c r="G499" s="610"/>
      <c r="H499" s="611"/>
      <c r="I499" s="611"/>
      <c r="J499" s="62" t="str">
        <f t="shared" si="348"/>
        <v/>
      </c>
      <c r="Y499" s="209">
        <f t="shared" si="349"/>
        <v>0</v>
      </c>
      <c r="Z499" s="209" t="str">
        <f t="shared" si="350"/>
        <v/>
      </c>
      <c r="AA499" s="515">
        <f t="shared" si="351"/>
        <v>0</v>
      </c>
      <c r="AH499" s="371">
        <v>13</v>
      </c>
      <c r="AI499" s="369">
        <f t="shared" si="361"/>
        <v>0</v>
      </c>
      <c r="AJ499" s="369">
        <f t="shared" si="361"/>
        <v>0</v>
      </c>
      <c r="AK499" s="369">
        <f t="shared" si="361"/>
        <v>0</v>
      </c>
      <c r="AL499" s="369">
        <f t="shared" si="361"/>
        <v>0</v>
      </c>
      <c r="AM499" s="369">
        <f t="shared" si="361"/>
        <v>0</v>
      </c>
      <c r="AN499" s="370">
        <f t="shared" si="361"/>
        <v>0</v>
      </c>
      <c r="AO499" s="509"/>
      <c r="AP499" s="369">
        <f t="shared" si="362"/>
        <v>0</v>
      </c>
      <c r="AQ499" s="369">
        <f t="shared" si="362"/>
        <v>0</v>
      </c>
      <c r="AR499" s="369">
        <f t="shared" si="362"/>
        <v>0</v>
      </c>
      <c r="AS499" s="369">
        <f t="shared" si="362"/>
        <v>0</v>
      </c>
      <c r="AT499" s="369">
        <f t="shared" si="362"/>
        <v>0</v>
      </c>
      <c r="AU499" s="512">
        <f t="shared" si="362"/>
        <v>0</v>
      </c>
      <c r="AV499" s="371"/>
      <c r="AW499" s="369">
        <f t="shared" si="363"/>
        <v>0</v>
      </c>
      <c r="AX499" s="369">
        <f t="shared" si="364"/>
        <v>0</v>
      </c>
      <c r="AY499" s="369">
        <f t="shared" si="365"/>
        <v>0</v>
      </c>
      <c r="AZ499" s="369">
        <f t="shared" si="366"/>
        <v>0</v>
      </c>
      <c r="BA499" s="369">
        <f t="shared" si="367"/>
        <v>0</v>
      </c>
      <c r="BB499" s="370">
        <f t="shared" si="368"/>
        <v>0</v>
      </c>
    </row>
    <row r="500" spans="1:54" outlineLevel="1" x14ac:dyDescent="0.2">
      <c r="C500" s="209">
        <v>18</v>
      </c>
      <c r="D500" s="647" t="str">
        <f t="shared" si="360"/>
        <v>** NOT USED **</v>
      </c>
      <c r="E500" s="647"/>
      <c r="F500" s="647"/>
      <c r="G500" s="610"/>
      <c r="H500" s="611"/>
      <c r="I500" s="611"/>
      <c r="J500" s="62" t="str">
        <f t="shared" si="348"/>
        <v/>
      </c>
      <c r="Y500" s="209">
        <f t="shared" si="349"/>
        <v>0</v>
      </c>
      <c r="Z500" s="209" t="str">
        <f t="shared" si="350"/>
        <v/>
      </c>
      <c r="AA500" s="515">
        <f t="shared" si="351"/>
        <v>0</v>
      </c>
      <c r="AH500" s="371">
        <v>14</v>
      </c>
      <c r="AI500" s="369">
        <f t="shared" si="361"/>
        <v>0</v>
      </c>
      <c r="AJ500" s="369">
        <f t="shared" si="361"/>
        <v>0</v>
      </c>
      <c r="AK500" s="369">
        <f t="shared" si="361"/>
        <v>0</v>
      </c>
      <c r="AL500" s="369">
        <f t="shared" si="361"/>
        <v>0</v>
      </c>
      <c r="AM500" s="369">
        <f t="shared" si="361"/>
        <v>0</v>
      </c>
      <c r="AN500" s="370">
        <f t="shared" si="361"/>
        <v>0</v>
      </c>
      <c r="AO500" s="509"/>
      <c r="AP500" s="369">
        <f t="shared" si="362"/>
        <v>0</v>
      </c>
      <c r="AQ500" s="369">
        <f t="shared" si="362"/>
        <v>0</v>
      </c>
      <c r="AR500" s="369">
        <f t="shared" si="362"/>
        <v>0</v>
      </c>
      <c r="AS500" s="369">
        <f t="shared" si="362"/>
        <v>0</v>
      </c>
      <c r="AT500" s="369">
        <f t="shared" si="362"/>
        <v>0</v>
      </c>
      <c r="AU500" s="512">
        <f t="shared" si="362"/>
        <v>0</v>
      </c>
      <c r="AV500" s="371"/>
      <c r="AW500" s="369">
        <f t="shared" si="363"/>
        <v>0</v>
      </c>
      <c r="AX500" s="369">
        <f t="shared" si="364"/>
        <v>0</v>
      </c>
      <c r="AY500" s="369">
        <f t="shared" si="365"/>
        <v>0</v>
      </c>
      <c r="AZ500" s="369">
        <f t="shared" si="366"/>
        <v>0</v>
      </c>
      <c r="BA500" s="369">
        <f t="shared" si="367"/>
        <v>0</v>
      </c>
      <c r="BB500" s="370">
        <f t="shared" si="368"/>
        <v>0</v>
      </c>
    </row>
    <row r="501" spans="1:54" outlineLevel="1" x14ac:dyDescent="0.2">
      <c r="C501" s="209">
        <v>19</v>
      </c>
      <c r="D501" s="647" t="str">
        <f t="shared" si="360"/>
        <v>** NOT USED **</v>
      </c>
      <c r="E501" s="647"/>
      <c r="F501" s="647"/>
      <c r="G501" s="610"/>
      <c r="H501" s="611"/>
      <c r="I501" s="611"/>
      <c r="J501" s="62" t="str">
        <f t="shared" si="348"/>
        <v/>
      </c>
      <c r="Y501" s="209">
        <f t="shared" si="349"/>
        <v>0</v>
      </c>
      <c r="Z501" s="209" t="str">
        <f t="shared" si="350"/>
        <v/>
      </c>
      <c r="AA501" s="515">
        <f t="shared" si="351"/>
        <v>0</v>
      </c>
      <c r="AH501" s="371">
        <v>15</v>
      </c>
      <c r="AI501" s="369">
        <f t="shared" si="361"/>
        <v>0</v>
      </c>
      <c r="AJ501" s="369">
        <f t="shared" si="361"/>
        <v>0</v>
      </c>
      <c r="AK501" s="369">
        <f t="shared" si="361"/>
        <v>0</v>
      </c>
      <c r="AL501" s="369">
        <f t="shared" si="361"/>
        <v>0</v>
      </c>
      <c r="AM501" s="369">
        <f t="shared" si="361"/>
        <v>0</v>
      </c>
      <c r="AN501" s="370">
        <f t="shared" si="361"/>
        <v>0</v>
      </c>
      <c r="AO501" s="509"/>
      <c r="AP501" s="369">
        <f t="shared" si="362"/>
        <v>0</v>
      </c>
      <c r="AQ501" s="369">
        <f t="shared" si="362"/>
        <v>0</v>
      </c>
      <c r="AR501" s="369">
        <f t="shared" si="362"/>
        <v>0</v>
      </c>
      <c r="AS501" s="369">
        <f t="shared" si="362"/>
        <v>0</v>
      </c>
      <c r="AT501" s="369">
        <f t="shared" si="362"/>
        <v>0</v>
      </c>
      <c r="AU501" s="512">
        <f t="shared" si="362"/>
        <v>0</v>
      </c>
      <c r="AV501" s="371"/>
      <c r="AW501" s="369">
        <f t="shared" si="363"/>
        <v>0</v>
      </c>
      <c r="AX501" s="369">
        <f t="shared" si="364"/>
        <v>0</v>
      </c>
      <c r="AY501" s="369">
        <f t="shared" si="365"/>
        <v>0</v>
      </c>
      <c r="AZ501" s="369">
        <f t="shared" si="366"/>
        <v>0</v>
      </c>
      <c r="BA501" s="369">
        <f t="shared" si="367"/>
        <v>0</v>
      </c>
      <c r="BB501" s="370">
        <f t="shared" si="368"/>
        <v>0</v>
      </c>
    </row>
    <row r="502" spans="1:54" outlineLevel="1" x14ac:dyDescent="0.2">
      <c r="C502" s="209">
        <v>20</v>
      </c>
      <c r="D502" s="647" t="str">
        <f t="shared" si="360"/>
        <v>** NOT USED **</v>
      </c>
      <c r="E502" s="647"/>
      <c r="F502" s="647"/>
      <c r="G502" s="610"/>
      <c r="H502" s="611"/>
      <c r="I502" s="611"/>
      <c r="J502" s="62" t="str">
        <f t="shared" si="348"/>
        <v/>
      </c>
      <c r="Y502" s="209">
        <f t="shared" si="349"/>
        <v>0</v>
      </c>
      <c r="Z502" s="209" t="str">
        <f t="shared" si="350"/>
        <v/>
      </c>
      <c r="AA502" s="515">
        <f t="shared" si="351"/>
        <v>0</v>
      </c>
      <c r="AH502" s="371">
        <v>16</v>
      </c>
      <c r="AI502" s="369">
        <f t="shared" si="361"/>
        <v>0</v>
      </c>
      <c r="AJ502" s="369">
        <f t="shared" si="361"/>
        <v>0</v>
      </c>
      <c r="AK502" s="369">
        <f t="shared" si="361"/>
        <v>0</v>
      </c>
      <c r="AL502" s="369">
        <f t="shared" si="361"/>
        <v>0</v>
      </c>
      <c r="AM502" s="369">
        <f t="shared" si="361"/>
        <v>0</v>
      </c>
      <c r="AN502" s="370">
        <f t="shared" si="361"/>
        <v>0</v>
      </c>
      <c r="AO502" s="509"/>
      <c r="AP502" s="369">
        <f t="shared" si="362"/>
        <v>0</v>
      </c>
      <c r="AQ502" s="369">
        <f t="shared" si="362"/>
        <v>0</v>
      </c>
      <c r="AR502" s="369">
        <f t="shared" si="362"/>
        <v>0</v>
      </c>
      <c r="AS502" s="369">
        <f t="shared" si="362"/>
        <v>0</v>
      </c>
      <c r="AT502" s="369">
        <f t="shared" si="362"/>
        <v>0</v>
      </c>
      <c r="AU502" s="512">
        <f t="shared" si="362"/>
        <v>0</v>
      </c>
      <c r="AV502" s="371"/>
      <c r="AW502" s="369">
        <f t="shared" si="363"/>
        <v>0</v>
      </c>
      <c r="AX502" s="369">
        <f t="shared" si="364"/>
        <v>0</v>
      </c>
      <c r="AY502" s="369">
        <f t="shared" si="365"/>
        <v>0</v>
      </c>
      <c r="AZ502" s="369">
        <f t="shared" si="366"/>
        <v>0</v>
      </c>
      <c r="BA502" s="369">
        <f t="shared" si="367"/>
        <v>0</v>
      </c>
      <c r="BB502" s="370">
        <f t="shared" si="368"/>
        <v>0</v>
      </c>
    </row>
    <row r="503" spans="1:54" outlineLevel="1" x14ac:dyDescent="0.2">
      <c r="Y503"/>
      <c r="Z503"/>
      <c r="AH503" s="371">
        <v>17</v>
      </c>
      <c r="AI503" s="369">
        <f t="shared" si="361"/>
        <v>0</v>
      </c>
      <c r="AJ503" s="369">
        <f t="shared" si="361"/>
        <v>0</v>
      </c>
      <c r="AK503" s="369">
        <f t="shared" si="361"/>
        <v>0</v>
      </c>
      <c r="AL503" s="369">
        <f t="shared" si="361"/>
        <v>0</v>
      </c>
      <c r="AM503" s="369">
        <f t="shared" si="361"/>
        <v>0</v>
      </c>
      <c r="AN503" s="370">
        <f t="shared" si="361"/>
        <v>0</v>
      </c>
      <c r="AO503" s="509"/>
      <c r="AP503" s="369">
        <f t="shared" si="362"/>
        <v>0</v>
      </c>
      <c r="AQ503" s="369">
        <f t="shared" si="362"/>
        <v>0</v>
      </c>
      <c r="AR503" s="369">
        <f t="shared" si="362"/>
        <v>0</v>
      </c>
      <c r="AS503" s="369">
        <f t="shared" si="362"/>
        <v>0</v>
      </c>
      <c r="AT503" s="369">
        <f t="shared" si="362"/>
        <v>0</v>
      </c>
      <c r="AU503" s="512">
        <f t="shared" si="362"/>
        <v>0</v>
      </c>
      <c r="AV503" s="371"/>
      <c r="AW503" s="369">
        <f t="shared" si="363"/>
        <v>0</v>
      </c>
      <c r="AX503" s="369">
        <f t="shared" si="364"/>
        <v>0</v>
      </c>
      <c r="AY503" s="369">
        <f t="shared" si="365"/>
        <v>0</v>
      </c>
      <c r="AZ503" s="369">
        <f t="shared" si="366"/>
        <v>0</v>
      </c>
      <c r="BA503" s="369">
        <f t="shared" si="367"/>
        <v>0</v>
      </c>
      <c r="BB503" s="370">
        <f t="shared" si="368"/>
        <v>0</v>
      </c>
    </row>
    <row r="504" spans="1:54" outlineLevel="1" x14ac:dyDescent="0.2">
      <c r="D504" s="103" t="s">
        <v>296</v>
      </c>
      <c r="AH504" s="371">
        <v>18</v>
      </c>
      <c r="AI504" s="369">
        <f t="shared" si="361"/>
        <v>0</v>
      </c>
      <c r="AJ504" s="369">
        <f t="shared" si="361"/>
        <v>0</v>
      </c>
      <c r="AK504" s="369">
        <f t="shared" si="361"/>
        <v>0</v>
      </c>
      <c r="AL504" s="369">
        <f t="shared" si="361"/>
        <v>0</v>
      </c>
      <c r="AM504" s="369">
        <f t="shared" si="361"/>
        <v>0</v>
      </c>
      <c r="AN504" s="370">
        <f t="shared" si="361"/>
        <v>0</v>
      </c>
      <c r="AO504" s="509"/>
      <c r="AP504" s="369">
        <f t="shared" si="362"/>
        <v>0</v>
      </c>
      <c r="AQ504" s="369">
        <f t="shared" si="362"/>
        <v>0</v>
      </c>
      <c r="AR504" s="369">
        <f t="shared" si="362"/>
        <v>0</v>
      </c>
      <c r="AS504" s="369">
        <f t="shared" si="362"/>
        <v>0</v>
      </c>
      <c r="AT504" s="369">
        <f t="shared" si="362"/>
        <v>0</v>
      </c>
      <c r="AU504" s="512">
        <f t="shared" si="362"/>
        <v>0</v>
      </c>
      <c r="AV504" s="371"/>
      <c r="AW504" s="369">
        <f t="shared" si="363"/>
        <v>0</v>
      </c>
      <c r="AX504" s="369">
        <f t="shared" si="364"/>
        <v>0</v>
      </c>
      <c r="AY504" s="369">
        <f t="shared" si="365"/>
        <v>0</v>
      </c>
      <c r="AZ504" s="369">
        <f t="shared" si="366"/>
        <v>0</v>
      </c>
      <c r="BA504" s="369">
        <f t="shared" si="367"/>
        <v>0</v>
      </c>
      <c r="BB504" s="370">
        <f t="shared" si="368"/>
        <v>0</v>
      </c>
    </row>
    <row r="505" spans="1:54" outlineLevel="1" collapsed="1" x14ac:dyDescent="0.2">
      <c r="AH505" s="371">
        <v>19</v>
      </c>
      <c r="AI505" s="369">
        <f t="shared" si="361"/>
        <v>0</v>
      </c>
      <c r="AJ505" s="369">
        <f t="shared" si="361"/>
        <v>0</v>
      </c>
      <c r="AK505" s="369">
        <f t="shared" si="361"/>
        <v>0</v>
      </c>
      <c r="AL505" s="369">
        <f t="shared" si="361"/>
        <v>0</v>
      </c>
      <c r="AM505" s="369">
        <f t="shared" si="361"/>
        <v>0</v>
      </c>
      <c r="AN505" s="370">
        <f t="shared" si="361"/>
        <v>0</v>
      </c>
      <c r="AO505" s="509"/>
      <c r="AP505" s="369">
        <f t="shared" si="362"/>
        <v>0</v>
      </c>
      <c r="AQ505" s="369">
        <f t="shared" si="362"/>
        <v>0</v>
      </c>
      <c r="AR505" s="369">
        <f t="shared" si="362"/>
        <v>0</v>
      </c>
      <c r="AS505" s="369">
        <f t="shared" si="362"/>
        <v>0</v>
      </c>
      <c r="AT505" s="369">
        <f t="shared" si="362"/>
        <v>0</v>
      </c>
      <c r="AU505" s="512">
        <f t="shared" si="362"/>
        <v>0</v>
      </c>
      <c r="AV505" s="371"/>
      <c r="AW505" s="369">
        <f t="shared" si="363"/>
        <v>0</v>
      </c>
      <c r="AX505" s="369">
        <f t="shared" si="364"/>
        <v>0</v>
      </c>
      <c r="AY505" s="369">
        <f t="shared" si="365"/>
        <v>0</v>
      </c>
      <c r="AZ505" s="369">
        <f t="shared" si="366"/>
        <v>0</v>
      </c>
      <c r="BA505" s="369">
        <f t="shared" si="367"/>
        <v>0</v>
      </c>
      <c r="BB505" s="370">
        <f t="shared" si="368"/>
        <v>0</v>
      </c>
    </row>
    <row r="506" spans="1:54" ht="16.5" outlineLevel="1" thickBot="1" x14ac:dyDescent="0.25">
      <c r="C506" s="209">
        <v>1</v>
      </c>
      <c r="D506" s="72" t="str">
        <f>INDEX(MBSDecNames,C506)</f>
        <v>** NOT USED **</v>
      </c>
      <c r="E506" s="72"/>
      <c r="F506" s="105"/>
      <c r="G506" s="105"/>
      <c r="H506" s="105"/>
      <c r="I506" s="105"/>
      <c r="J506" s="588" t="str">
        <f>IF(D506&lt;&gt;MsgNotUsed,"Co-payment group " &amp; K458,"")</f>
        <v/>
      </c>
      <c r="K506" s="588"/>
      <c r="L506" s="105"/>
      <c r="M506" s="105"/>
      <c r="N506" s="105"/>
      <c r="O506" s="105"/>
      <c r="P506" s="105"/>
      <c r="Q506" s="105"/>
      <c r="R506" s="105"/>
      <c r="S506" s="105"/>
      <c r="T506" s="105"/>
      <c r="U506" s="105"/>
      <c r="V506" s="105"/>
      <c r="AH506" s="374">
        <v>20</v>
      </c>
      <c r="AI506" s="372">
        <f t="shared" si="361"/>
        <v>0</v>
      </c>
      <c r="AJ506" s="372">
        <f t="shared" si="361"/>
        <v>0</v>
      </c>
      <c r="AK506" s="372">
        <f t="shared" si="361"/>
        <v>0</v>
      </c>
      <c r="AL506" s="372">
        <f t="shared" si="361"/>
        <v>0</v>
      </c>
      <c r="AM506" s="372">
        <f t="shared" si="361"/>
        <v>0</v>
      </c>
      <c r="AN506" s="373">
        <f t="shared" si="361"/>
        <v>0</v>
      </c>
      <c r="AO506" s="510"/>
      <c r="AP506" s="372">
        <f t="shared" si="362"/>
        <v>0</v>
      </c>
      <c r="AQ506" s="372">
        <f t="shared" si="362"/>
        <v>0</v>
      </c>
      <c r="AR506" s="372">
        <f t="shared" si="362"/>
        <v>0</v>
      </c>
      <c r="AS506" s="372">
        <f t="shared" si="362"/>
        <v>0</v>
      </c>
      <c r="AT506" s="372">
        <f t="shared" si="362"/>
        <v>0</v>
      </c>
      <c r="AU506" s="513">
        <f t="shared" si="362"/>
        <v>0</v>
      </c>
      <c r="AV506" s="374"/>
      <c r="AW506" s="372">
        <f t="shared" si="363"/>
        <v>0</v>
      </c>
      <c r="AX506" s="372">
        <f t="shared" si="364"/>
        <v>0</v>
      </c>
      <c r="AY506" s="372">
        <f t="shared" si="365"/>
        <v>0</v>
      </c>
      <c r="AZ506" s="372">
        <f t="shared" si="366"/>
        <v>0</v>
      </c>
      <c r="BA506" s="372">
        <f t="shared" si="367"/>
        <v>0</v>
      </c>
      <c r="BB506" s="373">
        <f t="shared" si="368"/>
        <v>0</v>
      </c>
    </row>
    <row r="507" spans="1:54" ht="13.5" hidden="1" outlineLevel="2" thickBot="1" x14ac:dyDescent="0.25">
      <c r="F507" s="357">
        <v>2</v>
      </c>
      <c r="G507" s="357">
        <v>3</v>
      </c>
      <c r="H507" s="357">
        <v>4</v>
      </c>
      <c r="I507" s="357">
        <v>5</v>
      </c>
      <c r="J507" s="357">
        <v>6</v>
      </c>
      <c r="K507" s="357">
        <v>7</v>
      </c>
      <c r="L507" s="357"/>
    </row>
    <row r="508" spans="1:54" ht="15" hidden="1" outlineLevel="2" x14ac:dyDescent="0.2">
      <c r="D508" s="462" t="s">
        <v>0</v>
      </c>
      <c r="E508" s="462"/>
      <c r="F508" s="74">
        <f>FirstYear</f>
        <v>2026</v>
      </c>
      <c r="G508" s="74">
        <f>F508+1</f>
        <v>2027</v>
      </c>
      <c r="H508" s="74">
        <f>G508+1</f>
        <v>2028</v>
      </c>
      <c r="I508" s="74">
        <f>H508+1</f>
        <v>2029</v>
      </c>
      <c r="J508" s="74">
        <f>I508+1</f>
        <v>2030</v>
      </c>
      <c r="K508" s="74">
        <f>J508+1</f>
        <v>2031</v>
      </c>
      <c r="N508" s="470"/>
      <c r="O508" s="470"/>
      <c r="P508" s="470"/>
      <c r="Q508" s="223"/>
      <c r="R508" s="223"/>
      <c r="S508" s="223"/>
      <c r="T508" s="223"/>
      <c r="U508" s="223"/>
      <c r="V508" s="223"/>
      <c r="X508" s="223"/>
      <c r="Y508" s="223"/>
      <c r="Z508" s="223"/>
      <c r="AA508" s="223"/>
      <c r="AH508" s="648" t="s">
        <v>217</v>
      </c>
      <c r="AI508" s="649"/>
      <c r="AJ508" s="649"/>
      <c r="AK508" s="649"/>
      <c r="AL508" s="649"/>
      <c r="AM508" s="649"/>
      <c r="AN508" s="649"/>
      <c r="AO508" s="649"/>
      <c r="AP508" s="649"/>
      <c r="AQ508" s="649"/>
      <c r="AR508" s="649"/>
      <c r="AS508" s="649"/>
      <c r="AT508" s="649"/>
      <c r="AU508" s="649"/>
      <c r="AV508" s="649"/>
      <c r="AW508" s="649"/>
      <c r="AX508" s="649"/>
      <c r="AY508" s="649"/>
      <c r="AZ508" s="649"/>
      <c r="BA508" s="649"/>
      <c r="BB508" s="650"/>
    </row>
    <row r="509" spans="1:54" ht="13.5" hidden="1" outlineLevel="2" collapsed="1" thickBot="1" x14ac:dyDescent="0.25">
      <c r="E509" s="82" t="s">
        <v>938</v>
      </c>
      <c r="F509" s="239">
        <f t="shared" ref="F509:K509" si="369">F510*INDEX(MBSDecCalc,$C506,3)</f>
        <v>0</v>
      </c>
      <c r="G509" s="239">
        <f t="shared" si="369"/>
        <v>0</v>
      </c>
      <c r="H509" s="239">
        <f t="shared" si="369"/>
        <v>0</v>
      </c>
      <c r="I509" s="239">
        <f t="shared" si="369"/>
        <v>0</v>
      </c>
      <c r="J509" s="239">
        <f t="shared" si="369"/>
        <v>0</v>
      </c>
      <c r="K509" s="239">
        <f t="shared" si="369"/>
        <v>0</v>
      </c>
      <c r="M509" s="471"/>
      <c r="N509" s="463"/>
      <c r="O509" s="463"/>
      <c r="P509" s="463"/>
      <c r="Q509" s="472"/>
      <c r="R509" s="472"/>
      <c r="S509" s="472"/>
      <c r="T509" s="472"/>
      <c r="U509" s="472"/>
      <c r="V509" s="472"/>
      <c r="X509" s="402">
        <f>INDEX(MBSDecItems,C506,1)</f>
        <v>0</v>
      </c>
      <c r="Y509" s="402">
        <f>FirstYear</f>
        <v>2026</v>
      </c>
      <c r="Z509" s="401">
        <f>IF(F510&lt;&gt;0,F510-F512,0)</f>
        <v>0</v>
      </c>
      <c r="AA509" s="401">
        <f>IF(F518&lt;&gt;0,F518-F520,0)</f>
        <v>0</v>
      </c>
      <c r="AH509" s="651" t="str">
        <f>AH485</f>
        <v/>
      </c>
      <c r="AI509" s="652"/>
      <c r="AJ509" s="652"/>
      <c r="AK509" s="652"/>
      <c r="AL509" s="652"/>
      <c r="AM509" s="652"/>
      <c r="AN509" s="653"/>
      <c r="AO509" s="654" t="str">
        <f>AO485</f>
        <v/>
      </c>
      <c r="AP509" s="652"/>
      <c r="AQ509" s="652"/>
      <c r="AR509" s="652"/>
      <c r="AS509" s="652"/>
      <c r="AT509" s="652"/>
      <c r="AU509" s="653"/>
      <c r="AV509" s="654" t="s">
        <v>417</v>
      </c>
      <c r="AW509" s="652"/>
      <c r="AX509" s="652"/>
      <c r="AY509" s="652"/>
      <c r="AZ509" s="652"/>
      <c r="BA509" s="652"/>
      <c r="BB509" s="655"/>
    </row>
    <row r="510" spans="1:54" hidden="1" outlineLevel="2" x14ac:dyDescent="0.2">
      <c r="B510" s="468"/>
      <c r="C510" s="209" t="str">
        <f>INDEX(MBSDecCalc,C506,2)</f>
        <v/>
      </c>
      <c r="E510" s="56" t="s">
        <v>1297</v>
      </c>
      <c r="F510" s="57">
        <f t="shared" ref="F510:K510" si="370">IF(INDEX(MBSDecRate,$C506,2)=2,IFERROR(INDEX(PBSScriptsChanged,$C510,F507),0),IFERROR(INDEX(MBSPBSDec,$C506,INDEX(MBSDecRate,$C506,3)*7+F507),0) * IFERROR(INDEX(MBSDecPopSplit,$C506),0)) * INDEX(MBSDecRate,$C506,1) * INDEX(MBSDecRate,$C506,4)</f>
        <v>0</v>
      </c>
      <c r="G510" s="57">
        <f t="shared" si="370"/>
        <v>0</v>
      </c>
      <c r="H510" s="57">
        <f t="shared" si="370"/>
        <v>0</v>
      </c>
      <c r="I510" s="57">
        <f t="shared" si="370"/>
        <v>0</v>
      </c>
      <c r="J510" s="57">
        <f t="shared" si="370"/>
        <v>0</v>
      </c>
      <c r="K510" s="57">
        <f t="shared" si="370"/>
        <v>0</v>
      </c>
      <c r="O510" s="463"/>
      <c r="P510" s="463"/>
      <c r="Q510" s="472"/>
      <c r="R510" s="472"/>
      <c r="S510" s="472"/>
      <c r="T510" s="472"/>
      <c r="U510" s="472"/>
      <c r="V510" s="472"/>
      <c r="X510" s="402">
        <f>X509</f>
        <v>0</v>
      </c>
      <c r="Y510" s="402">
        <f>Y509+1</f>
        <v>2027</v>
      </c>
      <c r="Z510" s="401">
        <f>IF(G510&lt;&gt;0,G510-G512,0)</f>
        <v>0</v>
      </c>
      <c r="AA510" s="401">
        <f>IF(G518&lt;&gt;0,G518-G520,0)</f>
        <v>0</v>
      </c>
      <c r="AH510" s="303"/>
      <c r="AI510" s="304">
        <f>FirstYear</f>
        <v>2026</v>
      </c>
      <c r="AJ510" s="304">
        <f>AI510+1</f>
        <v>2027</v>
      </c>
      <c r="AK510" s="304">
        <f>AJ510+1</f>
        <v>2028</v>
      </c>
      <c r="AL510" s="304">
        <f>AK510+1</f>
        <v>2029</v>
      </c>
      <c r="AM510" s="304">
        <f>AL510+1</f>
        <v>2030</v>
      </c>
      <c r="AN510" s="305">
        <f>AM510+1</f>
        <v>2031</v>
      </c>
      <c r="AO510" s="508"/>
      <c r="AP510" s="304">
        <f>FirstYear</f>
        <v>2026</v>
      </c>
      <c r="AQ510" s="304">
        <f>AP510+1</f>
        <v>2027</v>
      </c>
      <c r="AR510" s="304">
        <f>AQ510+1</f>
        <v>2028</v>
      </c>
      <c r="AS510" s="304">
        <f>AR510+1</f>
        <v>2029</v>
      </c>
      <c r="AT510" s="304">
        <f>AS510+1</f>
        <v>2030</v>
      </c>
      <c r="AU510" s="511">
        <f>AT510+1</f>
        <v>2031</v>
      </c>
      <c r="AV510" s="303"/>
      <c r="AW510" s="304">
        <f>FirstYear</f>
        <v>2026</v>
      </c>
      <c r="AX510" s="304">
        <f>AW510+1</f>
        <v>2027</v>
      </c>
      <c r="AY510" s="304">
        <f>AX510+1</f>
        <v>2028</v>
      </c>
      <c r="AZ510" s="304">
        <f>AY510+1</f>
        <v>2029</v>
      </c>
      <c r="BA510" s="304">
        <f>AZ510+1</f>
        <v>2030</v>
      </c>
      <c r="BB510" s="305">
        <f>BA510+1</f>
        <v>2031</v>
      </c>
    </row>
    <row r="511" spans="1:54" hidden="1" outlineLevel="2" x14ac:dyDescent="0.2">
      <c r="B511" s="209">
        <v>5</v>
      </c>
      <c r="C511" s="209">
        <v>6</v>
      </c>
      <c r="E511" s="358" t="s">
        <v>1294</v>
      </c>
      <c r="F511" s="57" t="str">
        <f t="shared" ref="F511:K511" si="371">IFERROR(F510*INDEX(MBSDecItems,$C506,$B511)*INDEX(MBSDecItems,$C506,$C511),"")</f>
        <v/>
      </c>
      <c r="G511" s="57" t="str">
        <f t="shared" si="371"/>
        <v/>
      </c>
      <c r="H511" s="57" t="str">
        <f t="shared" si="371"/>
        <v/>
      </c>
      <c r="I511" s="57" t="str">
        <f t="shared" si="371"/>
        <v/>
      </c>
      <c r="J511" s="57" t="str">
        <f t="shared" si="371"/>
        <v/>
      </c>
      <c r="K511" s="57" t="str">
        <f t="shared" si="371"/>
        <v/>
      </c>
      <c r="O511" s="473"/>
      <c r="P511" s="514"/>
      <c r="Q511" s="472"/>
      <c r="R511" s="472"/>
      <c r="S511" s="472"/>
      <c r="T511" s="472"/>
      <c r="U511" s="472"/>
      <c r="V511" s="472"/>
      <c r="X511" s="402">
        <f t="shared" ref="X511:X514" si="372">X510</f>
        <v>0</v>
      </c>
      <c r="Y511" s="402">
        <f>Y510+1</f>
        <v>2028</v>
      </c>
      <c r="Z511" s="401">
        <f>IF(H510&lt;&gt;0,H510-H512,0)</f>
        <v>0</v>
      </c>
      <c r="AA511" s="401">
        <f>IF(H518&lt;&gt;0,H518-H520,0)</f>
        <v>0</v>
      </c>
      <c r="AH511" s="371">
        <v>1</v>
      </c>
      <c r="AI511" s="369">
        <f t="shared" ref="AI511:AN520" si="373">IF(OR(ScriptSourceCode=1,ScriptSourceCode=3),IF($AG458&lt;&gt;0,ROUND(AI458*INDEX(PxTxPhase1Adj,$AG458,9),0),0),0)</f>
        <v>0</v>
      </c>
      <c r="AJ511" s="369">
        <f t="shared" si="373"/>
        <v>0</v>
      </c>
      <c r="AK511" s="369">
        <f t="shared" si="373"/>
        <v>0</v>
      </c>
      <c r="AL511" s="369">
        <f t="shared" si="373"/>
        <v>0</v>
      </c>
      <c r="AM511" s="369">
        <f t="shared" si="373"/>
        <v>0</v>
      </c>
      <c r="AN511" s="370">
        <f t="shared" si="373"/>
        <v>0</v>
      </c>
      <c r="AO511" s="509"/>
      <c r="AP511" s="369">
        <f t="shared" ref="AP511:AU520" si="374">IF(OR(ScriptSourceCode=1,ScriptSourceCode=3),IF($AG458&lt;&gt;0,ROUND(AP458*INDEX(PxTxPhase1Adj,$AG458,9),0),0),0)</f>
        <v>0</v>
      </c>
      <c r="AQ511" s="369">
        <f t="shared" si="374"/>
        <v>0</v>
      </c>
      <c r="AR511" s="369">
        <f t="shared" si="374"/>
        <v>0</v>
      </c>
      <c r="AS511" s="369">
        <f t="shared" si="374"/>
        <v>0</v>
      </c>
      <c r="AT511" s="369">
        <f t="shared" si="374"/>
        <v>0</v>
      </c>
      <c r="AU511" s="512">
        <f t="shared" si="374"/>
        <v>0</v>
      </c>
      <c r="AV511" s="371"/>
      <c r="AW511" s="369">
        <f t="shared" ref="AW511:AW518" si="375">AI511+AP511</f>
        <v>0</v>
      </c>
      <c r="AX511" s="369">
        <f t="shared" ref="AX511:AX518" si="376">AJ511+AQ511</f>
        <v>0</v>
      </c>
      <c r="AY511" s="369">
        <f t="shared" ref="AY511:AY518" si="377">AK511+AR511</f>
        <v>0</v>
      </c>
      <c r="AZ511" s="369">
        <f t="shared" ref="AZ511:AZ518" si="378">AL511+AS511</f>
        <v>0</v>
      </c>
      <c r="BA511" s="369">
        <f t="shared" ref="BA511:BA518" si="379">AM511+AT511</f>
        <v>0</v>
      </c>
      <c r="BB511" s="370">
        <f t="shared" ref="BB511:BB518" si="380">AN511+AU511</f>
        <v>0</v>
      </c>
    </row>
    <row r="512" spans="1:54" hidden="1" outlineLevel="2" x14ac:dyDescent="0.2">
      <c r="A512"/>
      <c r="B512" s="209">
        <v>4</v>
      </c>
      <c r="C512" s="209">
        <v>6</v>
      </c>
      <c r="E512" s="358" t="s">
        <v>1293</v>
      </c>
      <c r="F512" s="57" t="str">
        <f t="shared" ref="F512:K512" si="381">IFERROR(F510*INDEX(MBSDecItems,$C506,$B512)*INDEX(MBSDecItems,$C506,$C512),"")</f>
        <v/>
      </c>
      <c r="G512" s="57" t="str">
        <f t="shared" si="381"/>
        <v/>
      </c>
      <c r="H512" s="57" t="str">
        <f t="shared" si="381"/>
        <v/>
      </c>
      <c r="I512" s="57" t="str">
        <f t="shared" si="381"/>
        <v/>
      </c>
      <c r="J512" s="57" t="str">
        <f t="shared" si="381"/>
        <v/>
      </c>
      <c r="K512" s="57" t="str">
        <f t="shared" si="381"/>
        <v/>
      </c>
      <c r="L512"/>
      <c r="M512"/>
      <c r="N512"/>
      <c r="O512"/>
      <c r="P512"/>
      <c r="Q512"/>
      <c r="R512"/>
      <c r="S512"/>
      <c r="T512"/>
      <c r="U512"/>
      <c r="V512"/>
      <c r="X512" s="402">
        <f t="shared" si="372"/>
        <v>0</v>
      </c>
      <c r="Y512" s="402">
        <f>Y511+1</f>
        <v>2029</v>
      </c>
      <c r="Z512" s="401">
        <f>IF(I510&lt;&gt;0,I510-I512,0)</f>
        <v>0</v>
      </c>
      <c r="AA512" s="401">
        <f>IF(I518&lt;&gt;0,I518-I520,0)</f>
        <v>0</v>
      </c>
      <c r="AB512" s="223"/>
      <c r="AH512" s="371">
        <v>2</v>
      </c>
      <c r="AI512" s="369">
        <f t="shared" si="373"/>
        <v>0</v>
      </c>
      <c r="AJ512" s="369">
        <f t="shared" si="373"/>
        <v>0</v>
      </c>
      <c r="AK512" s="369">
        <f t="shared" si="373"/>
        <v>0</v>
      </c>
      <c r="AL512" s="369">
        <f t="shared" si="373"/>
        <v>0</v>
      </c>
      <c r="AM512" s="369">
        <f t="shared" si="373"/>
        <v>0</v>
      </c>
      <c r="AN512" s="370">
        <f t="shared" si="373"/>
        <v>0</v>
      </c>
      <c r="AO512" s="509"/>
      <c r="AP512" s="369">
        <f t="shared" si="374"/>
        <v>0</v>
      </c>
      <c r="AQ512" s="369">
        <f t="shared" si="374"/>
        <v>0</v>
      </c>
      <c r="AR512" s="369">
        <f t="shared" si="374"/>
        <v>0</v>
      </c>
      <c r="AS512" s="369">
        <f t="shared" si="374"/>
        <v>0</v>
      </c>
      <c r="AT512" s="369">
        <f t="shared" si="374"/>
        <v>0</v>
      </c>
      <c r="AU512" s="512">
        <f t="shared" si="374"/>
        <v>0</v>
      </c>
      <c r="AV512" s="371"/>
      <c r="AW512" s="369">
        <f t="shared" si="375"/>
        <v>0</v>
      </c>
      <c r="AX512" s="369">
        <f t="shared" si="376"/>
        <v>0</v>
      </c>
      <c r="AY512" s="369">
        <f t="shared" si="377"/>
        <v>0</v>
      </c>
      <c r="AZ512" s="369">
        <f t="shared" si="378"/>
        <v>0</v>
      </c>
      <c r="BA512" s="369">
        <f t="shared" si="379"/>
        <v>0</v>
      </c>
      <c r="BB512" s="370">
        <f t="shared" si="380"/>
        <v>0</v>
      </c>
    </row>
    <row r="513" spans="2:54" hidden="1" outlineLevel="2" x14ac:dyDescent="0.2">
      <c r="B513" s="209"/>
      <c r="C513" s="209">
        <v>7</v>
      </c>
      <c r="E513" s="359" t="s">
        <v>1295</v>
      </c>
      <c r="F513" s="57" t="str">
        <f t="shared" ref="F513:K513" si="382">IFERROR(F510*INDEX(MBSDecItems,$C506,$C513),"")</f>
        <v/>
      </c>
      <c r="G513" s="57" t="str">
        <f t="shared" si="382"/>
        <v/>
      </c>
      <c r="H513" s="57" t="str">
        <f t="shared" si="382"/>
        <v/>
      </c>
      <c r="I513" s="57" t="str">
        <f t="shared" si="382"/>
        <v/>
      </c>
      <c r="J513" s="57" t="str">
        <f t="shared" si="382"/>
        <v/>
      </c>
      <c r="K513" s="57" t="str">
        <f t="shared" si="382"/>
        <v/>
      </c>
      <c r="O513" s="473"/>
      <c r="P513" s="514"/>
      <c r="Q513" s="472"/>
      <c r="R513" s="472"/>
      <c r="S513" s="472"/>
      <c r="T513" s="472"/>
      <c r="U513" s="472"/>
      <c r="V513" s="472"/>
      <c r="X513" s="402">
        <f t="shared" si="372"/>
        <v>0</v>
      </c>
      <c r="Y513" s="402">
        <f>Y512+1</f>
        <v>2030</v>
      </c>
      <c r="Z513" s="401">
        <f>IF(J510&lt;&gt;0,J510-J512,0)</f>
        <v>0</v>
      </c>
      <c r="AA513" s="401">
        <f>IF(J518&lt;&gt;0,J518-J520,0)</f>
        <v>0</v>
      </c>
      <c r="AB513" s="469"/>
      <c r="AH513" s="371">
        <v>3</v>
      </c>
      <c r="AI513" s="369">
        <f t="shared" si="373"/>
        <v>0</v>
      </c>
      <c r="AJ513" s="369">
        <f t="shared" si="373"/>
        <v>0</v>
      </c>
      <c r="AK513" s="369">
        <f t="shared" si="373"/>
        <v>0</v>
      </c>
      <c r="AL513" s="369">
        <f t="shared" si="373"/>
        <v>0</v>
      </c>
      <c r="AM513" s="369">
        <f t="shared" si="373"/>
        <v>0</v>
      </c>
      <c r="AN513" s="370">
        <f t="shared" si="373"/>
        <v>0</v>
      </c>
      <c r="AO513" s="509"/>
      <c r="AP513" s="369">
        <f t="shared" si="374"/>
        <v>0</v>
      </c>
      <c r="AQ513" s="369">
        <f t="shared" si="374"/>
        <v>0</v>
      </c>
      <c r="AR513" s="369">
        <f t="shared" si="374"/>
        <v>0</v>
      </c>
      <c r="AS513" s="369">
        <f t="shared" si="374"/>
        <v>0</v>
      </c>
      <c r="AT513" s="369">
        <f t="shared" si="374"/>
        <v>0</v>
      </c>
      <c r="AU513" s="512">
        <f t="shared" si="374"/>
        <v>0</v>
      </c>
      <c r="AV513" s="371"/>
      <c r="AW513" s="369">
        <f t="shared" si="375"/>
        <v>0</v>
      </c>
      <c r="AX513" s="369">
        <f t="shared" si="376"/>
        <v>0</v>
      </c>
      <c r="AY513" s="369">
        <f t="shared" si="377"/>
        <v>0</v>
      </c>
      <c r="AZ513" s="369">
        <f t="shared" si="378"/>
        <v>0</v>
      </c>
      <c r="BA513" s="369">
        <f t="shared" si="379"/>
        <v>0</v>
      </c>
      <c r="BB513" s="370">
        <f t="shared" si="380"/>
        <v>0</v>
      </c>
    </row>
    <row r="514" spans="2:54" hidden="1" outlineLevel="2" x14ac:dyDescent="0.2">
      <c r="O514" s="473"/>
      <c r="P514" s="473"/>
      <c r="Q514" s="472"/>
      <c r="R514" s="472"/>
      <c r="S514" s="472"/>
      <c r="T514" s="472"/>
      <c r="U514" s="472"/>
      <c r="V514" s="472"/>
      <c r="X514" s="402">
        <f t="shared" si="372"/>
        <v>0</v>
      </c>
      <c r="Y514" s="402">
        <f>Y513+1</f>
        <v>2031</v>
      </c>
      <c r="Z514" s="401">
        <f>IF(K510&lt;&gt;0,K510-K512,0)</f>
        <v>0</v>
      </c>
      <c r="AA514" s="401">
        <f>IF(K518&lt;&gt;0,K518-K520,0)</f>
        <v>0</v>
      </c>
      <c r="AB514" s="469"/>
      <c r="AH514" s="371">
        <v>4</v>
      </c>
      <c r="AI514" s="369">
        <f t="shared" si="373"/>
        <v>0</v>
      </c>
      <c r="AJ514" s="369">
        <f t="shared" si="373"/>
        <v>0</v>
      </c>
      <c r="AK514" s="369">
        <f t="shared" si="373"/>
        <v>0</v>
      </c>
      <c r="AL514" s="369">
        <f t="shared" si="373"/>
        <v>0</v>
      </c>
      <c r="AM514" s="369">
        <f t="shared" si="373"/>
        <v>0</v>
      </c>
      <c r="AN514" s="370">
        <f t="shared" si="373"/>
        <v>0</v>
      </c>
      <c r="AO514" s="509"/>
      <c r="AP514" s="369">
        <f t="shared" si="374"/>
        <v>0</v>
      </c>
      <c r="AQ514" s="369">
        <f t="shared" si="374"/>
        <v>0</v>
      </c>
      <c r="AR514" s="369">
        <f t="shared" si="374"/>
        <v>0</v>
      </c>
      <c r="AS514" s="369">
        <f t="shared" si="374"/>
        <v>0</v>
      </c>
      <c r="AT514" s="369">
        <f t="shared" si="374"/>
        <v>0</v>
      </c>
      <c r="AU514" s="512">
        <f t="shared" si="374"/>
        <v>0</v>
      </c>
      <c r="AV514" s="371"/>
      <c r="AW514" s="369">
        <f t="shared" si="375"/>
        <v>0</v>
      </c>
      <c r="AX514" s="369">
        <f t="shared" si="376"/>
        <v>0</v>
      </c>
      <c r="AY514" s="369">
        <f t="shared" si="377"/>
        <v>0</v>
      </c>
      <c r="AZ514" s="369">
        <f t="shared" si="378"/>
        <v>0</v>
      </c>
      <c r="BA514" s="369">
        <f t="shared" si="379"/>
        <v>0</v>
      </c>
      <c r="BB514" s="370">
        <f t="shared" si="380"/>
        <v>0</v>
      </c>
    </row>
    <row r="515" spans="2:54" hidden="1" outlineLevel="2" x14ac:dyDescent="0.2">
      <c r="D515" s="360"/>
      <c r="E515" s="360"/>
      <c r="F515" s="357">
        <v>2</v>
      </c>
      <c r="G515" s="357">
        <v>3</v>
      </c>
      <c r="H515" s="357">
        <v>4</v>
      </c>
      <c r="I515" s="357">
        <v>5</v>
      </c>
      <c r="J515" s="357">
        <v>6</v>
      </c>
      <c r="K515" s="357">
        <v>7</v>
      </c>
      <c r="N515" s="360"/>
      <c r="O515" s="360"/>
      <c r="P515" s="360"/>
      <c r="AB515" s="469"/>
      <c r="AH515" s="371">
        <v>5</v>
      </c>
      <c r="AI515" s="369">
        <f t="shared" si="373"/>
        <v>0</v>
      </c>
      <c r="AJ515" s="369">
        <f t="shared" si="373"/>
        <v>0</v>
      </c>
      <c r="AK515" s="369">
        <f t="shared" si="373"/>
        <v>0</v>
      </c>
      <c r="AL515" s="369">
        <f t="shared" si="373"/>
        <v>0</v>
      </c>
      <c r="AM515" s="369">
        <f t="shared" si="373"/>
        <v>0</v>
      </c>
      <c r="AN515" s="370">
        <f t="shared" si="373"/>
        <v>0</v>
      </c>
      <c r="AO515" s="509"/>
      <c r="AP515" s="369">
        <f t="shared" si="374"/>
        <v>0</v>
      </c>
      <c r="AQ515" s="369">
        <f t="shared" si="374"/>
        <v>0</v>
      </c>
      <c r="AR515" s="369">
        <f t="shared" si="374"/>
        <v>0</v>
      </c>
      <c r="AS515" s="369">
        <f t="shared" si="374"/>
        <v>0</v>
      </c>
      <c r="AT515" s="369">
        <f t="shared" si="374"/>
        <v>0</v>
      </c>
      <c r="AU515" s="512">
        <f t="shared" si="374"/>
        <v>0</v>
      </c>
      <c r="AV515" s="371"/>
      <c r="AW515" s="369">
        <f t="shared" si="375"/>
        <v>0</v>
      </c>
      <c r="AX515" s="369">
        <f t="shared" si="376"/>
        <v>0</v>
      </c>
      <c r="AY515" s="369">
        <f t="shared" si="377"/>
        <v>0</v>
      </c>
      <c r="AZ515" s="369">
        <f t="shared" si="378"/>
        <v>0</v>
      </c>
      <c r="BA515" s="369">
        <f t="shared" si="379"/>
        <v>0</v>
      </c>
      <c r="BB515" s="370">
        <f t="shared" si="380"/>
        <v>0</v>
      </c>
    </row>
    <row r="516" spans="2:54" ht="15.75" hidden="1" outlineLevel="2" x14ac:dyDescent="0.2">
      <c r="D516" s="462" t="s">
        <v>1</v>
      </c>
      <c r="E516" s="462"/>
      <c r="F516" s="74">
        <f>FirstYear</f>
        <v>2026</v>
      </c>
      <c r="G516" s="74">
        <f>F516+1</f>
        <v>2027</v>
      </c>
      <c r="H516" s="74">
        <f>G516+1</f>
        <v>2028</v>
      </c>
      <c r="I516" s="74">
        <f>H516+1</f>
        <v>2029</v>
      </c>
      <c r="J516" s="74">
        <f>I516+1</f>
        <v>2030</v>
      </c>
      <c r="K516" s="74">
        <f>J516+1</f>
        <v>2031</v>
      </c>
      <c r="N516" s="466"/>
      <c r="O516" s="466"/>
      <c r="P516" s="466"/>
      <c r="AB516" s="469"/>
      <c r="AH516" s="371">
        <v>6</v>
      </c>
      <c r="AI516" s="369">
        <f t="shared" si="373"/>
        <v>0</v>
      </c>
      <c r="AJ516" s="369">
        <f t="shared" si="373"/>
        <v>0</v>
      </c>
      <c r="AK516" s="369">
        <f t="shared" si="373"/>
        <v>0</v>
      </c>
      <c r="AL516" s="369">
        <f t="shared" si="373"/>
        <v>0</v>
      </c>
      <c r="AM516" s="369">
        <f t="shared" si="373"/>
        <v>0</v>
      </c>
      <c r="AN516" s="370">
        <f t="shared" si="373"/>
        <v>0</v>
      </c>
      <c r="AO516" s="509"/>
      <c r="AP516" s="369">
        <f t="shared" si="374"/>
        <v>0</v>
      </c>
      <c r="AQ516" s="369">
        <f t="shared" si="374"/>
        <v>0</v>
      </c>
      <c r="AR516" s="369">
        <f t="shared" si="374"/>
        <v>0</v>
      </c>
      <c r="AS516" s="369">
        <f t="shared" si="374"/>
        <v>0</v>
      </c>
      <c r="AT516" s="369">
        <f t="shared" si="374"/>
        <v>0</v>
      </c>
      <c r="AU516" s="512">
        <f t="shared" si="374"/>
        <v>0</v>
      </c>
      <c r="AV516" s="371"/>
      <c r="AW516" s="369">
        <f t="shared" si="375"/>
        <v>0</v>
      </c>
      <c r="AX516" s="369">
        <f t="shared" si="376"/>
        <v>0</v>
      </c>
      <c r="AY516" s="369">
        <f t="shared" si="377"/>
        <v>0</v>
      </c>
      <c r="AZ516" s="369">
        <f t="shared" si="378"/>
        <v>0</v>
      </c>
      <c r="BA516" s="369">
        <f t="shared" si="379"/>
        <v>0</v>
      </c>
      <c r="BB516" s="370">
        <f t="shared" si="380"/>
        <v>0</v>
      </c>
    </row>
    <row r="517" spans="2:54" hidden="1" outlineLevel="2" x14ac:dyDescent="0.2">
      <c r="E517" s="82" t="s">
        <v>938</v>
      </c>
      <c r="F517" s="239">
        <f t="shared" ref="F517:K517" si="383">F518*INDEX(MBSDecCalc,$C506,3)</f>
        <v>0</v>
      </c>
      <c r="G517" s="239">
        <f t="shared" si="383"/>
        <v>0</v>
      </c>
      <c r="H517" s="239">
        <f t="shared" si="383"/>
        <v>0</v>
      </c>
      <c r="I517" s="239">
        <f t="shared" si="383"/>
        <v>0</v>
      </c>
      <c r="J517" s="239">
        <f t="shared" si="383"/>
        <v>0</v>
      </c>
      <c r="K517" s="239">
        <f t="shared" si="383"/>
        <v>0</v>
      </c>
      <c r="M517"/>
      <c r="N517"/>
      <c r="O517" s="360"/>
      <c r="P517" s="360"/>
      <c r="AB517" s="469"/>
      <c r="AH517" s="371">
        <v>7</v>
      </c>
      <c r="AI517" s="369">
        <f t="shared" si="373"/>
        <v>0</v>
      </c>
      <c r="AJ517" s="369">
        <f t="shared" si="373"/>
        <v>0</v>
      </c>
      <c r="AK517" s="369">
        <f t="shared" si="373"/>
        <v>0</v>
      </c>
      <c r="AL517" s="369">
        <f t="shared" si="373"/>
        <v>0</v>
      </c>
      <c r="AM517" s="369">
        <f t="shared" si="373"/>
        <v>0</v>
      </c>
      <c r="AN517" s="370">
        <f t="shared" si="373"/>
        <v>0</v>
      </c>
      <c r="AO517" s="509"/>
      <c r="AP517" s="369">
        <f t="shared" si="374"/>
        <v>0</v>
      </c>
      <c r="AQ517" s="369">
        <f t="shared" si="374"/>
        <v>0</v>
      </c>
      <c r="AR517" s="369">
        <f t="shared" si="374"/>
        <v>0</v>
      </c>
      <c r="AS517" s="369">
        <f t="shared" si="374"/>
        <v>0</v>
      </c>
      <c r="AT517" s="369">
        <f t="shared" si="374"/>
        <v>0</v>
      </c>
      <c r="AU517" s="512">
        <f t="shared" si="374"/>
        <v>0</v>
      </c>
      <c r="AV517" s="371"/>
      <c r="AW517" s="369">
        <f t="shared" si="375"/>
        <v>0</v>
      </c>
      <c r="AX517" s="369">
        <f t="shared" si="376"/>
        <v>0</v>
      </c>
      <c r="AY517" s="369">
        <f t="shared" si="377"/>
        <v>0</v>
      </c>
      <c r="AZ517" s="369">
        <f t="shared" si="378"/>
        <v>0</v>
      </c>
      <c r="BA517" s="369">
        <f t="shared" si="379"/>
        <v>0</v>
      </c>
      <c r="BB517" s="370">
        <f t="shared" si="380"/>
        <v>0</v>
      </c>
    </row>
    <row r="518" spans="2:54" hidden="1" outlineLevel="2" x14ac:dyDescent="0.2">
      <c r="B518" s="468"/>
      <c r="C518" s="209" t="str">
        <f>C510</f>
        <v/>
      </c>
      <c r="E518" s="56" t="s">
        <v>1297</v>
      </c>
      <c r="F518" s="57">
        <f t="shared" ref="F518:K518" si="384">IF(INDEX(MBSDecRate,$C506,2)=2,IFERROR(INDEX(RPBSScriptsChanged,$C518,F515),0),IFERROR(INDEX(MBSRPBSDec,$C506,INDEX(MBSDecRate,$C506,3)*7+F515),0) * IFERROR(INDEX(MBSDecPopSplit,$C506),0)) * INDEX(MBSDecRate,$C506,1) * INDEX(MBSDecRate,$C506,4)</f>
        <v>0</v>
      </c>
      <c r="G518" s="57">
        <f t="shared" si="384"/>
        <v>0</v>
      </c>
      <c r="H518" s="57">
        <f t="shared" si="384"/>
        <v>0</v>
      </c>
      <c r="I518" s="57">
        <f t="shared" si="384"/>
        <v>0</v>
      </c>
      <c r="J518" s="57">
        <f t="shared" si="384"/>
        <v>0</v>
      </c>
      <c r="K518" s="57">
        <f t="shared" si="384"/>
        <v>0</v>
      </c>
      <c r="N518" s="344"/>
      <c r="O518" s="360"/>
      <c r="P518" s="360"/>
      <c r="AB518" s="469"/>
      <c r="AH518" s="371">
        <v>8</v>
      </c>
      <c r="AI518" s="369">
        <f t="shared" si="373"/>
        <v>0</v>
      </c>
      <c r="AJ518" s="369">
        <f t="shared" si="373"/>
        <v>0</v>
      </c>
      <c r="AK518" s="369">
        <f t="shared" si="373"/>
        <v>0</v>
      </c>
      <c r="AL518" s="369">
        <f t="shared" si="373"/>
        <v>0</v>
      </c>
      <c r="AM518" s="369">
        <f t="shared" si="373"/>
        <v>0</v>
      </c>
      <c r="AN518" s="370">
        <f t="shared" si="373"/>
        <v>0</v>
      </c>
      <c r="AO518" s="509"/>
      <c r="AP518" s="369">
        <f t="shared" si="374"/>
        <v>0</v>
      </c>
      <c r="AQ518" s="369">
        <f t="shared" si="374"/>
        <v>0</v>
      </c>
      <c r="AR518" s="369">
        <f t="shared" si="374"/>
        <v>0</v>
      </c>
      <c r="AS518" s="369">
        <f t="shared" si="374"/>
        <v>0</v>
      </c>
      <c r="AT518" s="369">
        <f t="shared" si="374"/>
        <v>0</v>
      </c>
      <c r="AU518" s="512">
        <f t="shared" si="374"/>
        <v>0</v>
      </c>
      <c r="AV518" s="371"/>
      <c r="AW518" s="369">
        <f t="shared" si="375"/>
        <v>0</v>
      </c>
      <c r="AX518" s="369">
        <f t="shared" si="376"/>
        <v>0</v>
      </c>
      <c r="AY518" s="369">
        <f t="shared" si="377"/>
        <v>0</v>
      </c>
      <c r="AZ518" s="369">
        <f t="shared" si="378"/>
        <v>0</v>
      </c>
      <c r="BA518" s="369">
        <f t="shared" si="379"/>
        <v>0</v>
      </c>
      <c r="BB518" s="370">
        <f t="shared" si="380"/>
        <v>0</v>
      </c>
    </row>
    <row r="519" spans="2:54" hidden="1" outlineLevel="2" x14ac:dyDescent="0.2">
      <c r="B519" s="209">
        <v>5</v>
      </c>
      <c r="C519" s="209">
        <v>6</v>
      </c>
      <c r="E519" s="358" t="s">
        <v>1294</v>
      </c>
      <c r="F519" s="57" t="str">
        <f t="shared" ref="F519:K519" si="385">IFERROR(F518*INDEX(MBSDecItems,$C506,$B519)*INDEX(MBSDecItems,$C506,$C519),"")</f>
        <v/>
      </c>
      <c r="G519" s="57" t="str">
        <f t="shared" si="385"/>
        <v/>
      </c>
      <c r="H519" s="57" t="str">
        <f t="shared" si="385"/>
        <v/>
      </c>
      <c r="I519" s="57" t="str">
        <f t="shared" si="385"/>
        <v/>
      </c>
      <c r="J519" s="57" t="str">
        <f t="shared" si="385"/>
        <v/>
      </c>
      <c r="K519" s="57" t="str">
        <f t="shared" si="385"/>
        <v/>
      </c>
      <c r="M519" s="474"/>
      <c r="N519" s="344"/>
      <c r="O519" s="360"/>
      <c r="P519" s="360"/>
      <c r="AH519" s="371">
        <v>9</v>
      </c>
      <c r="AI519" s="369">
        <f t="shared" si="373"/>
        <v>0</v>
      </c>
      <c r="AJ519" s="369">
        <f t="shared" si="373"/>
        <v>0</v>
      </c>
      <c r="AK519" s="369">
        <f t="shared" si="373"/>
        <v>0</v>
      </c>
      <c r="AL519" s="369">
        <f t="shared" si="373"/>
        <v>0</v>
      </c>
      <c r="AM519" s="369">
        <f t="shared" si="373"/>
        <v>0</v>
      </c>
      <c r="AN519" s="370">
        <f t="shared" si="373"/>
        <v>0</v>
      </c>
      <c r="AO519" s="509"/>
      <c r="AP519" s="369">
        <f t="shared" si="374"/>
        <v>0</v>
      </c>
      <c r="AQ519" s="369">
        <f t="shared" si="374"/>
        <v>0</v>
      </c>
      <c r="AR519" s="369">
        <f t="shared" si="374"/>
        <v>0</v>
      </c>
      <c r="AS519" s="369">
        <f t="shared" si="374"/>
        <v>0</v>
      </c>
      <c r="AT519" s="369">
        <f t="shared" si="374"/>
        <v>0</v>
      </c>
      <c r="AU519" s="512">
        <f t="shared" si="374"/>
        <v>0</v>
      </c>
      <c r="AV519" s="371"/>
      <c r="AW519" s="369">
        <f t="shared" ref="AW519:BB520" si="386">AI519+AP519</f>
        <v>0</v>
      </c>
      <c r="AX519" s="369">
        <f t="shared" si="386"/>
        <v>0</v>
      </c>
      <c r="AY519" s="369">
        <f t="shared" si="386"/>
        <v>0</v>
      </c>
      <c r="AZ519" s="369">
        <f t="shared" si="386"/>
        <v>0</v>
      </c>
      <c r="BA519" s="369">
        <f t="shared" si="386"/>
        <v>0</v>
      </c>
      <c r="BB519" s="370">
        <f t="shared" si="386"/>
        <v>0</v>
      </c>
    </row>
    <row r="520" spans="2:54" hidden="1" outlineLevel="2" x14ac:dyDescent="0.2">
      <c r="B520" s="209">
        <v>4</v>
      </c>
      <c r="C520" s="209">
        <v>6</v>
      </c>
      <c r="E520" s="358" t="s">
        <v>1293</v>
      </c>
      <c r="F520" s="57" t="str">
        <f t="shared" ref="F520:K520" si="387">IFERROR(F518*INDEX(MBSDecItems,$C506,$B520)*INDEX(MBSDecItems,$C506,$C520),"")</f>
        <v/>
      </c>
      <c r="G520" s="57" t="str">
        <f t="shared" si="387"/>
        <v/>
      </c>
      <c r="H520" s="57" t="str">
        <f t="shared" si="387"/>
        <v/>
      </c>
      <c r="I520" s="57" t="str">
        <f t="shared" si="387"/>
        <v/>
      </c>
      <c r="J520" s="57" t="str">
        <f t="shared" si="387"/>
        <v/>
      </c>
      <c r="K520" s="57" t="str">
        <f t="shared" si="387"/>
        <v/>
      </c>
      <c r="M520" s="475"/>
      <c r="N520" s="473"/>
      <c r="O520" s="360"/>
      <c r="P520" s="360"/>
      <c r="AH520" s="371">
        <v>10</v>
      </c>
      <c r="AI520" s="369">
        <f t="shared" si="373"/>
        <v>0</v>
      </c>
      <c r="AJ520" s="369">
        <f t="shared" si="373"/>
        <v>0</v>
      </c>
      <c r="AK520" s="369">
        <f t="shared" si="373"/>
        <v>0</v>
      </c>
      <c r="AL520" s="369">
        <f t="shared" si="373"/>
        <v>0</v>
      </c>
      <c r="AM520" s="369">
        <f t="shared" si="373"/>
        <v>0</v>
      </c>
      <c r="AN520" s="370">
        <f t="shared" si="373"/>
        <v>0</v>
      </c>
      <c r="AO520" s="509"/>
      <c r="AP520" s="369">
        <f t="shared" si="374"/>
        <v>0</v>
      </c>
      <c r="AQ520" s="369">
        <f t="shared" si="374"/>
        <v>0</v>
      </c>
      <c r="AR520" s="369">
        <f t="shared" si="374"/>
        <v>0</v>
      </c>
      <c r="AS520" s="369">
        <f t="shared" si="374"/>
        <v>0</v>
      </c>
      <c r="AT520" s="369">
        <f t="shared" si="374"/>
        <v>0</v>
      </c>
      <c r="AU520" s="512">
        <f t="shared" si="374"/>
        <v>0</v>
      </c>
      <c r="AV520" s="371"/>
      <c r="AW520" s="369">
        <f t="shared" si="386"/>
        <v>0</v>
      </c>
      <c r="AX520" s="369">
        <f t="shared" si="386"/>
        <v>0</v>
      </c>
      <c r="AY520" s="369">
        <f t="shared" si="386"/>
        <v>0</v>
      </c>
      <c r="AZ520" s="369">
        <f t="shared" si="386"/>
        <v>0</v>
      </c>
      <c r="BA520" s="369">
        <f t="shared" si="386"/>
        <v>0</v>
      </c>
      <c r="BB520" s="370">
        <f t="shared" si="386"/>
        <v>0</v>
      </c>
    </row>
    <row r="521" spans="2:54" hidden="1" outlineLevel="2" x14ac:dyDescent="0.2">
      <c r="B521" s="209"/>
      <c r="C521" s="209">
        <v>7</v>
      </c>
      <c r="E521" s="359" t="s">
        <v>1295</v>
      </c>
      <c r="F521" s="57" t="str">
        <f t="shared" ref="F521:K521" si="388">IFERROR(F518*INDEX(MBSDecItems,$C506,$C521),"")</f>
        <v/>
      </c>
      <c r="G521" s="57" t="str">
        <f t="shared" si="388"/>
        <v/>
      </c>
      <c r="H521" s="57" t="str">
        <f t="shared" si="388"/>
        <v/>
      </c>
      <c r="I521" s="57" t="str">
        <f t="shared" si="388"/>
        <v/>
      </c>
      <c r="J521" s="57" t="str">
        <f t="shared" si="388"/>
        <v/>
      </c>
      <c r="K521" s="57" t="str">
        <f t="shared" si="388"/>
        <v/>
      </c>
      <c r="M521" s="475"/>
      <c r="N521" s="473"/>
      <c r="O521" s="360"/>
      <c r="P521" s="360"/>
      <c r="AH521" s="371">
        <v>11</v>
      </c>
      <c r="AI521" s="369">
        <f t="shared" ref="AI521:AN530" si="389">IF(OR(ScriptSourceCode=1,ScriptSourceCode=3),IF($AG468&lt;&gt;0,ROUND(AI468*INDEX(PxTxPhase1Adj,$AG468,9),0),0),0)</f>
        <v>0</v>
      </c>
      <c r="AJ521" s="369">
        <f t="shared" si="389"/>
        <v>0</v>
      </c>
      <c r="AK521" s="369">
        <f t="shared" si="389"/>
        <v>0</v>
      </c>
      <c r="AL521" s="369">
        <f t="shared" si="389"/>
        <v>0</v>
      </c>
      <c r="AM521" s="369">
        <f t="shared" si="389"/>
        <v>0</v>
      </c>
      <c r="AN521" s="370">
        <f t="shared" si="389"/>
        <v>0</v>
      </c>
      <c r="AO521" s="509"/>
      <c r="AP521" s="369">
        <f t="shared" ref="AP521:AU530" si="390">IF(OR(ScriptSourceCode=1,ScriptSourceCode=3),IF($AG468&lt;&gt;0,ROUND(AP468*INDEX(PxTxPhase1Adj,$AG468,9),0),0),0)</f>
        <v>0</v>
      </c>
      <c r="AQ521" s="369">
        <f t="shared" si="390"/>
        <v>0</v>
      </c>
      <c r="AR521" s="369">
        <f t="shared" si="390"/>
        <v>0</v>
      </c>
      <c r="AS521" s="369">
        <f t="shared" si="390"/>
        <v>0</v>
      </c>
      <c r="AT521" s="369">
        <f t="shared" si="390"/>
        <v>0</v>
      </c>
      <c r="AU521" s="512">
        <f t="shared" si="390"/>
        <v>0</v>
      </c>
      <c r="AV521" s="371"/>
      <c r="AW521" s="369">
        <f t="shared" ref="AW521:AW530" si="391">AI521+AP521</f>
        <v>0</v>
      </c>
      <c r="AX521" s="369">
        <f t="shared" ref="AX521:AX530" si="392">AJ521+AQ521</f>
        <v>0</v>
      </c>
      <c r="AY521" s="369">
        <f t="shared" ref="AY521:AY530" si="393">AK521+AR521</f>
        <v>0</v>
      </c>
      <c r="AZ521" s="369">
        <f t="shared" ref="AZ521:AZ530" si="394">AL521+AS521</f>
        <v>0</v>
      </c>
      <c r="BA521" s="369">
        <f t="shared" ref="BA521:BA530" si="395">AM521+AT521</f>
        <v>0</v>
      </c>
      <c r="BB521" s="370">
        <f t="shared" ref="BB521:BB530" si="396">AN521+AU521</f>
        <v>0</v>
      </c>
    </row>
    <row r="522" spans="2:54" outlineLevel="1" collapsed="1" x14ac:dyDescent="0.2">
      <c r="D522" s="360"/>
      <c r="E522" s="360"/>
      <c r="N522" s="360"/>
      <c r="O522" s="360"/>
      <c r="P522" s="360"/>
      <c r="AH522" s="371">
        <v>12</v>
      </c>
      <c r="AI522" s="369">
        <f t="shared" si="389"/>
        <v>0</v>
      </c>
      <c r="AJ522" s="369">
        <f t="shared" si="389"/>
        <v>0</v>
      </c>
      <c r="AK522" s="369">
        <f t="shared" si="389"/>
        <v>0</v>
      </c>
      <c r="AL522" s="369">
        <f t="shared" si="389"/>
        <v>0</v>
      </c>
      <c r="AM522" s="369">
        <f t="shared" si="389"/>
        <v>0</v>
      </c>
      <c r="AN522" s="370">
        <f t="shared" si="389"/>
        <v>0</v>
      </c>
      <c r="AO522" s="509"/>
      <c r="AP522" s="369">
        <f t="shared" si="390"/>
        <v>0</v>
      </c>
      <c r="AQ522" s="369">
        <f t="shared" si="390"/>
        <v>0</v>
      </c>
      <c r="AR522" s="369">
        <f t="shared" si="390"/>
        <v>0</v>
      </c>
      <c r="AS522" s="369">
        <f t="shared" si="390"/>
        <v>0</v>
      </c>
      <c r="AT522" s="369">
        <f t="shared" si="390"/>
        <v>0</v>
      </c>
      <c r="AU522" s="512">
        <f t="shared" si="390"/>
        <v>0</v>
      </c>
      <c r="AV522" s="371"/>
      <c r="AW522" s="369">
        <f t="shared" si="391"/>
        <v>0</v>
      </c>
      <c r="AX522" s="369">
        <f t="shared" si="392"/>
        <v>0</v>
      </c>
      <c r="AY522" s="369">
        <f t="shared" si="393"/>
        <v>0</v>
      </c>
      <c r="AZ522" s="369">
        <f t="shared" si="394"/>
        <v>0</v>
      </c>
      <c r="BA522" s="369">
        <f t="shared" si="395"/>
        <v>0</v>
      </c>
      <c r="BB522" s="370">
        <f t="shared" si="396"/>
        <v>0</v>
      </c>
    </row>
    <row r="523" spans="2:54" ht="15.75" outlineLevel="1" x14ac:dyDescent="0.2">
      <c r="C523" s="209">
        <v>2</v>
      </c>
      <c r="D523" s="72" t="str">
        <f>INDEX(MBSDecNames,C523)</f>
        <v>** NOT USED **</v>
      </c>
      <c r="E523" s="72"/>
      <c r="F523" s="105"/>
      <c r="G523" s="105"/>
      <c r="H523" s="105"/>
      <c r="I523" s="105"/>
      <c r="J523" s="588" t="str">
        <f>IF(D523&lt;&gt;MsgNotUsed,"Co-payment group " &amp; K459,"")</f>
        <v/>
      </c>
      <c r="K523" s="588"/>
      <c r="L523" s="105"/>
      <c r="M523" s="105"/>
      <c r="N523" s="105"/>
      <c r="O523" s="105"/>
      <c r="P523" s="105"/>
      <c r="Q523" s="105"/>
      <c r="R523" s="105"/>
      <c r="S523" s="105"/>
      <c r="T523" s="105"/>
      <c r="U523" s="105"/>
      <c r="V523" s="105"/>
      <c r="AH523" s="371">
        <v>13</v>
      </c>
      <c r="AI523" s="369">
        <f t="shared" si="389"/>
        <v>0</v>
      </c>
      <c r="AJ523" s="369">
        <f t="shared" si="389"/>
        <v>0</v>
      </c>
      <c r="AK523" s="369">
        <f t="shared" si="389"/>
        <v>0</v>
      </c>
      <c r="AL523" s="369">
        <f t="shared" si="389"/>
        <v>0</v>
      </c>
      <c r="AM523" s="369">
        <f t="shared" si="389"/>
        <v>0</v>
      </c>
      <c r="AN523" s="370">
        <f t="shared" si="389"/>
        <v>0</v>
      </c>
      <c r="AO523" s="509"/>
      <c r="AP523" s="369">
        <f t="shared" si="390"/>
        <v>0</v>
      </c>
      <c r="AQ523" s="369">
        <f t="shared" si="390"/>
        <v>0</v>
      </c>
      <c r="AR523" s="369">
        <f t="shared" si="390"/>
        <v>0</v>
      </c>
      <c r="AS523" s="369">
        <f t="shared" si="390"/>
        <v>0</v>
      </c>
      <c r="AT523" s="369">
        <f t="shared" si="390"/>
        <v>0</v>
      </c>
      <c r="AU523" s="512">
        <f t="shared" si="390"/>
        <v>0</v>
      </c>
      <c r="AV523" s="371"/>
      <c r="AW523" s="369">
        <f t="shared" si="391"/>
        <v>0</v>
      </c>
      <c r="AX523" s="369">
        <f t="shared" si="392"/>
        <v>0</v>
      </c>
      <c r="AY523" s="369">
        <f t="shared" si="393"/>
        <v>0</v>
      </c>
      <c r="AZ523" s="369">
        <f t="shared" si="394"/>
        <v>0</v>
      </c>
      <c r="BA523" s="369">
        <f t="shared" si="395"/>
        <v>0</v>
      </c>
      <c r="BB523" s="370">
        <f t="shared" si="396"/>
        <v>0</v>
      </c>
    </row>
    <row r="524" spans="2:54" hidden="1" outlineLevel="2" x14ac:dyDescent="0.2">
      <c r="F524" s="357">
        <v>2</v>
      </c>
      <c r="G524" s="357">
        <v>3</v>
      </c>
      <c r="H524" s="357">
        <v>4</v>
      </c>
      <c r="I524" s="357">
        <v>5</v>
      </c>
      <c r="J524" s="357">
        <v>6</v>
      </c>
      <c r="K524" s="357">
        <v>7</v>
      </c>
      <c r="L524" s="357"/>
      <c r="AH524" s="371">
        <v>14</v>
      </c>
      <c r="AI524" s="369">
        <f t="shared" si="389"/>
        <v>0</v>
      </c>
      <c r="AJ524" s="369">
        <f t="shared" si="389"/>
        <v>0</v>
      </c>
      <c r="AK524" s="369">
        <f t="shared" si="389"/>
        <v>0</v>
      </c>
      <c r="AL524" s="369">
        <f t="shared" si="389"/>
        <v>0</v>
      </c>
      <c r="AM524" s="369">
        <f t="shared" si="389"/>
        <v>0</v>
      </c>
      <c r="AN524" s="370">
        <f t="shared" si="389"/>
        <v>0</v>
      </c>
      <c r="AO524" s="509"/>
      <c r="AP524" s="369">
        <f t="shared" si="390"/>
        <v>0</v>
      </c>
      <c r="AQ524" s="369">
        <f t="shared" si="390"/>
        <v>0</v>
      </c>
      <c r="AR524" s="369">
        <f t="shared" si="390"/>
        <v>0</v>
      </c>
      <c r="AS524" s="369">
        <f t="shared" si="390"/>
        <v>0</v>
      </c>
      <c r="AT524" s="369">
        <f t="shared" si="390"/>
        <v>0</v>
      </c>
      <c r="AU524" s="512">
        <f t="shared" si="390"/>
        <v>0</v>
      </c>
      <c r="AV524" s="371"/>
      <c r="AW524" s="369">
        <f t="shared" si="391"/>
        <v>0</v>
      </c>
      <c r="AX524" s="369">
        <f t="shared" si="392"/>
        <v>0</v>
      </c>
      <c r="AY524" s="369">
        <f t="shared" si="393"/>
        <v>0</v>
      </c>
      <c r="AZ524" s="369">
        <f t="shared" si="394"/>
        <v>0</v>
      </c>
      <c r="BA524" s="369">
        <f t="shared" si="395"/>
        <v>0</v>
      </c>
      <c r="BB524" s="370">
        <f t="shared" si="396"/>
        <v>0</v>
      </c>
    </row>
    <row r="525" spans="2:54" ht="15" hidden="1" outlineLevel="2" x14ac:dyDescent="0.2">
      <c r="D525" s="462" t="s">
        <v>0</v>
      </c>
      <c r="E525" s="462"/>
      <c r="F525" s="74">
        <f>FirstYear</f>
        <v>2026</v>
      </c>
      <c r="G525" s="74">
        <f>F525+1</f>
        <v>2027</v>
      </c>
      <c r="H525" s="74">
        <f>G525+1</f>
        <v>2028</v>
      </c>
      <c r="I525" s="74">
        <f>H525+1</f>
        <v>2029</v>
      </c>
      <c r="J525" s="74">
        <f>I525+1</f>
        <v>2030</v>
      </c>
      <c r="K525" s="74">
        <f>J525+1</f>
        <v>2031</v>
      </c>
      <c r="N525" s="470"/>
      <c r="O525" s="470"/>
      <c r="P525" s="470"/>
      <c r="Q525" s="223"/>
      <c r="R525" s="223"/>
      <c r="S525" s="223"/>
      <c r="T525" s="223"/>
      <c r="U525" s="223"/>
      <c r="V525" s="223"/>
      <c r="X525" s="223"/>
      <c r="Y525" s="223"/>
      <c r="Z525" s="223"/>
      <c r="AA525" s="223"/>
      <c r="AH525" s="371">
        <v>15</v>
      </c>
      <c r="AI525" s="369">
        <f t="shared" si="389"/>
        <v>0</v>
      </c>
      <c r="AJ525" s="369">
        <f t="shared" si="389"/>
        <v>0</v>
      </c>
      <c r="AK525" s="369">
        <f t="shared" si="389"/>
        <v>0</v>
      </c>
      <c r="AL525" s="369">
        <f t="shared" si="389"/>
        <v>0</v>
      </c>
      <c r="AM525" s="369">
        <f t="shared" si="389"/>
        <v>0</v>
      </c>
      <c r="AN525" s="370">
        <f t="shared" si="389"/>
        <v>0</v>
      </c>
      <c r="AO525" s="509"/>
      <c r="AP525" s="369">
        <f t="shared" si="390"/>
        <v>0</v>
      </c>
      <c r="AQ525" s="369">
        <f t="shared" si="390"/>
        <v>0</v>
      </c>
      <c r="AR525" s="369">
        <f t="shared" si="390"/>
        <v>0</v>
      </c>
      <c r="AS525" s="369">
        <f t="shared" si="390"/>
        <v>0</v>
      </c>
      <c r="AT525" s="369">
        <f t="shared" si="390"/>
        <v>0</v>
      </c>
      <c r="AU525" s="512">
        <f t="shared" si="390"/>
        <v>0</v>
      </c>
      <c r="AV525" s="371"/>
      <c r="AW525" s="369">
        <f t="shared" si="391"/>
        <v>0</v>
      </c>
      <c r="AX525" s="369">
        <f t="shared" si="392"/>
        <v>0</v>
      </c>
      <c r="AY525" s="369">
        <f t="shared" si="393"/>
        <v>0</v>
      </c>
      <c r="AZ525" s="369">
        <f t="shared" si="394"/>
        <v>0</v>
      </c>
      <c r="BA525" s="369">
        <f t="shared" si="395"/>
        <v>0</v>
      </c>
      <c r="BB525" s="370">
        <f t="shared" si="396"/>
        <v>0</v>
      </c>
    </row>
    <row r="526" spans="2:54" hidden="1" outlineLevel="2" collapsed="1" x14ac:dyDescent="0.2">
      <c r="E526" s="82" t="s">
        <v>938</v>
      </c>
      <c r="F526" s="239">
        <f t="shared" ref="F526:K526" si="397">F527*INDEX(MBSDecCalc,$C523,3)</f>
        <v>0</v>
      </c>
      <c r="G526" s="239">
        <f t="shared" si="397"/>
        <v>0</v>
      </c>
      <c r="H526" s="239">
        <f t="shared" si="397"/>
        <v>0</v>
      </c>
      <c r="I526" s="239">
        <f t="shared" si="397"/>
        <v>0</v>
      </c>
      <c r="J526" s="239">
        <f t="shared" si="397"/>
        <v>0</v>
      </c>
      <c r="K526" s="239">
        <f t="shared" si="397"/>
        <v>0</v>
      </c>
      <c r="M526" s="471"/>
      <c r="N526" s="463"/>
      <c r="O526" s="463"/>
      <c r="P526" s="463"/>
      <c r="Q526" s="472"/>
      <c r="R526" s="472"/>
      <c r="S526" s="472"/>
      <c r="T526" s="472"/>
      <c r="U526" s="472"/>
      <c r="V526" s="472"/>
      <c r="X526" s="402">
        <f>INDEX(MBSDecItems,C523,1)</f>
        <v>0</v>
      </c>
      <c r="Y526" s="402">
        <f>FirstYear</f>
        <v>2026</v>
      </c>
      <c r="Z526" s="401">
        <f>IF(F527&lt;&gt;0,F527-F529,0)</f>
        <v>0</v>
      </c>
      <c r="AA526" s="401">
        <f>IF(F535&lt;&gt;0,F535-F537,0)</f>
        <v>0</v>
      </c>
      <c r="AH526" s="371">
        <v>16</v>
      </c>
      <c r="AI526" s="369">
        <f t="shared" si="389"/>
        <v>0</v>
      </c>
      <c r="AJ526" s="369">
        <f t="shared" si="389"/>
        <v>0</v>
      </c>
      <c r="AK526" s="369">
        <f t="shared" si="389"/>
        <v>0</v>
      </c>
      <c r="AL526" s="369">
        <f t="shared" si="389"/>
        <v>0</v>
      </c>
      <c r="AM526" s="369">
        <f t="shared" si="389"/>
        <v>0</v>
      </c>
      <c r="AN526" s="370">
        <f t="shared" si="389"/>
        <v>0</v>
      </c>
      <c r="AO526" s="509"/>
      <c r="AP526" s="369">
        <f t="shared" si="390"/>
        <v>0</v>
      </c>
      <c r="AQ526" s="369">
        <f t="shared" si="390"/>
        <v>0</v>
      </c>
      <c r="AR526" s="369">
        <f t="shared" si="390"/>
        <v>0</v>
      </c>
      <c r="AS526" s="369">
        <f t="shared" si="390"/>
        <v>0</v>
      </c>
      <c r="AT526" s="369">
        <f t="shared" si="390"/>
        <v>0</v>
      </c>
      <c r="AU526" s="512">
        <f t="shared" si="390"/>
        <v>0</v>
      </c>
      <c r="AV526" s="371"/>
      <c r="AW526" s="369">
        <f t="shared" si="391"/>
        <v>0</v>
      </c>
      <c r="AX526" s="369">
        <f t="shared" si="392"/>
        <v>0</v>
      </c>
      <c r="AY526" s="369">
        <f t="shared" si="393"/>
        <v>0</v>
      </c>
      <c r="AZ526" s="369">
        <f t="shared" si="394"/>
        <v>0</v>
      </c>
      <c r="BA526" s="369">
        <f t="shared" si="395"/>
        <v>0</v>
      </c>
      <c r="BB526" s="370">
        <f t="shared" si="396"/>
        <v>0</v>
      </c>
    </row>
    <row r="527" spans="2:54" hidden="1" outlineLevel="2" x14ac:dyDescent="0.2">
      <c r="B527" s="468"/>
      <c r="C527" s="209" t="str">
        <f>INDEX(MBSDecCalc,C523,2)</f>
        <v/>
      </c>
      <c r="E527" s="56" t="s">
        <v>1297</v>
      </c>
      <c r="F527" s="57">
        <f t="shared" ref="F527:K527" si="398">IF(INDEX(MBSDecRate,$C523,2)=2,IFERROR(INDEX(PBSScriptsChanged,$C527,F524),0),IFERROR(INDEX(MBSPBSDec,$C523,INDEX(MBSDecRate,$C523,3)*7+F524),0) * IFERROR(INDEX(MBSDecPopSplit,$C523),0)) * INDEX(MBSDecRate,$C523,1) * INDEX(MBSDecRate,$C523,4)</f>
        <v>0</v>
      </c>
      <c r="G527" s="57">
        <f t="shared" si="398"/>
        <v>0</v>
      </c>
      <c r="H527" s="57">
        <f t="shared" si="398"/>
        <v>0</v>
      </c>
      <c r="I527" s="57">
        <f t="shared" si="398"/>
        <v>0</v>
      </c>
      <c r="J527" s="57">
        <f t="shared" si="398"/>
        <v>0</v>
      </c>
      <c r="K527" s="57">
        <f t="shared" si="398"/>
        <v>0</v>
      </c>
      <c r="O527" s="463"/>
      <c r="P527" s="463"/>
      <c r="Q527" s="472"/>
      <c r="R527" s="472"/>
      <c r="S527" s="472"/>
      <c r="T527" s="472"/>
      <c r="U527" s="472"/>
      <c r="V527" s="472"/>
      <c r="X527" s="402">
        <f>X526</f>
        <v>0</v>
      </c>
      <c r="Y527" s="402">
        <f>Y526+1</f>
        <v>2027</v>
      </c>
      <c r="Z527" s="401">
        <f>IF(G527&lt;&gt;0,G527-G529,0)</f>
        <v>0</v>
      </c>
      <c r="AA527" s="401">
        <f>IF(G535&lt;&gt;0,G535-G537,0)</f>
        <v>0</v>
      </c>
      <c r="AH527" s="371">
        <v>17</v>
      </c>
      <c r="AI527" s="369">
        <f t="shared" si="389"/>
        <v>0</v>
      </c>
      <c r="AJ527" s="369">
        <f t="shared" si="389"/>
        <v>0</v>
      </c>
      <c r="AK527" s="369">
        <f t="shared" si="389"/>
        <v>0</v>
      </c>
      <c r="AL527" s="369">
        <f t="shared" si="389"/>
        <v>0</v>
      </c>
      <c r="AM527" s="369">
        <f t="shared" si="389"/>
        <v>0</v>
      </c>
      <c r="AN527" s="370">
        <f t="shared" si="389"/>
        <v>0</v>
      </c>
      <c r="AO527" s="509"/>
      <c r="AP527" s="369">
        <f t="shared" si="390"/>
        <v>0</v>
      </c>
      <c r="AQ527" s="369">
        <f t="shared" si="390"/>
        <v>0</v>
      </c>
      <c r="AR527" s="369">
        <f t="shared" si="390"/>
        <v>0</v>
      </c>
      <c r="AS527" s="369">
        <f t="shared" si="390"/>
        <v>0</v>
      </c>
      <c r="AT527" s="369">
        <f t="shared" si="390"/>
        <v>0</v>
      </c>
      <c r="AU527" s="512">
        <f t="shared" si="390"/>
        <v>0</v>
      </c>
      <c r="AV527" s="371"/>
      <c r="AW527" s="369">
        <f t="shared" si="391"/>
        <v>0</v>
      </c>
      <c r="AX527" s="369">
        <f t="shared" si="392"/>
        <v>0</v>
      </c>
      <c r="AY527" s="369">
        <f t="shared" si="393"/>
        <v>0</v>
      </c>
      <c r="AZ527" s="369">
        <f t="shared" si="394"/>
        <v>0</v>
      </c>
      <c r="BA527" s="369">
        <f t="shared" si="395"/>
        <v>0</v>
      </c>
      <c r="BB527" s="370">
        <f t="shared" si="396"/>
        <v>0</v>
      </c>
    </row>
    <row r="528" spans="2:54" hidden="1" outlineLevel="2" x14ac:dyDescent="0.2">
      <c r="B528" s="209">
        <v>5</v>
      </c>
      <c r="C528" s="209">
        <v>6</v>
      </c>
      <c r="E528" s="358" t="s">
        <v>1294</v>
      </c>
      <c r="F528" s="57" t="str">
        <f t="shared" ref="F528:K528" si="399">IFERROR(F527*INDEX(MBSDecItems,$C523,$B528)*INDEX(MBSDecItems,$C523,$C528),"")</f>
        <v/>
      </c>
      <c r="G528" s="57" t="str">
        <f t="shared" si="399"/>
        <v/>
      </c>
      <c r="H528" s="57" t="str">
        <f t="shared" si="399"/>
        <v/>
      </c>
      <c r="I528" s="57" t="str">
        <f t="shared" si="399"/>
        <v/>
      </c>
      <c r="J528" s="57" t="str">
        <f t="shared" si="399"/>
        <v/>
      </c>
      <c r="K528" s="57" t="str">
        <f t="shared" si="399"/>
        <v/>
      </c>
      <c r="O528" s="473"/>
      <c r="P528" s="514"/>
      <c r="Q528" s="472"/>
      <c r="R528" s="472"/>
      <c r="S528" s="472"/>
      <c r="T528" s="472"/>
      <c r="U528" s="472"/>
      <c r="V528" s="472"/>
      <c r="X528" s="402">
        <f t="shared" ref="X528:X531" si="400">X527</f>
        <v>0</v>
      </c>
      <c r="Y528" s="402">
        <f>Y527+1</f>
        <v>2028</v>
      </c>
      <c r="Z528" s="401">
        <f>IF(H527&lt;&gt;0,H527-H529,0)</f>
        <v>0</v>
      </c>
      <c r="AA528" s="401">
        <f>IF(H535&lt;&gt;0,H535-H537,0)</f>
        <v>0</v>
      </c>
      <c r="AH528" s="371">
        <v>18</v>
      </c>
      <c r="AI528" s="369">
        <f t="shared" si="389"/>
        <v>0</v>
      </c>
      <c r="AJ528" s="369">
        <f t="shared" si="389"/>
        <v>0</v>
      </c>
      <c r="AK528" s="369">
        <f t="shared" si="389"/>
        <v>0</v>
      </c>
      <c r="AL528" s="369">
        <f t="shared" si="389"/>
        <v>0</v>
      </c>
      <c r="AM528" s="369">
        <f t="shared" si="389"/>
        <v>0</v>
      </c>
      <c r="AN528" s="370">
        <f t="shared" si="389"/>
        <v>0</v>
      </c>
      <c r="AO528" s="509"/>
      <c r="AP528" s="369">
        <f t="shared" si="390"/>
        <v>0</v>
      </c>
      <c r="AQ528" s="369">
        <f t="shared" si="390"/>
        <v>0</v>
      </c>
      <c r="AR528" s="369">
        <f t="shared" si="390"/>
        <v>0</v>
      </c>
      <c r="AS528" s="369">
        <f t="shared" si="390"/>
        <v>0</v>
      </c>
      <c r="AT528" s="369">
        <f t="shared" si="390"/>
        <v>0</v>
      </c>
      <c r="AU528" s="512">
        <f t="shared" si="390"/>
        <v>0</v>
      </c>
      <c r="AV528" s="371"/>
      <c r="AW528" s="369">
        <f t="shared" si="391"/>
        <v>0</v>
      </c>
      <c r="AX528" s="369">
        <f t="shared" si="392"/>
        <v>0</v>
      </c>
      <c r="AY528" s="369">
        <f t="shared" si="393"/>
        <v>0</v>
      </c>
      <c r="AZ528" s="369">
        <f t="shared" si="394"/>
        <v>0</v>
      </c>
      <c r="BA528" s="369">
        <f t="shared" si="395"/>
        <v>0</v>
      </c>
      <c r="BB528" s="370">
        <f t="shared" si="396"/>
        <v>0</v>
      </c>
    </row>
    <row r="529" spans="1:54" hidden="1" outlineLevel="2" x14ac:dyDescent="0.2">
      <c r="A529"/>
      <c r="B529" s="209">
        <v>4</v>
      </c>
      <c r="C529" s="209">
        <v>6</v>
      </c>
      <c r="E529" s="358" t="s">
        <v>1293</v>
      </c>
      <c r="F529" s="57" t="str">
        <f t="shared" ref="F529:K529" si="401">IFERROR(F527*INDEX(MBSDecItems,$C523,$B529)*INDEX(MBSDecItems,$C523,$C529),"")</f>
        <v/>
      </c>
      <c r="G529" s="57" t="str">
        <f t="shared" si="401"/>
        <v/>
      </c>
      <c r="H529" s="57" t="str">
        <f t="shared" si="401"/>
        <v/>
      </c>
      <c r="I529" s="57" t="str">
        <f t="shared" si="401"/>
        <v/>
      </c>
      <c r="J529" s="57" t="str">
        <f t="shared" si="401"/>
        <v/>
      </c>
      <c r="K529" s="57" t="str">
        <f t="shared" si="401"/>
        <v/>
      </c>
      <c r="L529"/>
      <c r="M529"/>
      <c r="N529"/>
      <c r="O529"/>
      <c r="P529"/>
      <c r="Q529"/>
      <c r="R529"/>
      <c r="S529"/>
      <c r="T529"/>
      <c r="U529"/>
      <c r="V529"/>
      <c r="X529" s="402">
        <f t="shared" si="400"/>
        <v>0</v>
      </c>
      <c r="Y529" s="402">
        <f>Y528+1</f>
        <v>2029</v>
      </c>
      <c r="Z529" s="401">
        <f>IF(I527&lt;&gt;0,I527-I529,0)</f>
        <v>0</v>
      </c>
      <c r="AA529" s="401">
        <f>IF(I535&lt;&gt;0,I535-I537,0)</f>
        <v>0</v>
      </c>
      <c r="AB529" s="223"/>
      <c r="AH529" s="371">
        <v>19</v>
      </c>
      <c r="AI529" s="369">
        <f t="shared" si="389"/>
        <v>0</v>
      </c>
      <c r="AJ529" s="369">
        <f t="shared" si="389"/>
        <v>0</v>
      </c>
      <c r="AK529" s="369">
        <f t="shared" si="389"/>
        <v>0</v>
      </c>
      <c r="AL529" s="369">
        <f t="shared" si="389"/>
        <v>0</v>
      </c>
      <c r="AM529" s="369">
        <f t="shared" si="389"/>
        <v>0</v>
      </c>
      <c r="AN529" s="370">
        <f t="shared" si="389"/>
        <v>0</v>
      </c>
      <c r="AO529" s="509"/>
      <c r="AP529" s="369">
        <f t="shared" si="390"/>
        <v>0</v>
      </c>
      <c r="AQ529" s="369">
        <f t="shared" si="390"/>
        <v>0</v>
      </c>
      <c r="AR529" s="369">
        <f t="shared" si="390"/>
        <v>0</v>
      </c>
      <c r="AS529" s="369">
        <f t="shared" si="390"/>
        <v>0</v>
      </c>
      <c r="AT529" s="369">
        <f t="shared" si="390"/>
        <v>0</v>
      </c>
      <c r="AU529" s="512">
        <f t="shared" si="390"/>
        <v>0</v>
      </c>
      <c r="AV529" s="371"/>
      <c r="AW529" s="369">
        <f t="shared" si="391"/>
        <v>0</v>
      </c>
      <c r="AX529" s="369">
        <f t="shared" si="392"/>
        <v>0</v>
      </c>
      <c r="AY529" s="369">
        <f t="shared" si="393"/>
        <v>0</v>
      </c>
      <c r="AZ529" s="369">
        <f t="shared" si="394"/>
        <v>0</v>
      </c>
      <c r="BA529" s="369">
        <f t="shared" si="395"/>
        <v>0</v>
      </c>
      <c r="BB529" s="370">
        <f t="shared" si="396"/>
        <v>0</v>
      </c>
    </row>
    <row r="530" spans="1:54" ht="13.5" hidden="1" outlineLevel="2" thickBot="1" x14ac:dyDescent="0.25">
      <c r="B530" s="209"/>
      <c r="C530" s="209">
        <v>7</v>
      </c>
      <c r="E530" s="359" t="s">
        <v>1295</v>
      </c>
      <c r="F530" s="57" t="str">
        <f t="shared" ref="F530:K530" si="402">IFERROR(F527*INDEX(MBSDecItems,$C523,$C530),"")</f>
        <v/>
      </c>
      <c r="G530" s="57" t="str">
        <f t="shared" si="402"/>
        <v/>
      </c>
      <c r="H530" s="57" t="str">
        <f t="shared" si="402"/>
        <v/>
      </c>
      <c r="I530" s="57" t="str">
        <f t="shared" si="402"/>
        <v/>
      </c>
      <c r="J530" s="57" t="str">
        <f t="shared" si="402"/>
        <v/>
      </c>
      <c r="K530" s="57" t="str">
        <f t="shared" si="402"/>
        <v/>
      </c>
      <c r="O530" s="473"/>
      <c r="P530" s="514"/>
      <c r="Q530" s="472"/>
      <c r="R530" s="472"/>
      <c r="S530" s="472"/>
      <c r="T530" s="472"/>
      <c r="U530" s="472"/>
      <c r="V530" s="472"/>
      <c r="X530" s="402">
        <f t="shared" si="400"/>
        <v>0</v>
      </c>
      <c r="Y530" s="402">
        <f>Y529+1</f>
        <v>2030</v>
      </c>
      <c r="Z530" s="401">
        <f>IF(J527&lt;&gt;0,J527-J529,0)</f>
        <v>0</v>
      </c>
      <c r="AA530" s="401">
        <f>IF(J535&lt;&gt;0,J535-J537,0)</f>
        <v>0</v>
      </c>
      <c r="AB530" s="223"/>
      <c r="AH530" s="374">
        <v>20</v>
      </c>
      <c r="AI530" s="372">
        <f t="shared" si="389"/>
        <v>0</v>
      </c>
      <c r="AJ530" s="372">
        <f t="shared" si="389"/>
        <v>0</v>
      </c>
      <c r="AK530" s="372">
        <f t="shared" si="389"/>
        <v>0</v>
      </c>
      <c r="AL530" s="372">
        <f t="shared" si="389"/>
        <v>0</v>
      </c>
      <c r="AM530" s="372">
        <f t="shared" si="389"/>
        <v>0</v>
      </c>
      <c r="AN530" s="373">
        <f t="shared" si="389"/>
        <v>0</v>
      </c>
      <c r="AO530" s="510"/>
      <c r="AP530" s="372">
        <f t="shared" si="390"/>
        <v>0</v>
      </c>
      <c r="AQ530" s="372">
        <f t="shared" si="390"/>
        <v>0</v>
      </c>
      <c r="AR530" s="372">
        <f t="shared" si="390"/>
        <v>0</v>
      </c>
      <c r="AS530" s="372">
        <f t="shared" si="390"/>
        <v>0</v>
      </c>
      <c r="AT530" s="372">
        <f t="shared" si="390"/>
        <v>0</v>
      </c>
      <c r="AU530" s="513">
        <f t="shared" si="390"/>
        <v>0</v>
      </c>
      <c r="AV530" s="374"/>
      <c r="AW530" s="372">
        <f t="shared" si="391"/>
        <v>0</v>
      </c>
      <c r="AX530" s="372">
        <f t="shared" si="392"/>
        <v>0</v>
      </c>
      <c r="AY530" s="372">
        <f t="shared" si="393"/>
        <v>0</v>
      </c>
      <c r="AZ530" s="372">
        <f t="shared" si="394"/>
        <v>0</v>
      </c>
      <c r="BA530" s="372">
        <f t="shared" si="395"/>
        <v>0</v>
      </c>
      <c r="BB530" s="373">
        <f t="shared" si="396"/>
        <v>0</v>
      </c>
    </row>
    <row r="531" spans="1:54" hidden="1" outlineLevel="2" x14ac:dyDescent="0.2">
      <c r="O531" s="473"/>
      <c r="P531" s="473"/>
      <c r="Q531" s="472"/>
      <c r="R531" s="472"/>
      <c r="S531" s="472"/>
      <c r="T531" s="472"/>
      <c r="U531" s="472"/>
      <c r="V531" s="472"/>
      <c r="X531" s="402">
        <f t="shared" si="400"/>
        <v>0</v>
      </c>
      <c r="Y531" s="402">
        <f>Y530+1</f>
        <v>2031</v>
      </c>
      <c r="Z531" s="401">
        <f>IF(K527&lt;&gt;0,K527-K529,0)</f>
        <v>0</v>
      </c>
      <c r="AA531" s="401">
        <f>IF(K535&lt;&gt;0,K535-K537,0)</f>
        <v>0</v>
      </c>
      <c r="AB531" s="469"/>
    </row>
    <row r="532" spans="1:54" hidden="1" outlineLevel="2" x14ac:dyDescent="0.2">
      <c r="D532" s="360"/>
      <c r="E532" s="360"/>
      <c r="F532" s="357">
        <v>2</v>
      </c>
      <c r="G532" s="357">
        <v>3</v>
      </c>
      <c r="H532" s="357">
        <v>4</v>
      </c>
      <c r="I532" s="357">
        <v>5</v>
      </c>
      <c r="J532" s="357">
        <v>6</v>
      </c>
      <c r="K532" s="357">
        <v>7</v>
      </c>
      <c r="N532" s="360"/>
      <c r="O532" s="360"/>
      <c r="P532" s="360"/>
      <c r="AB532" s="469"/>
    </row>
    <row r="533" spans="1:54" ht="15.75" hidden="1" outlineLevel="2" x14ac:dyDescent="0.2">
      <c r="D533" s="462" t="s">
        <v>1</v>
      </c>
      <c r="E533" s="462"/>
      <c r="F533" s="74">
        <f>FirstYear</f>
        <v>2026</v>
      </c>
      <c r="G533" s="74">
        <f>F533+1</f>
        <v>2027</v>
      </c>
      <c r="H533" s="74">
        <f>G533+1</f>
        <v>2028</v>
      </c>
      <c r="I533" s="74">
        <f>H533+1</f>
        <v>2029</v>
      </c>
      <c r="J533" s="74">
        <f>I533+1</f>
        <v>2030</v>
      </c>
      <c r="K533" s="74">
        <f>J533+1</f>
        <v>2031</v>
      </c>
      <c r="N533" s="466"/>
      <c r="O533" s="466"/>
      <c r="P533" s="466"/>
      <c r="AB533" s="469"/>
    </row>
    <row r="534" spans="1:54" hidden="1" outlineLevel="2" x14ac:dyDescent="0.2">
      <c r="E534" s="82" t="s">
        <v>938</v>
      </c>
      <c r="F534" s="239">
        <f t="shared" ref="F534:K534" si="403">F535*INDEX(MBSDecCalc,$C523,3)</f>
        <v>0</v>
      </c>
      <c r="G534" s="239">
        <f t="shared" si="403"/>
        <v>0</v>
      </c>
      <c r="H534" s="239">
        <f t="shared" si="403"/>
        <v>0</v>
      </c>
      <c r="I534" s="239">
        <f t="shared" si="403"/>
        <v>0</v>
      </c>
      <c r="J534" s="239">
        <f t="shared" si="403"/>
        <v>0</v>
      </c>
      <c r="K534" s="239">
        <f t="shared" si="403"/>
        <v>0</v>
      </c>
      <c r="M534"/>
      <c r="N534"/>
      <c r="O534" s="360"/>
      <c r="P534" s="360"/>
      <c r="AB534" s="469"/>
    </row>
    <row r="535" spans="1:54" hidden="1" outlineLevel="2" x14ac:dyDescent="0.2">
      <c r="B535" s="468"/>
      <c r="C535" s="209" t="str">
        <f>C527</f>
        <v/>
      </c>
      <c r="E535" s="56" t="s">
        <v>1297</v>
      </c>
      <c r="F535" s="57">
        <f t="shared" ref="F535:K535" si="404">IF(INDEX(MBSDecRate,$C523,2)=2,IFERROR(INDEX(RPBSScriptsChanged,$C535,F532),0),IFERROR(INDEX(MBSRPBSDec,$C523,INDEX(MBSDecRate,$C523,3)*7+F532),0) * IFERROR(INDEX(MBSDecPopSplit,$C523),0)) * INDEX(MBSDecRate,$C523,1) * INDEX(MBSDecRate,$C523,4)</f>
        <v>0</v>
      </c>
      <c r="G535" s="57">
        <f t="shared" si="404"/>
        <v>0</v>
      </c>
      <c r="H535" s="57">
        <f t="shared" si="404"/>
        <v>0</v>
      </c>
      <c r="I535" s="57">
        <f t="shared" si="404"/>
        <v>0</v>
      </c>
      <c r="J535" s="57">
        <f t="shared" si="404"/>
        <v>0</v>
      </c>
      <c r="K535" s="57">
        <f t="shared" si="404"/>
        <v>0</v>
      </c>
      <c r="N535" s="344"/>
      <c r="O535" s="360"/>
      <c r="P535" s="360"/>
      <c r="AB535" s="469"/>
    </row>
    <row r="536" spans="1:54" hidden="1" outlineLevel="2" x14ac:dyDescent="0.2">
      <c r="B536" s="209">
        <v>5</v>
      </c>
      <c r="C536" s="209">
        <v>6</v>
      </c>
      <c r="E536" s="358" t="s">
        <v>1294</v>
      </c>
      <c r="F536" s="57" t="str">
        <f t="shared" ref="F536:K536" si="405">IFERROR(F535*INDEX(MBSDecItems,$C523,$B536)*INDEX(MBSDecItems,$C523,$C536),"")</f>
        <v/>
      </c>
      <c r="G536" s="57" t="str">
        <f t="shared" si="405"/>
        <v/>
      </c>
      <c r="H536" s="57" t="str">
        <f t="shared" si="405"/>
        <v/>
      </c>
      <c r="I536" s="57" t="str">
        <f t="shared" si="405"/>
        <v/>
      </c>
      <c r="J536" s="57" t="str">
        <f t="shared" si="405"/>
        <v/>
      </c>
      <c r="K536" s="57" t="str">
        <f t="shared" si="405"/>
        <v/>
      </c>
      <c r="M536" s="474"/>
      <c r="N536" s="344"/>
      <c r="O536" s="360"/>
      <c r="P536" s="360"/>
    </row>
    <row r="537" spans="1:54" hidden="1" outlineLevel="2" x14ac:dyDescent="0.2">
      <c r="B537" s="209">
        <v>4</v>
      </c>
      <c r="C537" s="209">
        <v>6</v>
      </c>
      <c r="E537" s="358" t="s">
        <v>1293</v>
      </c>
      <c r="F537" s="57" t="str">
        <f t="shared" ref="F537:K537" si="406">IFERROR(F535*INDEX(MBSDecItems,$C523,$B537)*INDEX(MBSDecItems,$C523,$C537),"")</f>
        <v/>
      </c>
      <c r="G537" s="57" t="str">
        <f t="shared" si="406"/>
        <v/>
      </c>
      <c r="H537" s="57" t="str">
        <f t="shared" si="406"/>
        <v/>
      </c>
      <c r="I537" s="57" t="str">
        <f t="shared" si="406"/>
        <v/>
      </c>
      <c r="J537" s="57" t="str">
        <f t="shared" si="406"/>
        <v/>
      </c>
      <c r="K537" s="57" t="str">
        <f t="shared" si="406"/>
        <v/>
      </c>
      <c r="M537" s="475"/>
      <c r="N537" s="473"/>
      <c r="O537" s="360"/>
      <c r="P537" s="360"/>
    </row>
    <row r="538" spans="1:54" hidden="1" outlineLevel="2" x14ac:dyDescent="0.2">
      <c r="B538" s="209"/>
      <c r="C538" s="209">
        <v>7</v>
      </c>
      <c r="E538" s="359" t="s">
        <v>1295</v>
      </c>
      <c r="F538" s="57" t="str">
        <f t="shared" ref="F538:K538" si="407">IFERROR(F535*INDEX(MBSDecItems,$C523,$C538),"")</f>
        <v/>
      </c>
      <c r="G538" s="57" t="str">
        <f t="shared" si="407"/>
        <v/>
      </c>
      <c r="H538" s="57" t="str">
        <f t="shared" si="407"/>
        <v/>
      </c>
      <c r="I538" s="57" t="str">
        <f t="shared" si="407"/>
        <v/>
      </c>
      <c r="J538" s="57" t="str">
        <f t="shared" si="407"/>
        <v/>
      </c>
      <c r="K538" s="57" t="str">
        <f t="shared" si="407"/>
        <v/>
      </c>
      <c r="M538" s="475"/>
      <c r="N538" s="473"/>
      <c r="O538" s="360"/>
      <c r="P538" s="360"/>
    </row>
    <row r="539" spans="1:54" outlineLevel="1" collapsed="1" x14ac:dyDescent="0.2">
      <c r="D539" s="360"/>
      <c r="E539" s="360"/>
      <c r="N539" s="360"/>
      <c r="O539" s="360"/>
      <c r="P539" s="360"/>
    </row>
    <row r="540" spans="1:54" ht="15.75" outlineLevel="1" x14ac:dyDescent="0.2">
      <c r="C540" s="209">
        <v>3</v>
      </c>
      <c r="D540" s="72" t="str">
        <f>INDEX(MBSDecNames,C540)</f>
        <v>** NOT USED **</v>
      </c>
      <c r="E540" s="72"/>
      <c r="F540" s="105"/>
      <c r="G540" s="105"/>
      <c r="H540" s="105"/>
      <c r="I540" s="105"/>
      <c r="J540" s="588" t="str">
        <f>IF(D540&lt;&gt;MsgNotUsed,"Co-payment group " &amp; K460,"")</f>
        <v/>
      </c>
      <c r="K540" s="588"/>
      <c r="L540" s="105"/>
      <c r="M540" s="105"/>
      <c r="N540" s="105"/>
      <c r="O540" s="105"/>
      <c r="P540" s="105"/>
      <c r="Q540" s="105"/>
      <c r="R540" s="105"/>
      <c r="S540" s="105"/>
      <c r="T540" s="105"/>
      <c r="U540" s="105"/>
      <c r="V540" s="105"/>
    </row>
    <row r="541" spans="1:54" hidden="1" outlineLevel="2" x14ac:dyDescent="0.2">
      <c r="F541" s="357">
        <v>2</v>
      </c>
      <c r="G541" s="357">
        <v>3</v>
      </c>
      <c r="H541" s="357">
        <v>4</v>
      </c>
      <c r="I541" s="357">
        <v>5</v>
      </c>
      <c r="J541" s="357">
        <v>6</v>
      </c>
      <c r="K541" s="357">
        <v>7</v>
      </c>
      <c r="L541" s="357"/>
    </row>
    <row r="542" spans="1:54" ht="15" hidden="1" outlineLevel="2" x14ac:dyDescent="0.2">
      <c r="D542" s="462" t="s">
        <v>0</v>
      </c>
      <c r="E542" s="462"/>
      <c r="F542" s="74">
        <f>FirstYear</f>
        <v>2026</v>
      </c>
      <c r="G542" s="74">
        <f>F542+1</f>
        <v>2027</v>
      </c>
      <c r="H542" s="74">
        <f>G542+1</f>
        <v>2028</v>
      </c>
      <c r="I542" s="74">
        <f>H542+1</f>
        <v>2029</v>
      </c>
      <c r="J542" s="74">
        <f>I542+1</f>
        <v>2030</v>
      </c>
      <c r="K542" s="74">
        <f>J542+1</f>
        <v>2031</v>
      </c>
      <c r="N542" s="470"/>
      <c r="O542" s="470"/>
      <c r="P542" s="470"/>
      <c r="Q542" s="223"/>
      <c r="R542" s="223"/>
      <c r="S542" s="223"/>
      <c r="T542" s="223"/>
      <c r="U542" s="223"/>
      <c r="V542" s="223"/>
      <c r="X542" s="223"/>
      <c r="Y542" s="223"/>
      <c r="Z542" s="223"/>
      <c r="AA542" s="223"/>
    </row>
    <row r="543" spans="1:54" hidden="1" outlineLevel="2" collapsed="1" x14ac:dyDescent="0.2">
      <c r="E543" s="82" t="s">
        <v>938</v>
      </c>
      <c r="F543" s="239">
        <f t="shared" ref="F543:K543" si="408">F544*INDEX(MBSDecCalc,$C540,3)</f>
        <v>0</v>
      </c>
      <c r="G543" s="239">
        <f t="shared" si="408"/>
        <v>0</v>
      </c>
      <c r="H543" s="239">
        <f t="shared" si="408"/>
        <v>0</v>
      </c>
      <c r="I543" s="239">
        <f t="shared" si="408"/>
        <v>0</v>
      </c>
      <c r="J543" s="239">
        <f t="shared" si="408"/>
        <v>0</v>
      </c>
      <c r="K543" s="239">
        <f t="shared" si="408"/>
        <v>0</v>
      </c>
      <c r="M543" s="471"/>
      <c r="N543" s="463"/>
      <c r="O543" s="463"/>
      <c r="P543" s="463"/>
      <c r="Q543" s="472"/>
      <c r="R543" s="472"/>
      <c r="S543" s="472"/>
      <c r="T543" s="472"/>
      <c r="U543" s="472"/>
      <c r="V543" s="472"/>
      <c r="X543" s="402">
        <f>INDEX(MBSDecItems,C540,1)</f>
        <v>0</v>
      </c>
      <c r="Y543" s="402">
        <f>FirstYear</f>
        <v>2026</v>
      </c>
      <c r="Z543" s="401">
        <f>IF(F544&lt;&gt;0,F544-F546,0)</f>
        <v>0</v>
      </c>
      <c r="AA543" s="401">
        <f>IF(F552&lt;&gt;0,F552-F554,0)</f>
        <v>0</v>
      </c>
    </row>
    <row r="544" spans="1:54" hidden="1" outlineLevel="2" x14ac:dyDescent="0.2">
      <c r="B544" s="468"/>
      <c r="C544" s="209" t="str">
        <f>INDEX(MBSDecCalc,C540,2)</f>
        <v/>
      </c>
      <c r="E544" s="56" t="s">
        <v>1297</v>
      </c>
      <c r="F544" s="57">
        <f t="shared" ref="F544:K544" si="409">IF(INDEX(MBSDecRate,$C540,2)=2,IFERROR(INDEX(PBSScriptsChanged,$C544,F541),0),IFERROR(INDEX(MBSPBSDec,$C540,INDEX(MBSDecRate,$C540,3)*7+F541),0) * IFERROR(INDEX(MBSDecPopSplit,$C540),0)) * INDEX(MBSDecRate,$C540,1) * INDEX(MBSDecRate,$C540,4)</f>
        <v>0</v>
      </c>
      <c r="G544" s="57">
        <f t="shared" si="409"/>
        <v>0</v>
      </c>
      <c r="H544" s="57">
        <f t="shared" si="409"/>
        <v>0</v>
      </c>
      <c r="I544" s="57">
        <f t="shared" si="409"/>
        <v>0</v>
      </c>
      <c r="J544" s="57">
        <f t="shared" si="409"/>
        <v>0</v>
      </c>
      <c r="K544" s="57">
        <f t="shared" si="409"/>
        <v>0</v>
      </c>
      <c r="O544" s="463"/>
      <c r="P544" s="463"/>
      <c r="Q544" s="472"/>
      <c r="R544" s="472"/>
      <c r="S544" s="472"/>
      <c r="T544" s="472"/>
      <c r="U544" s="472"/>
      <c r="V544" s="472"/>
      <c r="X544" s="402">
        <f>X543</f>
        <v>0</v>
      </c>
      <c r="Y544" s="402">
        <f>Y543+1</f>
        <v>2027</v>
      </c>
      <c r="Z544" s="401">
        <f>IF(G544&lt;&gt;0,G544-G546,0)</f>
        <v>0</v>
      </c>
      <c r="AA544" s="401">
        <f>IF(G552&lt;&gt;0,G552-G554,0)</f>
        <v>0</v>
      </c>
    </row>
    <row r="545" spans="1:28" hidden="1" outlineLevel="2" x14ac:dyDescent="0.2">
      <c r="B545" s="209">
        <v>5</v>
      </c>
      <c r="C545" s="209">
        <v>6</v>
      </c>
      <c r="E545" s="358" t="s">
        <v>1294</v>
      </c>
      <c r="F545" s="57" t="str">
        <f t="shared" ref="F545:K545" si="410">IFERROR(F544*INDEX(MBSDecItems,$C540,$B545)*INDEX(MBSDecItems,$C540,$C545),"")</f>
        <v/>
      </c>
      <c r="G545" s="57" t="str">
        <f t="shared" si="410"/>
        <v/>
      </c>
      <c r="H545" s="57" t="str">
        <f t="shared" si="410"/>
        <v/>
      </c>
      <c r="I545" s="57" t="str">
        <f t="shared" si="410"/>
        <v/>
      </c>
      <c r="J545" s="57" t="str">
        <f t="shared" si="410"/>
        <v/>
      </c>
      <c r="K545" s="57" t="str">
        <f t="shared" si="410"/>
        <v/>
      </c>
      <c r="O545" s="473"/>
      <c r="P545" s="514"/>
      <c r="Q545" s="472"/>
      <c r="R545" s="472"/>
      <c r="S545" s="472"/>
      <c r="T545" s="472"/>
      <c r="U545" s="472"/>
      <c r="V545" s="472"/>
      <c r="X545" s="402">
        <f t="shared" ref="X545:X548" si="411">X544</f>
        <v>0</v>
      </c>
      <c r="Y545" s="402">
        <f>Y544+1</f>
        <v>2028</v>
      </c>
      <c r="Z545" s="401">
        <f>IF(H544&lt;&gt;0,H544-H546,0)</f>
        <v>0</v>
      </c>
      <c r="AA545" s="401">
        <f>IF(H552&lt;&gt;0,H552-H554,0)</f>
        <v>0</v>
      </c>
    </row>
    <row r="546" spans="1:28" hidden="1" outlineLevel="2" x14ac:dyDescent="0.2">
      <c r="A546"/>
      <c r="B546" s="209">
        <v>4</v>
      </c>
      <c r="C546" s="209">
        <v>6</v>
      </c>
      <c r="E546" s="358" t="s">
        <v>1293</v>
      </c>
      <c r="F546" s="57" t="str">
        <f t="shared" ref="F546:K546" si="412">IFERROR(F544*INDEX(MBSDecItems,$C540,$B546)*INDEX(MBSDecItems,$C540,$C546),"")</f>
        <v/>
      </c>
      <c r="G546" s="57" t="str">
        <f t="shared" si="412"/>
        <v/>
      </c>
      <c r="H546" s="57" t="str">
        <f t="shared" si="412"/>
        <v/>
      </c>
      <c r="I546" s="57" t="str">
        <f t="shared" si="412"/>
        <v/>
      </c>
      <c r="J546" s="57" t="str">
        <f t="shared" si="412"/>
        <v/>
      </c>
      <c r="K546" s="57" t="str">
        <f t="shared" si="412"/>
        <v/>
      </c>
      <c r="L546"/>
      <c r="M546"/>
      <c r="N546"/>
      <c r="O546"/>
      <c r="P546"/>
      <c r="Q546"/>
      <c r="R546"/>
      <c r="S546"/>
      <c r="T546"/>
      <c r="U546"/>
      <c r="V546"/>
      <c r="X546" s="402">
        <f t="shared" si="411"/>
        <v>0</v>
      </c>
      <c r="Y546" s="402">
        <f>Y545+1</f>
        <v>2029</v>
      </c>
      <c r="Z546" s="401">
        <f>IF(I544&lt;&gt;0,I544-I546,0)</f>
        <v>0</v>
      </c>
      <c r="AA546" s="401">
        <f>IF(I552&lt;&gt;0,I552-I554,0)</f>
        <v>0</v>
      </c>
      <c r="AB546" s="223"/>
    </row>
    <row r="547" spans="1:28" hidden="1" outlineLevel="2" x14ac:dyDescent="0.2">
      <c r="B547" s="209"/>
      <c r="C547" s="209">
        <v>7</v>
      </c>
      <c r="E547" s="359" t="s">
        <v>1295</v>
      </c>
      <c r="F547" s="57" t="str">
        <f t="shared" ref="F547:K547" si="413">IFERROR(F544*INDEX(MBSDecItems,$C540,$C547),"")</f>
        <v/>
      </c>
      <c r="G547" s="57" t="str">
        <f t="shared" si="413"/>
        <v/>
      </c>
      <c r="H547" s="57" t="str">
        <f t="shared" si="413"/>
        <v/>
      </c>
      <c r="I547" s="57" t="str">
        <f t="shared" si="413"/>
        <v/>
      </c>
      <c r="J547" s="57" t="str">
        <f t="shared" si="413"/>
        <v/>
      </c>
      <c r="K547" s="57" t="str">
        <f t="shared" si="413"/>
        <v/>
      </c>
      <c r="O547" s="473"/>
      <c r="P547" s="514"/>
      <c r="Q547" s="472"/>
      <c r="R547" s="472"/>
      <c r="S547" s="472"/>
      <c r="T547" s="472"/>
      <c r="U547" s="472"/>
      <c r="V547" s="472"/>
      <c r="X547" s="402">
        <f t="shared" si="411"/>
        <v>0</v>
      </c>
      <c r="Y547" s="402">
        <f>Y546+1</f>
        <v>2030</v>
      </c>
      <c r="Z547" s="401">
        <f>IF(J544&lt;&gt;0,J544-J546,0)</f>
        <v>0</v>
      </c>
      <c r="AA547" s="401">
        <f>IF(J552&lt;&gt;0,J552-J554,0)</f>
        <v>0</v>
      </c>
      <c r="AB547" s="223"/>
    </row>
    <row r="548" spans="1:28" hidden="1" outlineLevel="2" x14ac:dyDescent="0.2">
      <c r="O548" s="473"/>
      <c r="P548" s="473"/>
      <c r="Q548" s="472"/>
      <c r="R548" s="472"/>
      <c r="S548" s="472"/>
      <c r="T548" s="472"/>
      <c r="U548" s="472"/>
      <c r="V548" s="472"/>
      <c r="X548" s="402">
        <f t="shared" si="411"/>
        <v>0</v>
      </c>
      <c r="Y548" s="402">
        <f>Y547+1</f>
        <v>2031</v>
      </c>
      <c r="Z548" s="401">
        <f>IF(K544&lt;&gt;0,K544-K546,0)</f>
        <v>0</v>
      </c>
      <c r="AA548" s="401">
        <f>IF(K552&lt;&gt;0,K552-K554,0)</f>
        <v>0</v>
      </c>
      <c r="AB548" s="469"/>
    </row>
    <row r="549" spans="1:28" hidden="1" outlineLevel="2" x14ac:dyDescent="0.2">
      <c r="D549" s="360"/>
      <c r="E549" s="360"/>
      <c r="F549" s="357">
        <v>2</v>
      </c>
      <c r="G549" s="357">
        <v>3</v>
      </c>
      <c r="H549" s="357">
        <v>4</v>
      </c>
      <c r="I549" s="357">
        <v>5</v>
      </c>
      <c r="J549" s="357">
        <v>6</v>
      </c>
      <c r="K549" s="357">
        <v>7</v>
      </c>
      <c r="N549" s="360"/>
      <c r="O549" s="360"/>
      <c r="P549" s="360"/>
      <c r="AB549" s="469"/>
    </row>
    <row r="550" spans="1:28" ht="15.75" hidden="1" outlineLevel="2" x14ac:dyDescent="0.2">
      <c r="D550" s="462" t="s">
        <v>1</v>
      </c>
      <c r="E550" s="462"/>
      <c r="F550" s="74">
        <f>FirstYear</f>
        <v>2026</v>
      </c>
      <c r="G550" s="74">
        <f>F550+1</f>
        <v>2027</v>
      </c>
      <c r="H550" s="74">
        <f>G550+1</f>
        <v>2028</v>
      </c>
      <c r="I550" s="74">
        <f>H550+1</f>
        <v>2029</v>
      </c>
      <c r="J550" s="74">
        <f>I550+1</f>
        <v>2030</v>
      </c>
      <c r="K550" s="74">
        <f>J550+1</f>
        <v>2031</v>
      </c>
      <c r="N550" s="466"/>
      <c r="O550" s="466"/>
      <c r="P550" s="466"/>
      <c r="AB550" s="469"/>
    </row>
    <row r="551" spans="1:28" hidden="1" outlineLevel="2" x14ac:dyDescent="0.2">
      <c r="E551" s="82" t="s">
        <v>938</v>
      </c>
      <c r="F551" s="239">
        <f t="shared" ref="F551:K551" si="414">F552*INDEX(MBSDecCalc,$C540,3)</f>
        <v>0</v>
      </c>
      <c r="G551" s="239">
        <f t="shared" si="414"/>
        <v>0</v>
      </c>
      <c r="H551" s="239">
        <f t="shared" si="414"/>
        <v>0</v>
      </c>
      <c r="I551" s="239">
        <f t="shared" si="414"/>
        <v>0</v>
      </c>
      <c r="J551" s="239">
        <f t="shared" si="414"/>
        <v>0</v>
      </c>
      <c r="K551" s="239">
        <f t="shared" si="414"/>
        <v>0</v>
      </c>
      <c r="M551"/>
      <c r="N551"/>
      <c r="O551" s="360"/>
      <c r="P551" s="360"/>
      <c r="AB551" s="469"/>
    </row>
    <row r="552" spans="1:28" hidden="1" outlineLevel="2" x14ac:dyDescent="0.2">
      <c r="B552" s="468"/>
      <c r="C552" s="209" t="str">
        <f>C544</f>
        <v/>
      </c>
      <c r="E552" s="56" t="s">
        <v>1297</v>
      </c>
      <c r="F552" s="57">
        <f t="shared" ref="F552:K552" si="415">IF(INDEX(MBSDecRate,$C540,2)=2,IFERROR(INDEX(RPBSScriptsChanged,$C552,F549),0),IFERROR(INDEX(MBSRPBSDec,$C540,INDEX(MBSDecRate,$C540,3)*7+F549),0) * IFERROR(INDEX(MBSDecPopSplit,$C540),0)) * INDEX(MBSDecRate,$C540,1) * INDEX(MBSDecRate,$C540,4)</f>
        <v>0</v>
      </c>
      <c r="G552" s="57">
        <f t="shared" si="415"/>
        <v>0</v>
      </c>
      <c r="H552" s="57">
        <f t="shared" si="415"/>
        <v>0</v>
      </c>
      <c r="I552" s="57">
        <f t="shared" si="415"/>
        <v>0</v>
      </c>
      <c r="J552" s="57">
        <f t="shared" si="415"/>
        <v>0</v>
      </c>
      <c r="K552" s="57">
        <f t="shared" si="415"/>
        <v>0</v>
      </c>
      <c r="N552" s="344"/>
      <c r="O552" s="360"/>
      <c r="P552" s="360"/>
      <c r="AB552" s="469"/>
    </row>
    <row r="553" spans="1:28" hidden="1" outlineLevel="2" x14ac:dyDescent="0.2">
      <c r="B553" s="209">
        <v>5</v>
      </c>
      <c r="C553" s="209">
        <v>6</v>
      </c>
      <c r="E553" s="358" t="s">
        <v>1294</v>
      </c>
      <c r="F553" s="57" t="str">
        <f t="shared" ref="F553:K553" si="416">IFERROR(F552*INDEX(MBSDecItems,$C540,$B553)*INDEX(MBSDecItems,$C540,$C553),"")</f>
        <v/>
      </c>
      <c r="G553" s="57" t="str">
        <f t="shared" si="416"/>
        <v/>
      </c>
      <c r="H553" s="57" t="str">
        <f t="shared" si="416"/>
        <v/>
      </c>
      <c r="I553" s="57" t="str">
        <f t="shared" si="416"/>
        <v/>
      </c>
      <c r="J553" s="57" t="str">
        <f t="shared" si="416"/>
        <v/>
      </c>
      <c r="K553" s="57" t="str">
        <f t="shared" si="416"/>
        <v/>
      </c>
      <c r="M553" s="474"/>
      <c r="N553" s="344"/>
      <c r="O553" s="360"/>
      <c r="P553" s="360"/>
    </row>
    <row r="554" spans="1:28" hidden="1" outlineLevel="2" x14ac:dyDescent="0.2">
      <c r="B554" s="209">
        <v>4</v>
      </c>
      <c r="C554" s="209">
        <v>6</v>
      </c>
      <c r="E554" s="358" t="s">
        <v>1293</v>
      </c>
      <c r="F554" s="57" t="str">
        <f t="shared" ref="F554:K554" si="417">IFERROR(F552*INDEX(MBSDecItems,$C540,$B554)*INDEX(MBSDecItems,$C540,$C554),"")</f>
        <v/>
      </c>
      <c r="G554" s="57" t="str">
        <f t="shared" si="417"/>
        <v/>
      </c>
      <c r="H554" s="57" t="str">
        <f t="shared" si="417"/>
        <v/>
      </c>
      <c r="I554" s="57" t="str">
        <f t="shared" si="417"/>
        <v/>
      </c>
      <c r="J554" s="57" t="str">
        <f t="shared" si="417"/>
        <v/>
      </c>
      <c r="K554" s="57" t="str">
        <f t="shared" si="417"/>
        <v/>
      </c>
      <c r="M554" s="475"/>
      <c r="N554" s="473"/>
      <c r="O554" s="360"/>
      <c r="P554" s="360"/>
    </row>
    <row r="555" spans="1:28" hidden="1" outlineLevel="2" x14ac:dyDescent="0.2">
      <c r="B555" s="209"/>
      <c r="C555" s="209">
        <v>7</v>
      </c>
      <c r="E555" s="359" t="s">
        <v>1295</v>
      </c>
      <c r="F555" s="57" t="str">
        <f t="shared" ref="F555:K555" si="418">IFERROR(F552*INDEX(MBSDecItems,$C540,$C555),"")</f>
        <v/>
      </c>
      <c r="G555" s="57" t="str">
        <f t="shared" si="418"/>
        <v/>
      </c>
      <c r="H555" s="57" t="str">
        <f t="shared" si="418"/>
        <v/>
      </c>
      <c r="I555" s="57" t="str">
        <f t="shared" si="418"/>
        <v/>
      </c>
      <c r="J555" s="57" t="str">
        <f t="shared" si="418"/>
        <v/>
      </c>
      <c r="K555" s="57" t="str">
        <f t="shared" si="418"/>
        <v/>
      </c>
      <c r="M555" s="475"/>
      <c r="N555" s="473"/>
      <c r="O555" s="360"/>
      <c r="P555" s="360"/>
    </row>
    <row r="556" spans="1:28" outlineLevel="1" collapsed="1" x14ac:dyDescent="0.2">
      <c r="D556" s="360"/>
      <c r="E556" s="360"/>
      <c r="N556" s="360"/>
      <c r="O556" s="360"/>
      <c r="P556" s="360"/>
    </row>
    <row r="557" spans="1:28" ht="15.75" outlineLevel="1" x14ac:dyDescent="0.2">
      <c r="C557" s="209">
        <v>4</v>
      </c>
      <c r="D557" s="72" t="str">
        <f>INDEX(MBSDecNames,C557)</f>
        <v>** NOT USED **</v>
      </c>
      <c r="E557" s="72"/>
      <c r="F557" s="105"/>
      <c r="G557" s="105"/>
      <c r="H557" s="105"/>
      <c r="I557" s="105"/>
      <c r="J557" s="588" t="str">
        <f>IF(D557&lt;&gt;MsgNotUsed,"Co-payment group " &amp; K461,"")</f>
        <v/>
      </c>
      <c r="K557" s="588"/>
      <c r="L557" s="105"/>
      <c r="M557" s="105"/>
      <c r="N557" s="105"/>
      <c r="O557" s="105"/>
      <c r="P557" s="105"/>
      <c r="Q557" s="105"/>
      <c r="R557" s="105"/>
      <c r="S557" s="105"/>
      <c r="T557" s="105"/>
      <c r="U557" s="105"/>
      <c r="V557" s="105"/>
    </row>
    <row r="558" spans="1:28" hidden="1" outlineLevel="2" x14ac:dyDescent="0.2">
      <c r="F558" s="357">
        <v>2</v>
      </c>
      <c r="G558" s="357">
        <v>3</v>
      </c>
      <c r="H558" s="357">
        <v>4</v>
      </c>
      <c r="I558" s="357">
        <v>5</v>
      </c>
      <c r="J558" s="357">
        <v>6</v>
      </c>
      <c r="K558" s="357">
        <v>7</v>
      </c>
      <c r="L558" s="357"/>
    </row>
    <row r="559" spans="1:28" ht="15" hidden="1" outlineLevel="2" x14ac:dyDescent="0.2">
      <c r="D559" s="462" t="s">
        <v>0</v>
      </c>
      <c r="E559" s="462"/>
      <c r="F559" s="74">
        <f>FirstYear</f>
        <v>2026</v>
      </c>
      <c r="G559" s="74">
        <f>F559+1</f>
        <v>2027</v>
      </c>
      <c r="H559" s="74">
        <f>G559+1</f>
        <v>2028</v>
      </c>
      <c r="I559" s="74">
        <f>H559+1</f>
        <v>2029</v>
      </c>
      <c r="J559" s="74">
        <f>I559+1</f>
        <v>2030</v>
      </c>
      <c r="K559" s="74">
        <f>J559+1</f>
        <v>2031</v>
      </c>
      <c r="N559" s="470"/>
      <c r="O559" s="470"/>
      <c r="P559" s="470"/>
      <c r="Q559" s="223"/>
      <c r="R559" s="223"/>
      <c r="S559" s="223"/>
      <c r="T559" s="223"/>
      <c r="U559" s="223"/>
      <c r="V559" s="223"/>
      <c r="X559" s="223"/>
      <c r="Y559" s="223"/>
      <c r="Z559" s="223"/>
      <c r="AA559" s="223"/>
    </row>
    <row r="560" spans="1:28" hidden="1" outlineLevel="2" collapsed="1" x14ac:dyDescent="0.2">
      <c r="E560" s="82" t="s">
        <v>938</v>
      </c>
      <c r="F560" s="239">
        <f t="shared" ref="F560:K560" si="419">F561*INDEX(MBSDecCalc,$C557,3)</f>
        <v>0</v>
      </c>
      <c r="G560" s="239">
        <f t="shared" si="419"/>
        <v>0</v>
      </c>
      <c r="H560" s="239">
        <f t="shared" si="419"/>
        <v>0</v>
      </c>
      <c r="I560" s="239">
        <f t="shared" si="419"/>
        <v>0</v>
      </c>
      <c r="J560" s="239">
        <f t="shared" si="419"/>
        <v>0</v>
      </c>
      <c r="K560" s="239">
        <f t="shared" si="419"/>
        <v>0</v>
      </c>
      <c r="M560" s="471"/>
      <c r="N560" s="463"/>
      <c r="O560" s="463"/>
      <c r="P560" s="463"/>
      <c r="Q560" s="472"/>
      <c r="R560" s="472"/>
      <c r="S560" s="472"/>
      <c r="T560" s="472"/>
      <c r="U560" s="472"/>
      <c r="V560" s="472"/>
      <c r="X560" s="402">
        <f>INDEX(MBSDecItems,C557,1)</f>
        <v>0</v>
      </c>
      <c r="Y560" s="402">
        <f>FirstYear</f>
        <v>2026</v>
      </c>
      <c r="Z560" s="401">
        <f>IF(F561&lt;&gt;0,F561-F563,0)</f>
        <v>0</v>
      </c>
      <c r="AA560" s="401">
        <f>IF(F569&lt;&gt;0,F569-F571,0)</f>
        <v>0</v>
      </c>
    </row>
    <row r="561" spans="1:28" hidden="1" outlineLevel="2" x14ac:dyDescent="0.2">
      <c r="B561" s="468"/>
      <c r="C561" s="209" t="str">
        <f>INDEX(MBSDecCalc,C557,2)</f>
        <v/>
      </c>
      <c r="E561" s="56" t="s">
        <v>1297</v>
      </c>
      <c r="F561" s="57">
        <f t="shared" ref="F561:K561" si="420">IF(INDEX(MBSDecRate,$C557,2)=2,IFERROR(INDEX(PBSScriptsChanged,$C561,F558),0),IFERROR(INDEX(MBSPBSDec,$C557,INDEX(MBSDecRate,$C557,3)*7+F558),0) * IFERROR(INDEX(MBSDecPopSplit,$C557),0)) * INDEX(MBSDecRate,$C557,1) * INDEX(MBSDecRate,$C557,4)</f>
        <v>0</v>
      </c>
      <c r="G561" s="57">
        <f t="shared" si="420"/>
        <v>0</v>
      </c>
      <c r="H561" s="57">
        <f t="shared" si="420"/>
        <v>0</v>
      </c>
      <c r="I561" s="57">
        <f t="shared" si="420"/>
        <v>0</v>
      </c>
      <c r="J561" s="57">
        <f t="shared" si="420"/>
        <v>0</v>
      </c>
      <c r="K561" s="57">
        <f t="shared" si="420"/>
        <v>0</v>
      </c>
      <c r="O561" s="463"/>
      <c r="P561" s="463"/>
      <c r="Q561" s="472"/>
      <c r="R561" s="472"/>
      <c r="S561" s="472"/>
      <c r="T561" s="472"/>
      <c r="U561" s="472"/>
      <c r="V561" s="472"/>
      <c r="X561" s="402">
        <f>X560</f>
        <v>0</v>
      </c>
      <c r="Y561" s="402">
        <f>Y560+1</f>
        <v>2027</v>
      </c>
      <c r="Z561" s="401">
        <f>IF(G561&lt;&gt;0,G561-G563,0)</f>
        <v>0</v>
      </c>
      <c r="AA561" s="401">
        <f>IF(G569&lt;&gt;0,G569-G571,0)</f>
        <v>0</v>
      </c>
    </row>
    <row r="562" spans="1:28" hidden="1" outlineLevel="2" x14ac:dyDescent="0.2">
      <c r="B562" s="209">
        <v>5</v>
      </c>
      <c r="C562" s="209">
        <v>6</v>
      </c>
      <c r="E562" s="358" t="s">
        <v>1294</v>
      </c>
      <c r="F562" s="57" t="str">
        <f t="shared" ref="F562:K562" si="421">IFERROR(F561*INDEX(MBSDecItems,$C557,$B562)*INDEX(MBSDecItems,$C557,$C562),"")</f>
        <v/>
      </c>
      <c r="G562" s="57" t="str">
        <f t="shared" si="421"/>
        <v/>
      </c>
      <c r="H562" s="57" t="str">
        <f t="shared" si="421"/>
        <v/>
      </c>
      <c r="I562" s="57" t="str">
        <f t="shared" si="421"/>
        <v/>
      </c>
      <c r="J562" s="57" t="str">
        <f t="shared" si="421"/>
        <v/>
      </c>
      <c r="K562" s="57" t="str">
        <f t="shared" si="421"/>
        <v/>
      </c>
      <c r="O562" s="473"/>
      <c r="P562" s="514"/>
      <c r="Q562" s="472"/>
      <c r="R562" s="472"/>
      <c r="S562" s="472"/>
      <c r="T562" s="472"/>
      <c r="U562" s="472"/>
      <c r="V562" s="472"/>
      <c r="X562" s="402">
        <f t="shared" ref="X562:X565" si="422">X561</f>
        <v>0</v>
      </c>
      <c r="Y562" s="402">
        <f>Y561+1</f>
        <v>2028</v>
      </c>
      <c r="Z562" s="401">
        <f>IF(H561&lt;&gt;0,H561-H563,0)</f>
        <v>0</v>
      </c>
      <c r="AA562" s="401">
        <f>IF(H569&lt;&gt;0,H569-H571,0)</f>
        <v>0</v>
      </c>
    </row>
    <row r="563" spans="1:28" hidden="1" outlineLevel="2" x14ac:dyDescent="0.2">
      <c r="A563"/>
      <c r="B563" s="209">
        <v>4</v>
      </c>
      <c r="C563" s="209">
        <v>6</v>
      </c>
      <c r="E563" s="358" t="s">
        <v>1293</v>
      </c>
      <c r="F563" s="57" t="str">
        <f t="shared" ref="F563:K563" si="423">IFERROR(F561*INDEX(MBSDecItems,$C557,$B563)*INDEX(MBSDecItems,$C557,$C563),"")</f>
        <v/>
      </c>
      <c r="G563" s="57" t="str">
        <f t="shared" si="423"/>
        <v/>
      </c>
      <c r="H563" s="57" t="str">
        <f t="shared" si="423"/>
        <v/>
      </c>
      <c r="I563" s="57" t="str">
        <f t="shared" si="423"/>
        <v/>
      </c>
      <c r="J563" s="57" t="str">
        <f t="shared" si="423"/>
        <v/>
      </c>
      <c r="K563" s="57" t="str">
        <f t="shared" si="423"/>
        <v/>
      </c>
      <c r="L563"/>
      <c r="M563"/>
      <c r="N563"/>
      <c r="O563"/>
      <c r="P563"/>
      <c r="Q563"/>
      <c r="R563"/>
      <c r="S563"/>
      <c r="T563"/>
      <c r="U563"/>
      <c r="V563"/>
      <c r="X563" s="402">
        <f t="shared" si="422"/>
        <v>0</v>
      </c>
      <c r="Y563" s="402">
        <f>Y562+1</f>
        <v>2029</v>
      </c>
      <c r="Z563" s="401">
        <f>IF(I561&lt;&gt;0,I561-I563,0)</f>
        <v>0</v>
      </c>
      <c r="AA563" s="401">
        <f>IF(I569&lt;&gt;0,I569-I571,0)</f>
        <v>0</v>
      </c>
      <c r="AB563" s="223"/>
    </row>
    <row r="564" spans="1:28" hidden="1" outlineLevel="2" x14ac:dyDescent="0.2">
      <c r="B564" s="209"/>
      <c r="C564" s="209">
        <v>7</v>
      </c>
      <c r="E564" s="359" t="s">
        <v>1295</v>
      </c>
      <c r="F564" s="57" t="str">
        <f t="shared" ref="F564:K564" si="424">IFERROR(F561*INDEX(MBSDecItems,$C557,$C564),"")</f>
        <v/>
      </c>
      <c r="G564" s="57" t="str">
        <f t="shared" si="424"/>
        <v/>
      </c>
      <c r="H564" s="57" t="str">
        <f t="shared" si="424"/>
        <v/>
      </c>
      <c r="I564" s="57" t="str">
        <f t="shared" si="424"/>
        <v/>
      </c>
      <c r="J564" s="57" t="str">
        <f t="shared" si="424"/>
        <v/>
      </c>
      <c r="K564" s="57" t="str">
        <f t="shared" si="424"/>
        <v/>
      </c>
      <c r="O564" s="473"/>
      <c r="P564" s="514"/>
      <c r="Q564" s="472"/>
      <c r="R564" s="472"/>
      <c r="S564" s="472"/>
      <c r="T564" s="472"/>
      <c r="U564" s="472"/>
      <c r="V564" s="472"/>
      <c r="X564" s="402">
        <f t="shared" si="422"/>
        <v>0</v>
      </c>
      <c r="Y564" s="402">
        <f>Y563+1</f>
        <v>2030</v>
      </c>
      <c r="Z564" s="401">
        <f>IF(J561&lt;&gt;0,J561-J563,0)</f>
        <v>0</v>
      </c>
      <c r="AA564" s="401">
        <f>IF(J569&lt;&gt;0,J569-J571,0)</f>
        <v>0</v>
      </c>
      <c r="AB564" s="223"/>
    </row>
    <row r="565" spans="1:28" hidden="1" outlineLevel="2" x14ac:dyDescent="0.2">
      <c r="O565" s="473"/>
      <c r="P565" s="473"/>
      <c r="Q565" s="472"/>
      <c r="R565" s="472"/>
      <c r="S565" s="472"/>
      <c r="T565" s="472"/>
      <c r="U565" s="472"/>
      <c r="V565" s="472"/>
      <c r="X565" s="402">
        <f t="shared" si="422"/>
        <v>0</v>
      </c>
      <c r="Y565" s="402">
        <f>Y564+1</f>
        <v>2031</v>
      </c>
      <c r="Z565" s="401">
        <f>IF(K561&lt;&gt;0,K561-K563,0)</f>
        <v>0</v>
      </c>
      <c r="AA565" s="401">
        <f>IF(K569&lt;&gt;0,K569-K571,0)</f>
        <v>0</v>
      </c>
      <c r="AB565" s="469"/>
    </row>
    <row r="566" spans="1:28" hidden="1" outlineLevel="2" x14ac:dyDescent="0.2">
      <c r="D566" s="360"/>
      <c r="E566" s="360"/>
      <c r="F566" s="357">
        <v>2</v>
      </c>
      <c r="G566" s="357">
        <v>3</v>
      </c>
      <c r="H566" s="357">
        <v>4</v>
      </c>
      <c r="I566" s="357">
        <v>5</v>
      </c>
      <c r="J566" s="357">
        <v>6</v>
      </c>
      <c r="K566" s="357">
        <v>7</v>
      </c>
      <c r="N566" s="360"/>
      <c r="O566" s="360"/>
      <c r="P566" s="360"/>
      <c r="AB566" s="469"/>
    </row>
    <row r="567" spans="1:28" ht="15.75" hidden="1" outlineLevel="2" x14ac:dyDescent="0.2">
      <c r="D567" s="462" t="s">
        <v>1</v>
      </c>
      <c r="E567" s="462"/>
      <c r="F567" s="74">
        <f>FirstYear</f>
        <v>2026</v>
      </c>
      <c r="G567" s="74">
        <f>F567+1</f>
        <v>2027</v>
      </c>
      <c r="H567" s="74">
        <f>G567+1</f>
        <v>2028</v>
      </c>
      <c r="I567" s="74">
        <f>H567+1</f>
        <v>2029</v>
      </c>
      <c r="J567" s="74">
        <f>I567+1</f>
        <v>2030</v>
      </c>
      <c r="K567" s="74">
        <f>J567+1</f>
        <v>2031</v>
      </c>
      <c r="N567" s="466"/>
      <c r="O567" s="466"/>
      <c r="P567" s="466"/>
      <c r="AB567" s="469"/>
    </row>
    <row r="568" spans="1:28" hidden="1" outlineLevel="2" x14ac:dyDescent="0.2">
      <c r="E568" s="82" t="s">
        <v>938</v>
      </c>
      <c r="F568" s="239">
        <f t="shared" ref="F568:K568" si="425">F569*INDEX(MBSDecCalc,$C557,3)</f>
        <v>0</v>
      </c>
      <c r="G568" s="239">
        <f t="shared" si="425"/>
        <v>0</v>
      </c>
      <c r="H568" s="239">
        <f t="shared" si="425"/>
        <v>0</v>
      </c>
      <c r="I568" s="239">
        <f t="shared" si="425"/>
        <v>0</v>
      </c>
      <c r="J568" s="239">
        <f t="shared" si="425"/>
        <v>0</v>
      </c>
      <c r="K568" s="239">
        <f t="shared" si="425"/>
        <v>0</v>
      </c>
      <c r="M568"/>
      <c r="N568"/>
      <c r="O568" s="360"/>
      <c r="P568" s="360"/>
      <c r="AB568" s="469"/>
    </row>
    <row r="569" spans="1:28" hidden="1" outlineLevel="2" x14ac:dyDescent="0.2">
      <c r="B569" s="468"/>
      <c r="C569" s="209" t="str">
        <f>C561</f>
        <v/>
      </c>
      <c r="E569" s="56" t="s">
        <v>1297</v>
      </c>
      <c r="F569" s="57">
        <f t="shared" ref="F569:K569" si="426">IF(INDEX(MBSDecRate,$C557,2)=2,IFERROR(INDEX(RPBSScriptsChanged,$C569,F566),0),IFERROR(INDEX(MBSRPBSDec,$C557,INDEX(MBSDecRate,$C557,3)*7+F566),0) * IFERROR(INDEX(MBSDecPopSplit,$C557),0)) * INDEX(MBSDecRate,$C557,1) * INDEX(MBSDecRate,$C557,4)</f>
        <v>0</v>
      </c>
      <c r="G569" s="57">
        <f t="shared" si="426"/>
        <v>0</v>
      </c>
      <c r="H569" s="57">
        <f t="shared" si="426"/>
        <v>0</v>
      </c>
      <c r="I569" s="57">
        <f t="shared" si="426"/>
        <v>0</v>
      </c>
      <c r="J569" s="57">
        <f t="shared" si="426"/>
        <v>0</v>
      </c>
      <c r="K569" s="57">
        <f t="shared" si="426"/>
        <v>0</v>
      </c>
      <c r="N569" s="344"/>
      <c r="O569" s="360"/>
      <c r="P569" s="360"/>
      <c r="AB569" s="469"/>
    </row>
    <row r="570" spans="1:28" hidden="1" outlineLevel="2" x14ac:dyDescent="0.2">
      <c r="B570" s="209">
        <v>5</v>
      </c>
      <c r="C570" s="209">
        <v>6</v>
      </c>
      <c r="E570" s="358" t="s">
        <v>1294</v>
      </c>
      <c r="F570" s="57" t="str">
        <f t="shared" ref="F570:K570" si="427">IFERROR(F569*INDEX(MBSDecItems,$C557,$B570)*INDEX(MBSDecItems,$C557,$C570),"")</f>
        <v/>
      </c>
      <c r="G570" s="57" t="str">
        <f t="shared" si="427"/>
        <v/>
      </c>
      <c r="H570" s="57" t="str">
        <f t="shared" si="427"/>
        <v/>
      </c>
      <c r="I570" s="57" t="str">
        <f t="shared" si="427"/>
        <v/>
      </c>
      <c r="J570" s="57" t="str">
        <f t="shared" si="427"/>
        <v/>
      </c>
      <c r="K570" s="57" t="str">
        <f t="shared" si="427"/>
        <v/>
      </c>
      <c r="M570" s="474"/>
      <c r="N570" s="344"/>
      <c r="O570" s="360"/>
      <c r="P570" s="360"/>
    </row>
    <row r="571" spans="1:28" hidden="1" outlineLevel="2" x14ac:dyDescent="0.2">
      <c r="B571" s="209">
        <v>4</v>
      </c>
      <c r="C571" s="209">
        <v>6</v>
      </c>
      <c r="E571" s="358" t="s">
        <v>1293</v>
      </c>
      <c r="F571" s="57" t="str">
        <f t="shared" ref="F571:K571" si="428">IFERROR(F569*INDEX(MBSDecItems,$C557,$B571)*INDEX(MBSDecItems,$C557,$C571),"")</f>
        <v/>
      </c>
      <c r="G571" s="57" t="str">
        <f t="shared" si="428"/>
        <v/>
      </c>
      <c r="H571" s="57" t="str">
        <f t="shared" si="428"/>
        <v/>
      </c>
      <c r="I571" s="57" t="str">
        <f t="shared" si="428"/>
        <v/>
      </c>
      <c r="J571" s="57" t="str">
        <f t="shared" si="428"/>
        <v/>
      </c>
      <c r="K571" s="57" t="str">
        <f t="shared" si="428"/>
        <v/>
      </c>
      <c r="M571" s="475"/>
      <c r="N571" s="473"/>
      <c r="O571" s="360"/>
      <c r="P571" s="360"/>
    </row>
    <row r="572" spans="1:28" hidden="1" outlineLevel="2" x14ac:dyDescent="0.2">
      <c r="B572" s="209"/>
      <c r="C572" s="209">
        <v>7</v>
      </c>
      <c r="E572" s="359" t="s">
        <v>1295</v>
      </c>
      <c r="F572" s="57" t="str">
        <f t="shared" ref="F572:K572" si="429">IFERROR(F569*INDEX(MBSDecItems,$C557,$C572),"")</f>
        <v/>
      </c>
      <c r="G572" s="57" t="str">
        <f t="shared" si="429"/>
        <v/>
      </c>
      <c r="H572" s="57" t="str">
        <f t="shared" si="429"/>
        <v/>
      </c>
      <c r="I572" s="57" t="str">
        <f t="shared" si="429"/>
        <v/>
      </c>
      <c r="J572" s="57" t="str">
        <f t="shared" si="429"/>
        <v/>
      </c>
      <c r="K572" s="57" t="str">
        <f t="shared" si="429"/>
        <v/>
      </c>
      <c r="M572" s="475"/>
      <c r="N572" s="473"/>
      <c r="O572" s="360"/>
      <c r="P572" s="360"/>
    </row>
    <row r="573" spans="1:28" outlineLevel="1" collapsed="1" x14ac:dyDescent="0.2">
      <c r="D573" s="360"/>
      <c r="E573" s="360"/>
      <c r="N573" s="360"/>
      <c r="O573" s="360"/>
      <c r="P573" s="360"/>
    </row>
    <row r="574" spans="1:28" ht="15.75" outlineLevel="1" x14ac:dyDescent="0.2">
      <c r="C574" s="209">
        <v>5</v>
      </c>
      <c r="D574" s="72" t="str">
        <f>INDEX(MBSDecNames,C574)</f>
        <v>** NOT USED **</v>
      </c>
      <c r="E574" s="72"/>
      <c r="F574" s="105"/>
      <c r="G574" s="105"/>
      <c r="H574" s="105"/>
      <c r="I574" s="105"/>
      <c r="J574" s="588" t="str">
        <f>IF(D574&lt;&gt;MsgNotUsed,"Co-payment group " &amp; K462,"")</f>
        <v/>
      </c>
      <c r="K574" s="588"/>
      <c r="L574" s="105"/>
      <c r="M574" s="105"/>
      <c r="N574" s="105"/>
      <c r="O574" s="105"/>
      <c r="P574" s="105"/>
      <c r="Q574" s="105"/>
      <c r="R574" s="105"/>
      <c r="S574" s="105"/>
      <c r="T574" s="105"/>
      <c r="U574" s="105"/>
      <c r="V574" s="105"/>
    </row>
    <row r="575" spans="1:28" hidden="1" outlineLevel="2" x14ac:dyDescent="0.2">
      <c r="F575" s="357">
        <v>2</v>
      </c>
      <c r="G575" s="357">
        <v>3</v>
      </c>
      <c r="H575" s="357">
        <v>4</v>
      </c>
      <c r="I575" s="357">
        <v>5</v>
      </c>
      <c r="J575" s="357">
        <v>6</v>
      </c>
      <c r="K575" s="357">
        <v>7</v>
      </c>
      <c r="L575" s="357"/>
    </row>
    <row r="576" spans="1:28" ht="15" hidden="1" outlineLevel="2" x14ac:dyDescent="0.2">
      <c r="D576" s="462" t="s">
        <v>0</v>
      </c>
      <c r="E576" s="462"/>
      <c r="F576" s="74">
        <f>FirstYear</f>
        <v>2026</v>
      </c>
      <c r="G576" s="74">
        <f>F576+1</f>
        <v>2027</v>
      </c>
      <c r="H576" s="74">
        <f>G576+1</f>
        <v>2028</v>
      </c>
      <c r="I576" s="74">
        <f>H576+1</f>
        <v>2029</v>
      </c>
      <c r="J576" s="74">
        <f>I576+1</f>
        <v>2030</v>
      </c>
      <c r="K576" s="74">
        <f>J576+1</f>
        <v>2031</v>
      </c>
      <c r="N576" s="470"/>
      <c r="O576" s="470"/>
      <c r="P576" s="470"/>
      <c r="Q576" s="223"/>
      <c r="R576" s="223"/>
      <c r="S576" s="223"/>
      <c r="T576" s="223"/>
      <c r="U576" s="223"/>
      <c r="V576" s="223"/>
      <c r="X576" s="223"/>
      <c r="Y576" s="223"/>
      <c r="Z576" s="223"/>
      <c r="AA576" s="223"/>
    </row>
    <row r="577" spans="1:28" hidden="1" outlineLevel="2" collapsed="1" x14ac:dyDescent="0.2">
      <c r="E577" s="82" t="s">
        <v>938</v>
      </c>
      <c r="F577" s="239">
        <f t="shared" ref="F577:K577" si="430">F578*INDEX(MBSDecCalc,$C574,3)</f>
        <v>0</v>
      </c>
      <c r="G577" s="239">
        <f t="shared" si="430"/>
        <v>0</v>
      </c>
      <c r="H577" s="239">
        <f t="shared" si="430"/>
        <v>0</v>
      </c>
      <c r="I577" s="239">
        <f t="shared" si="430"/>
        <v>0</v>
      </c>
      <c r="J577" s="239">
        <f t="shared" si="430"/>
        <v>0</v>
      </c>
      <c r="K577" s="239">
        <f t="shared" si="430"/>
        <v>0</v>
      </c>
      <c r="M577" s="471"/>
      <c r="N577" s="463"/>
      <c r="O577" s="463"/>
      <c r="P577" s="463"/>
      <c r="Q577" s="472"/>
      <c r="R577" s="472"/>
      <c r="S577" s="472"/>
      <c r="T577" s="472"/>
      <c r="U577" s="472"/>
      <c r="V577" s="472"/>
      <c r="X577" s="402">
        <f>INDEX(MBSDecItems,C574,1)</f>
        <v>0</v>
      </c>
      <c r="Y577" s="402">
        <f>FirstYear</f>
        <v>2026</v>
      </c>
      <c r="Z577" s="401">
        <f>IF(F578&lt;&gt;0,F578-F580,0)</f>
        <v>0</v>
      </c>
      <c r="AA577" s="401">
        <f>IF(F586&lt;&gt;0,F586-F588,0)</f>
        <v>0</v>
      </c>
    </row>
    <row r="578" spans="1:28" hidden="1" outlineLevel="2" x14ac:dyDescent="0.2">
      <c r="B578" s="468"/>
      <c r="C578" s="209" t="str">
        <f>INDEX(MBSDecCalc,C574,2)</f>
        <v/>
      </c>
      <c r="E578" s="56" t="s">
        <v>1297</v>
      </c>
      <c r="F578" s="57">
        <f t="shared" ref="F578:K578" si="431">IF(INDEX(MBSDecRate,$C574,2)=2,IFERROR(INDEX(PBSScriptsChanged,$C578,F575),0),IFERROR(INDEX(MBSPBSDec,$C574,INDEX(MBSDecRate,$C574,3)*7+F575),0) * IFERROR(INDEX(MBSDecPopSplit,$C574),0)) * INDEX(MBSDecRate,$C574,1) * INDEX(MBSDecRate,$C574,4)</f>
        <v>0</v>
      </c>
      <c r="G578" s="57">
        <f t="shared" si="431"/>
        <v>0</v>
      </c>
      <c r="H578" s="57">
        <f t="shared" si="431"/>
        <v>0</v>
      </c>
      <c r="I578" s="57">
        <f t="shared" si="431"/>
        <v>0</v>
      </c>
      <c r="J578" s="57">
        <f t="shared" si="431"/>
        <v>0</v>
      </c>
      <c r="K578" s="57">
        <f t="shared" si="431"/>
        <v>0</v>
      </c>
      <c r="O578" s="463"/>
      <c r="P578" s="463"/>
      <c r="Q578" s="472"/>
      <c r="R578" s="472"/>
      <c r="S578" s="472"/>
      <c r="T578" s="472"/>
      <c r="U578" s="472"/>
      <c r="V578" s="472"/>
      <c r="X578" s="402">
        <f>X577</f>
        <v>0</v>
      </c>
      <c r="Y578" s="402">
        <f>Y577+1</f>
        <v>2027</v>
      </c>
      <c r="Z578" s="401">
        <f>IF(G578&lt;&gt;0,G578-G580,0)</f>
        <v>0</v>
      </c>
      <c r="AA578" s="401">
        <f>IF(G586&lt;&gt;0,G586-G588,0)</f>
        <v>0</v>
      </c>
    </row>
    <row r="579" spans="1:28" hidden="1" outlineLevel="2" x14ac:dyDescent="0.2">
      <c r="B579" s="209">
        <v>5</v>
      </c>
      <c r="C579" s="209">
        <v>6</v>
      </c>
      <c r="E579" s="358" t="s">
        <v>1294</v>
      </c>
      <c r="F579" s="57" t="str">
        <f t="shared" ref="F579:K579" si="432">IFERROR(F578*INDEX(MBSDecItems,$C574,$B579)*INDEX(MBSDecItems,$C574,$C579),"")</f>
        <v/>
      </c>
      <c r="G579" s="57" t="str">
        <f t="shared" si="432"/>
        <v/>
      </c>
      <c r="H579" s="57" t="str">
        <f t="shared" si="432"/>
        <v/>
      </c>
      <c r="I579" s="57" t="str">
        <f t="shared" si="432"/>
        <v/>
      </c>
      <c r="J579" s="57" t="str">
        <f t="shared" si="432"/>
        <v/>
      </c>
      <c r="K579" s="57" t="str">
        <f t="shared" si="432"/>
        <v/>
      </c>
      <c r="O579" s="473"/>
      <c r="P579" s="514"/>
      <c r="Q579" s="472"/>
      <c r="R579" s="472"/>
      <c r="S579" s="472"/>
      <c r="T579" s="472"/>
      <c r="U579" s="472"/>
      <c r="V579" s="472"/>
      <c r="X579" s="402">
        <f t="shared" ref="X579:X582" si="433">X578</f>
        <v>0</v>
      </c>
      <c r="Y579" s="402">
        <f>Y578+1</f>
        <v>2028</v>
      </c>
      <c r="Z579" s="401">
        <f>IF(H578&lt;&gt;0,H578-H580,0)</f>
        <v>0</v>
      </c>
      <c r="AA579" s="401">
        <f>IF(H586&lt;&gt;0,H586-H588,0)</f>
        <v>0</v>
      </c>
    </row>
    <row r="580" spans="1:28" hidden="1" outlineLevel="2" x14ac:dyDescent="0.2">
      <c r="A580"/>
      <c r="B580" s="209">
        <v>4</v>
      </c>
      <c r="C580" s="209">
        <v>6</v>
      </c>
      <c r="E580" s="358" t="s">
        <v>1293</v>
      </c>
      <c r="F580" s="57" t="str">
        <f t="shared" ref="F580:K580" si="434">IFERROR(F578*INDEX(MBSDecItems,$C574,$B580)*INDEX(MBSDecItems,$C574,$C580),"")</f>
        <v/>
      </c>
      <c r="G580" s="57" t="str">
        <f t="shared" si="434"/>
        <v/>
      </c>
      <c r="H580" s="57" t="str">
        <f t="shared" si="434"/>
        <v/>
      </c>
      <c r="I580" s="57" t="str">
        <f t="shared" si="434"/>
        <v/>
      </c>
      <c r="J580" s="57" t="str">
        <f t="shared" si="434"/>
        <v/>
      </c>
      <c r="K580" s="57" t="str">
        <f t="shared" si="434"/>
        <v/>
      </c>
      <c r="L580"/>
      <c r="M580"/>
      <c r="N580"/>
      <c r="O580"/>
      <c r="P580"/>
      <c r="Q580"/>
      <c r="R580"/>
      <c r="S580"/>
      <c r="T580"/>
      <c r="U580"/>
      <c r="V580"/>
      <c r="X580" s="402">
        <f t="shared" si="433"/>
        <v>0</v>
      </c>
      <c r="Y580" s="402">
        <f>Y579+1</f>
        <v>2029</v>
      </c>
      <c r="Z580" s="401">
        <f>IF(I578&lt;&gt;0,I578-I580,0)</f>
        <v>0</v>
      </c>
      <c r="AA580" s="401">
        <f>IF(I586&lt;&gt;0,I586-I588,0)</f>
        <v>0</v>
      </c>
      <c r="AB580" s="223"/>
    </row>
    <row r="581" spans="1:28" hidden="1" outlineLevel="2" x14ac:dyDescent="0.2">
      <c r="B581" s="209"/>
      <c r="C581" s="209">
        <v>7</v>
      </c>
      <c r="E581" s="359" t="s">
        <v>1295</v>
      </c>
      <c r="F581" s="57" t="str">
        <f t="shared" ref="F581:K581" si="435">IFERROR(F578*INDEX(MBSDecItems,$C574,$C581),"")</f>
        <v/>
      </c>
      <c r="G581" s="57" t="str">
        <f t="shared" si="435"/>
        <v/>
      </c>
      <c r="H581" s="57" t="str">
        <f t="shared" si="435"/>
        <v/>
      </c>
      <c r="I581" s="57" t="str">
        <f t="shared" si="435"/>
        <v/>
      </c>
      <c r="J581" s="57" t="str">
        <f t="shared" si="435"/>
        <v/>
      </c>
      <c r="K581" s="57" t="str">
        <f t="shared" si="435"/>
        <v/>
      </c>
      <c r="O581" s="473"/>
      <c r="P581" s="514"/>
      <c r="Q581" s="472"/>
      <c r="R581" s="472"/>
      <c r="S581" s="472"/>
      <c r="T581" s="472"/>
      <c r="U581" s="472"/>
      <c r="V581" s="472"/>
      <c r="X581" s="402">
        <f t="shared" si="433"/>
        <v>0</v>
      </c>
      <c r="Y581" s="402">
        <f>Y580+1</f>
        <v>2030</v>
      </c>
      <c r="Z581" s="401">
        <f>IF(J578&lt;&gt;0,J578-J580,0)</f>
        <v>0</v>
      </c>
      <c r="AA581" s="401">
        <f>IF(J586&lt;&gt;0,J586-J588,0)</f>
        <v>0</v>
      </c>
      <c r="AB581" s="223"/>
    </row>
    <row r="582" spans="1:28" hidden="1" outlineLevel="2" x14ac:dyDescent="0.2">
      <c r="O582" s="473"/>
      <c r="P582" s="473"/>
      <c r="Q582" s="472"/>
      <c r="R582" s="472"/>
      <c r="S582" s="472"/>
      <c r="T582" s="472"/>
      <c r="U582" s="472"/>
      <c r="V582" s="472"/>
      <c r="X582" s="402">
        <f t="shared" si="433"/>
        <v>0</v>
      </c>
      <c r="Y582" s="402">
        <f>Y581+1</f>
        <v>2031</v>
      </c>
      <c r="Z582" s="401">
        <f>IF(K578&lt;&gt;0,K578-K580,0)</f>
        <v>0</v>
      </c>
      <c r="AA582" s="401">
        <f>IF(K586&lt;&gt;0,K586-K588,0)</f>
        <v>0</v>
      </c>
      <c r="AB582" s="469"/>
    </row>
    <row r="583" spans="1:28" hidden="1" outlineLevel="2" x14ac:dyDescent="0.2">
      <c r="D583" s="360"/>
      <c r="E583" s="360"/>
      <c r="F583" s="357">
        <v>2</v>
      </c>
      <c r="G583" s="357">
        <v>3</v>
      </c>
      <c r="H583" s="357">
        <v>4</v>
      </c>
      <c r="I583" s="357">
        <v>5</v>
      </c>
      <c r="J583" s="357">
        <v>6</v>
      </c>
      <c r="K583" s="357">
        <v>7</v>
      </c>
      <c r="N583" s="360"/>
      <c r="O583" s="360"/>
      <c r="P583" s="360"/>
      <c r="AB583" s="469"/>
    </row>
    <row r="584" spans="1:28" ht="15.75" hidden="1" outlineLevel="2" x14ac:dyDescent="0.2">
      <c r="D584" s="462" t="s">
        <v>1</v>
      </c>
      <c r="E584" s="462"/>
      <c r="F584" s="74">
        <f>FirstYear</f>
        <v>2026</v>
      </c>
      <c r="G584" s="74">
        <f>F584+1</f>
        <v>2027</v>
      </c>
      <c r="H584" s="74">
        <f>G584+1</f>
        <v>2028</v>
      </c>
      <c r="I584" s="74">
        <f>H584+1</f>
        <v>2029</v>
      </c>
      <c r="J584" s="74">
        <f>I584+1</f>
        <v>2030</v>
      </c>
      <c r="K584" s="74">
        <f>J584+1</f>
        <v>2031</v>
      </c>
      <c r="N584" s="466"/>
      <c r="O584" s="466"/>
      <c r="P584" s="466"/>
      <c r="AB584" s="469"/>
    </row>
    <row r="585" spans="1:28" hidden="1" outlineLevel="2" x14ac:dyDescent="0.2">
      <c r="E585" s="82" t="s">
        <v>938</v>
      </c>
      <c r="F585" s="239">
        <f t="shared" ref="F585:K585" si="436">F586*INDEX(MBSDecCalc,$C574,3)</f>
        <v>0</v>
      </c>
      <c r="G585" s="239">
        <f t="shared" si="436"/>
        <v>0</v>
      </c>
      <c r="H585" s="239">
        <f t="shared" si="436"/>
        <v>0</v>
      </c>
      <c r="I585" s="239">
        <f t="shared" si="436"/>
        <v>0</v>
      </c>
      <c r="J585" s="239">
        <f t="shared" si="436"/>
        <v>0</v>
      </c>
      <c r="K585" s="239">
        <f t="shared" si="436"/>
        <v>0</v>
      </c>
      <c r="M585"/>
      <c r="N585"/>
      <c r="O585" s="360"/>
      <c r="P585" s="360"/>
      <c r="AB585" s="469"/>
    </row>
    <row r="586" spans="1:28" hidden="1" outlineLevel="2" x14ac:dyDescent="0.2">
      <c r="B586" s="468"/>
      <c r="C586" s="209" t="str">
        <f>C578</f>
        <v/>
      </c>
      <c r="E586" s="56" t="s">
        <v>1297</v>
      </c>
      <c r="F586" s="57">
        <f t="shared" ref="F586:K586" si="437">IF(INDEX(MBSDecRate,$C574,2)=2,IFERROR(INDEX(RPBSScriptsChanged,$C586,F583),0),IFERROR(INDEX(MBSRPBSDec,$C574,INDEX(MBSDecRate,$C574,3)*7+F583),0) * IFERROR(INDEX(MBSDecPopSplit,$C574),0)) * INDEX(MBSDecRate,$C574,1) * INDEX(MBSDecRate,$C574,4)</f>
        <v>0</v>
      </c>
      <c r="G586" s="57">
        <f t="shared" si="437"/>
        <v>0</v>
      </c>
      <c r="H586" s="57">
        <f t="shared" si="437"/>
        <v>0</v>
      </c>
      <c r="I586" s="57">
        <f t="shared" si="437"/>
        <v>0</v>
      </c>
      <c r="J586" s="57">
        <f t="shared" si="437"/>
        <v>0</v>
      </c>
      <c r="K586" s="57">
        <f t="shared" si="437"/>
        <v>0</v>
      </c>
      <c r="N586" s="344"/>
      <c r="O586" s="360"/>
      <c r="P586" s="360"/>
      <c r="AB586" s="469"/>
    </row>
    <row r="587" spans="1:28" hidden="1" outlineLevel="2" x14ac:dyDescent="0.2">
      <c r="B587" s="209">
        <v>5</v>
      </c>
      <c r="C587" s="209">
        <v>6</v>
      </c>
      <c r="E587" s="358" t="s">
        <v>1294</v>
      </c>
      <c r="F587" s="57" t="str">
        <f t="shared" ref="F587:K587" si="438">IFERROR(F586*INDEX(MBSDecItems,$C574,$B587)*INDEX(MBSDecItems,$C574,$C587),"")</f>
        <v/>
      </c>
      <c r="G587" s="57" t="str">
        <f t="shared" si="438"/>
        <v/>
      </c>
      <c r="H587" s="57" t="str">
        <f t="shared" si="438"/>
        <v/>
      </c>
      <c r="I587" s="57" t="str">
        <f t="shared" si="438"/>
        <v/>
      </c>
      <c r="J587" s="57" t="str">
        <f t="shared" si="438"/>
        <v/>
      </c>
      <c r="K587" s="57" t="str">
        <f t="shared" si="438"/>
        <v/>
      </c>
      <c r="M587" s="474"/>
      <c r="N587" s="344"/>
      <c r="O587" s="360"/>
      <c r="P587" s="360"/>
    </row>
    <row r="588" spans="1:28" hidden="1" outlineLevel="2" x14ac:dyDescent="0.2">
      <c r="B588" s="209">
        <v>4</v>
      </c>
      <c r="C588" s="209">
        <v>6</v>
      </c>
      <c r="E588" s="358" t="s">
        <v>1293</v>
      </c>
      <c r="F588" s="57" t="str">
        <f t="shared" ref="F588:K588" si="439">IFERROR(F586*INDEX(MBSDecItems,$C574,$B588)*INDEX(MBSDecItems,$C574,$C588),"")</f>
        <v/>
      </c>
      <c r="G588" s="57" t="str">
        <f t="shared" si="439"/>
        <v/>
      </c>
      <c r="H588" s="57" t="str">
        <f t="shared" si="439"/>
        <v/>
      </c>
      <c r="I588" s="57" t="str">
        <f t="shared" si="439"/>
        <v/>
      </c>
      <c r="J588" s="57" t="str">
        <f t="shared" si="439"/>
        <v/>
      </c>
      <c r="K588" s="57" t="str">
        <f t="shared" si="439"/>
        <v/>
      </c>
      <c r="M588" s="475"/>
      <c r="N588" s="473"/>
      <c r="O588" s="360"/>
      <c r="P588" s="360"/>
    </row>
    <row r="589" spans="1:28" hidden="1" outlineLevel="2" x14ac:dyDescent="0.2">
      <c r="B589" s="209"/>
      <c r="C589" s="209">
        <v>7</v>
      </c>
      <c r="E589" s="359" t="s">
        <v>1295</v>
      </c>
      <c r="F589" s="57" t="str">
        <f t="shared" ref="F589:K589" si="440">IFERROR(F586*INDEX(MBSDecItems,$C574,$C589),"")</f>
        <v/>
      </c>
      <c r="G589" s="57" t="str">
        <f t="shared" si="440"/>
        <v/>
      </c>
      <c r="H589" s="57" t="str">
        <f t="shared" si="440"/>
        <v/>
      </c>
      <c r="I589" s="57" t="str">
        <f t="shared" si="440"/>
        <v/>
      </c>
      <c r="J589" s="57" t="str">
        <f t="shared" si="440"/>
        <v/>
      </c>
      <c r="K589" s="57" t="str">
        <f t="shared" si="440"/>
        <v/>
      </c>
      <c r="M589" s="475"/>
      <c r="N589" s="473"/>
      <c r="O589" s="360"/>
      <c r="P589" s="360"/>
    </row>
    <row r="590" spans="1:28" outlineLevel="1" collapsed="1" x14ac:dyDescent="0.2">
      <c r="D590" s="360"/>
      <c r="E590" s="360"/>
      <c r="N590" s="360"/>
      <c r="O590" s="360"/>
      <c r="P590" s="360"/>
    </row>
    <row r="591" spans="1:28" ht="15.75" outlineLevel="1" x14ac:dyDescent="0.2">
      <c r="C591" s="209">
        <v>6</v>
      </c>
      <c r="D591" s="72" t="str">
        <f>INDEX(MBSDecNames,C591)</f>
        <v>** NOT USED **</v>
      </c>
      <c r="E591" s="72"/>
      <c r="F591" s="105"/>
      <c r="G591" s="105"/>
      <c r="H591" s="105"/>
      <c r="I591" s="105"/>
      <c r="J591" s="588" t="str">
        <f>IF(D591&lt;&gt;MsgNotUsed,"Co-payment group " &amp; K463,"")</f>
        <v/>
      </c>
      <c r="K591" s="588"/>
      <c r="L591" s="105"/>
      <c r="M591" s="105"/>
      <c r="N591" s="105"/>
      <c r="O591" s="105"/>
      <c r="P591" s="105"/>
      <c r="Q591" s="105"/>
      <c r="R591" s="105"/>
      <c r="S591" s="105"/>
      <c r="T591" s="105"/>
      <c r="U591" s="105"/>
      <c r="V591" s="105"/>
    </row>
    <row r="592" spans="1:28" hidden="1" outlineLevel="2" x14ac:dyDescent="0.2">
      <c r="F592" s="357">
        <v>2</v>
      </c>
      <c r="G592" s="357">
        <v>3</v>
      </c>
      <c r="H592" s="357">
        <v>4</v>
      </c>
      <c r="I592" s="357">
        <v>5</v>
      </c>
      <c r="J592" s="357">
        <v>6</v>
      </c>
      <c r="K592" s="357">
        <v>7</v>
      </c>
      <c r="L592" s="357"/>
    </row>
    <row r="593" spans="1:28" ht="15" hidden="1" outlineLevel="2" x14ac:dyDescent="0.2">
      <c r="D593" s="462" t="s">
        <v>0</v>
      </c>
      <c r="E593" s="462"/>
      <c r="F593" s="74">
        <f>FirstYear</f>
        <v>2026</v>
      </c>
      <c r="G593" s="74">
        <f>F593+1</f>
        <v>2027</v>
      </c>
      <c r="H593" s="74">
        <f>G593+1</f>
        <v>2028</v>
      </c>
      <c r="I593" s="74">
        <f>H593+1</f>
        <v>2029</v>
      </c>
      <c r="J593" s="74">
        <f>I593+1</f>
        <v>2030</v>
      </c>
      <c r="K593" s="74">
        <f>J593+1</f>
        <v>2031</v>
      </c>
      <c r="N593" s="470"/>
      <c r="O593" s="470"/>
      <c r="P593" s="470"/>
      <c r="Q593" s="223"/>
      <c r="R593" s="223"/>
      <c r="S593" s="223"/>
      <c r="T593" s="223"/>
      <c r="U593" s="223"/>
      <c r="V593" s="223"/>
      <c r="X593" s="223"/>
      <c r="Y593" s="223"/>
      <c r="Z593" s="223"/>
      <c r="AA593" s="223"/>
    </row>
    <row r="594" spans="1:28" hidden="1" outlineLevel="2" collapsed="1" x14ac:dyDescent="0.2">
      <c r="E594" s="82" t="s">
        <v>938</v>
      </c>
      <c r="F594" s="239">
        <f t="shared" ref="F594:K594" si="441">F595*INDEX(MBSDecCalc,$C591,3)</f>
        <v>0</v>
      </c>
      <c r="G594" s="239">
        <f t="shared" si="441"/>
        <v>0</v>
      </c>
      <c r="H594" s="239">
        <f t="shared" si="441"/>
        <v>0</v>
      </c>
      <c r="I594" s="239">
        <f t="shared" si="441"/>
        <v>0</v>
      </c>
      <c r="J594" s="239">
        <f t="shared" si="441"/>
        <v>0</v>
      </c>
      <c r="K594" s="239">
        <f t="shared" si="441"/>
        <v>0</v>
      </c>
      <c r="M594" s="471"/>
      <c r="N594" s="463"/>
      <c r="O594" s="463"/>
      <c r="P594" s="463"/>
      <c r="Q594" s="472"/>
      <c r="R594" s="472"/>
      <c r="S594" s="472"/>
      <c r="T594" s="472"/>
      <c r="U594" s="472"/>
      <c r="V594" s="472"/>
      <c r="X594" s="402">
        <f>INDEX(MBSDecItems,C591,1)</f>
        <v>0</v>
      </c>
      <c r="Y594" s="402">
        <f>FirstYear</f>
        <v>2026</v>
      </c>
      <c r="Z594" s="401">
        <f>IF(F595&lt;&gt;0,F595-F597,0)</f>
        <v>0</v>
      </c>
      <c r="AA594" s="401">
        <f>IF(F603&lt;&gt;0,F603-F605,0)</f>
        <v>0</v>
      </c>
    </row>
    <row r="595" spans="1:28" hidden="1" outlineLevel="2" x14ac:dyDescent="0.2">
      <c r="B595" s="468"/>
      <c r="C595" s="209" t="str">
        <f>INDEX(MBSDecCalc,C591,2)</f>
        <v/>
      </c>
      <c r="E595" s="56" t="s">
        <v>1297</v>
      </c>
      <c r="F595" s="57">
        <f t="shared" ref="F595:K595" si="442">IF(INDEX(MBSDecRate,$C591,2)=2,IFERROR(INDEX(PBSScriptsChanged,$C595,F592),0),IFERROR(INDEX(MBSPBSDec,$C591,INDEX(MBSDecRate,$C591,3)*7+F592),0) * IFERROR(INDEX(MBSDecPopSplit,$C591),0)) * INDEX(MBSDecRate,$C591,1) * INDEX(MBSDecRate,$C591,4)</f>
        <v>0</v>
      </c>
      <c r="G595" s="57">
        <f t="shared" si="442"/>
        <v>0</v>
      </c>
      <c r="H595" s="57">
        <f t="shared" si="442"/>
        <v>0</v>
      </c>
      <c r="I595" s="57">
        <f t="shared" si="442"/>
        <v>0</v>
      </c>
      <c r="J595" s="57">
        <f t="shared" si="442"/>
        <v>0</v>
      </c>
      <c r="K595" s="57">
        <f t="shared" si="442"/>
        <v>0</v>
      </c>
      <c r="O595" s="463"/>
      <c r="P595" s="463"/>
      <c r="Q595" s="472"/>
      <c r="R595" s="472"/>
      <c r="S595" s="472"/>
      <c r="T595" s="472"/>
      <c r="U595" s="472"/>
      <c r="V595" s="472"/>
      <c r="X595" s="402">
        <f>X594</f>
        <v>0</v>
      </c>
      <c r="Y595" s="402">
        <f>Y594+1</f>
        <v>2027</v>
      </c>
      <c r="Z595" s="401">
        <f>IF(G595&lt;&gt;0,G595-G597,0)</f>
        <v>0</v>
      </c>
      <c r="AA595" s="401">
        <f>IF(G603&lt;&gt;0,G603-G605,0)</f>
        <v>0</v>
      </c>
    </row>
    <row r="596" spans="1:28" hidden="1" outlineLevel="2" x14ac:dyDescent="0.2">
      <c r="B596" s="209">
        <v>5</v>
      </c>
      <c r="C596" s="209">
        <v>6</v>
      </c>
      <c r="E596" s="358" t="s">
        <v>1294</v>
      </c>
      <c r="F596" s="57" t="str">
        <f t="shared" ref="F596:K596" si="443">IFERROR(F595*INDEX(MBSDecItems,$C591,$B596)*INDEX(MBSDecItems,$C591,$C596),"")</f>
        <v/>
      </c>
      <c r="G596" s="57" t="str">
        <f t="shared" si="443"/>
        <v/>
      </c>
      <c r="H596" s="57" t="str">
        <f t="shared" si="443"/>
        <v/>
      </c>
      <c r="I596" s="57" t="str">
        <f t="shared" si="443"/>
        <v/>
      </c>
      <c r="J596" s="57" t="str">
        <f t="shared" si="443"/>
        <v/>
      </c>
      <c r="K596" s="57" t="str">
        <f t="shared" si="443"/>
        <v/>
      </c>
      <c r="O596" s="473"/>
      <c r="P596" s="514"/>
      <c r="Q596" s="472"/>
      <c r="R596" s="472"/>
      <c r="S596" s="472"/>
      <c r="T596" s="472"/>
      <c r="U596" s="472"/>
      <c r="V596" s="472"/>
      <c r="X596" s="402">
        <f t="shared" ref="X596:X599" si="444">X595</f>
        <v>0</v>
      </c>
      <c r="Y596" s="402">
        <f>Y595+1</f>
        <v>2028</v>
      </c>
      <c r="Z596" s="401">
        <f>IF(H595&lt;&gt;0,H595-H597,0)</f>
        <v>0</v>
      </c>
      <c r="AA596" s="401">
        <f>IF(H603&lt;&gt;0,H603-H605,0)</f>
        <v>0</v>
      </c>
    </row>
    <row r="597" spans="1:28" hidden="1" outlineLevel="2" x14ac:dyDescent="0.2">
      <c r="A597"/>
      <c r="B597" s="209">
        <v>4</v>
      </c>
      <c r="C597" s="209">
        <v>6</v>
      </c>
      <c r="E597" s="358" t="s">
        <v>1293</v>
      </c>
      <c r="F597" s="57" t="str">
        <f t="shared" ref="F597:K597" si="445">IFERROR(F595*INDEX(MBSDecItems,$C591,$B597)*INDEX(MBSDecItems,$C591,$C597),"")</f>
        <v/>
      </c>
      <c r="G597" s="57" t="str">
        <f t="shared" si="445"/>
        <v/>
      </c>
      <c r="H597" s="57" t="str">
        <f t="shared" si="445"/>
        <v/>
      </c>
      <c r="I597" s="57" t="str">
        <f t="shared" si="445"/>
        <v/>
      </c>
      <c r="J597" s="57" t="str">
        <f t="shared" si="445"/>
        <v/>
      </c>
      <c r="K597" s="57" t="str">
        <f t="shared" si="445"/>
        <v/>
      </c>
      <c r="L597"/>
      <c r="M597"/>
      <c r="N597"/>
      <c r="O597"/>
      <c r="P597"/>
      <c r="Q597"/>
      <c r="R597"/>
      <c r="S597"/>
      <c r="T597"/>
      <c r="U597"/>
      <c r="V597"/>
      <c r="X597" s="402">
        <f t="shared" si="444"/>
        <v>0</v>
      </c>
      <c r="Y597" s="402">
        <f>Y596+1</f>
        <v>2029</v>
      </c>
      <c r="Z597" s="401">
        <f>IF(I595&lt;&gt;0,I595-I597,0)</f>
        <v>0</v>
      </c>
      <c r="AA597" s="401">
        <f>IF(I603&lt;&gt;0,I603-I605,0)</f>
        <v>0</v>
      </c>
      <c r="AB597" s="223"/>
    </row>
    <row r="598" spans="1:28" hidden="1" outlineLevel="2" x14ac:dyDescent="0.2">
      <c r="B598" s="209"/>
      <c r="C598" s="209">
        <v>7</v>
      </c>
      <c r="E598" s="359" t="s">
        <v>1295</v>
      </c>
      <c r="F598" s="57" t="str">
        <f t="shared" ref="F598:K598" si="446">IFERROR(F595*INDEX(MBSDecItems,$C591,$C598),"")</f>
        <v/>
      </c>
      <c r="G598" s="57" t="str">
        <f t="shared" si="446"/>
        <v/>
      </c>
      <c r="H598" s="57" t="str">
        <f t="shared" si="446"/>
        <v/>
      </c>
      <c r="I598" s="57" t="str">
        <f t="shared" si="446"/>
        <v/>
      </c>
      <c r="J598" s="57" t="str">
        <f t="shared" si="446"/>
        <v/>
      </c>
      <c r="K598" s="57" t="str">
        <f t="shared" si="446"/>
        <v/>
      </c>
      <c r="O598" s="473"/>
      <c r="P598" s="514"/>
      <c r="Q598" s="472"/>
      <c r="R598" s="472"/>
      <c r="S598" s="472"/>
      <c r="T598" s="472"/>
      <c r="U598" s="472"/>
      <c r="V598" s="472"/>
      <c r="X598" s="402">
        <f t="shared" si="444"/>
        <v>0</v>
      </c>
      <c r="Y598" s="402">
        <f>Y597+1</f>
        <v>2030</v>
      </c>
      <c r="Z598" s="401">
        <f>IF(J595&lt;&gt;0,J595-J597,0)</f>
        <v>0</v>
      </c>
      <c r="AA598" s="401">
        <f>IF(J603&lt;&gt;0,J603-J605,0)</f>
        <v>0</v>
      </c>
      <c r="AB598" s="223"/>
    </row>
    <row r="599" spans="1:28" hidden="1" outlineLevel="2" x14ac:dyDescent="0.2">
      <c r="O599" s="473"/>
      <c r="P599" s="473"/>
      <c r="Q599" s="472"/>
      <c r="R599" s="472"/>
      <c r="S599" s="472"/>
      <c r="T599" s="472"/>
      <c r="U599" s="472"/>
      <c r="V599" s="472"/>
      <c r="X599" s="402">
        <f t="shared" si="444"/>
        <v>0</v>
      </c>
      <c r="Y599" s="402">
        <f>Y598+1</f>
        <v>2031</v>
      </c>
      <c r="Z599" s="401">
        <f>IF(K595&lt;&gt;0,K595-K597,0)</f>
        <v>0</v>
      </c>
      <c r="AA599" s="401">
        <f>IF(K603&lt;&gt;0,K603-K605,0)</f>
        <v>0</v>
      </c>
      <c r="AB599" s="469"/>
    </row>
    <row r="600" spans="1:28" hidden="1" outlineLevel="2" x14ac:dyDescent="0.2">
      <c r="D600" s="360"/>
      <c r="E600" s="360"/>
      <c r="F600" s="357">
        <v>2</v>
      </c>
      <c r="G600" s="357">
        <v>3</v>
      </c>
      <c r="H600" s="357">
        <v>4</v>
      </c>
      <c r="I600" s="357">
        <v>5</v>
      </c>
      <c r="J600" s="357">
        <v>6</v>
      </c>
      <c r="K600" s="357">
        <v>7</v>
      </c>
      <c r="N600" s="360"/>
      <c r="O600" s="360"/>
      <c r="P600" s="360"/>
      <c r="AB600" s="469"/>
    </row>
    <row r="601" spans="1:28" ht="15.75" hidden="1" outlineLevel="2" x14ac:dyDescent="0.2">
      <c r="D601" s="462" t="s">
        <v>1</v>
      </c>
      <c r="E601" s="462"/>
      <c r="F601" s="74">
        <f>FirstYear</f>
        <v>2026</v>
      </c>
      <c r="G601" s="74">
        <f>F601+1</f>
        <v>2027</v>
      </c>
      <c r="H601" s="74">
        <f>G601+1</f>
        <v>2028</v>
      </c>
      <c r="I601" s="74">
        <f>H601+1</f>
        <v>2029</v>
      </c>
      <c r="J601" s="74">
        <f>I601+1</f>
        <v>2030</v>
      </c>
      <c r="K601" s="74">
        <f>J601+1</f>
        <v>2031</v>
      </c>
      <c r="N601" s="466"/>
      <c r="O601" s="466"/>
      <c r="P601" s="466"/>
      <c r="AB601" s="469"/>
    </row>
    <row r="602" spans="1:28" hidden="1" outlineLevel="2" x14ac:dyDescent="0.2">
      <c r="E602" s="82" t="s">
        <v>938</v>
      </c>
      <c r="F602" s="239">
        <f t="shared" ref="F602:K602" si="447">F603*INDEX(MBSDecCalc,$C591,3)</f>
        <v>0</v>
      </c>
      <c r="G602" s="239">
        <f t="shared" si="447"/>
        <v>0</v>
      </c>
      <c r="H602" s="239">
        <f t="shared" si="447"/>
        <v>0</v>
      </c>
      <c r="I602" s="239">
        <f t="shared" si="447"/>
        <v>0</v>
      </c>
      <c r="J602" s="239">
        <f t="shared" si="447"/>
        <v>0</v>
      </c>
      <c r="K602" s="239">
        <f t="shared" si="447"/>
        <v>0</v>
      </c>
      <c r="M602"/>
      <c r="N602"/>
      <c r="O602" s="360"/>
      <c r="P602" s="360"/>
      <c r="AB602" s="469"/>
    </row>
    <row r="603" spans="1:28" hidden="1" outlineLevel="2" x14ac:dyDescent="0.2">
      <c r="B603" s="468"/>
      <c r="C603" s="209" t="str">
        <f>C595</f>
        <v/>
      </c>
      <c r="E603" s="56" t="s">
        <v>1297</v>
      </c>
      <c r="F603" s="57">
        <f t="shared" ref="F603:K603" si="448">IF(INDEX(MBSDecRate,$C591,2)=2,IFERROR(INDEX(RPBSScriptsChanged,$C603,F600),0),IFERROR(INDEX(MBSRPBSDec,$C591,INDEX(MBSDecRate,$C591,3)*7+F600),0) * IFERROR(INDEX(MBSDecPopSplit,$C591),0)) * INDEX(MBSDecRate,$C591,1) * INDEX(MBSDecRate,$C591,4)</f>
        <v>0</v>
      </c>
      <c r="G603" s="57">
        <f t="shared" si="448"/>
        <v>0</v>
      </c>
      <c r="H603" s="57">
        <f t="shared" si="448"/>
        <v>0</v>
      </c>
      <c r="I603" s="57">
        <f t="shared" si="448"/>
        <v>0</v>
      </c>
      <c r="J603" s="57">
        <f t="shared" si="448"/>
        <v>0</v>
      </c>
      <c r="K603" s="57">
        <f t="shared" si="448"/>
        <v>0</v>
      </c>
      <c r="N603" s="344"/>
      <c r="O603" s="360"/>
      <c r="P603" s="360"/>
      <c r="AB603" s="469"/>
    </row>
    <row r="604" spans="1:28" hidden="1" outlineLevel="2" x14ac:dyDescent="0.2">
      <c r="B604" s="209">
        <v>5</v>
      </c>
      <c r="C604" s="209">
        <v>6</v>
      </c>
      <c r="E604" s="358" t="s">
        <v>1294</v>
      </c>
      <c r="F604" s="57" t="str">
        <f t="shared" ref="F604:K604" si="449">IFERROR(F603*INDEX(MBSDecItems,$C591,$B604)*INDEX(MBSDecItems,$C591,$C604),"")</f>
        <v/>
      </c>
      <c r="G604" s="57" t="str">
        <f t="shared" si="449"/>
        <v/>
      </c>
      <c r="H604" s="57" t="str">
        <f t="shared" si="449"/>
        <v/>
      </c>
      <c r="I604" s="57" t="str">
        <f t="shared" si="449"/>
        <v/>
      </c>
      <c r="J604" s="57" t="str">
        <f t="shared" si="449"/>
        <v/>
      </c>
      <c r="K604" s="57" t="str">
        <f t="shared" si="449"/>
        <v/>
      </c>
      <c r="M604" s="474"/>
      <c r="N604" s="344"/>
      <c r="O604" s="360"/>
      <c r="P604" s="360"/>
    </row>
    <row r="605" spans="1:28" hidden="1" outlineLevel="2" x14ac:dyDescent="0.2">
      <c r="B605" s="209">
        <v>4</v>
      </c>
      <c r="C605" s="209">
        <v>6</v>
      </c>
      <c r="E605" s="358" t="s">
        <v>1293</v>
      </c>
      <c r="F605" s="57" t="str">
        <f t="shared" ref="F605:K605" si="450">IFERROR(F603*INDEX(MBSDecItems,$C591,$B605)*INDEX(MBSDecItems,$C591,$C605),"")</f>
        <v/>
      </c>
      <c r="G605" s="57" t="str">
        <f t="shared" si="450"/>
        <v/>
      </c>
      <c r="H605" s="57" t="str">
        <f t="shared" si="450"/>
        <v/>
      </c>
      <c r="I605" s="57" t="str">
        <f t="shared" si="450"/>
        <v/>
      </c>
      <c r="J605" s="57" t="str">
        <f t="shared" si="450"/>
        <v/>
      </c>
      <c r="K605" s="57" t="str">
        <f t="shared" si="450"/>
        <v/>
      </c>
      <c r="M605" s="475"/>
      <c r="N605" s="473"/>
      <c r="O605" s="360"/>
      <c r="P605" s="360"/>
    </row>
    <row r="606" spans="1:28" hidden="1" outlineLevel="2" x14ac:dyDescent="0.2">
      <c r="B606" s="209"/>
      <c r="C606" s="209">
        <v>7</v>
      </c>
      <c r="E606" s="359" t="s">
        <v>1295</v>
      </c>
      <c r="F606" s="57" t="str">
        <f t="shared" ref="F606:K606" si="451">IFERROR(F603*INDEX(MBSDecItems,$C591,$C606),"")</f>
        <v/>
      </c>
      <c r="G606" s="57" t="str">
        <f t="shared" si="451"/>
        <v/>
      </c>
      <c r="H606" s="57" t="str">
        <f t="shared" si="451"/>
        <v/>
      </c>
      <c r="I606" s="57" t="str">
        <f t="shared" si="451"/>
        <v/>
      </c>
      <c r="J606" s="57" t="str">
        <f t="shared" si="451"/>
        <v/>
      </c>
      <c r="K606" s="57" t="str">
        <f t="shared" si="451"/>
        <v/>
      </c>
      <c r="M606" s="475"/>
      <c r="N606" s="473"/>
      <c r="O606" s="360"/>
      <c r="P606" s="360"/>
    </row>
    <row r="607" spans="1:28" outlineLevel="1" collapsed="1" x14ac:dyDescent="0.2">
      <c r="D607" s="360"/>
      <c r="E607" s="360"/>
      <c r="N607" s="360"/>
      <c r="O607" s="360"/>
      <c r="P607" s="360"/>
    </row>
    <row r="608" spans="1:28" ht="15.75" outlineLevel="1" x14ac:dyDescent="0.2">
      <c r="C608" s="209">
        <v>7</v>
      </c>
      <c r="D608" s="72" t="str">
        <f>INDEX(MBSDecNames,C608)</f>
        <v>** NOT USED **</v>
      </c>
      <c r="E608" s="72"/>
      <c r="F608" s="105"/>
      <c r="G608" s="105"/>
      <c r="H608" s="105"/>
      <c r="I608" s="105"/>
      <c r="J608" s="588" t="str">
        <f>IF(D608&lt;&gt;MsgNotUsed,"Co-payment group " &amp; K464,"")</f>
        <v/>
      </c>
      <c r="K608" s="588"/>
      <c r="L608" s="105"/>
      <c r="M608" s="105"/>
      <c r="N608" s="105"/>
      <c r="O608" s="105"/>
      <c r="P608" s="105"/>
      <c r="Q608" s="105"/>
      <c r="R608" s="105"/>
      <c r="S608" s="105"/>
      <c r="T608" s="105"/>
      <c r="U608" s="105"/>
      <c r="V608" s="105"/>
    </row>
    <row r="609" spans="1:28" hidden="1" outlineLevel="2" x14ac:dyDescent="0.2">
      <c r="F609" s="357">
        <v>2</v>
      </c>
      <c r="G609" s="357">
        <v>3</v>
      </c>
      <c r="H609" s="357">
        <v>4</v>
      </c>
      <c r="I609" s="357">
        <v>5</v>
      </c>
      <c r="J609" s="357">
        <v>6</v>
      </c>
      <c r="K609" s="357">
        <v>7</v>
      </c>
      <c r="L609" s="357"/>
    </row>
    <row r="610" spans="1:28" ht="15" hidden="1" outlineLevel="2" x14ac:dyDescent="0.2">
      <c r="D610" s="462" t="s">
        <v>0</v>
      </c>
      <c r="E610" s="462"/>
      <c r="F610" s="74">
        <f>FirstYear</f>
        <v>2026</v>
      </c>
      <c r="G610" s="74">
        <f>F610+1</f>
        <v>2027</v>
      </c>
      <c r="H610" s="74">
        <f>G610+1</f>
        <v>2028</v>
      </c>
      <c r="I610" s="74">
        <f>H610+1</f>
        <v>2029</v>
      </c>
      <c r="J610" s="74">
        <f>I610+1</f>
        <v>2030</v>
      </c>
      <c r="K610" s="74">
        <f>J610+1</f>
        <v>2031</v>
      </c>
      <c r="N610" s="470"/>
      <c r="O610" s="470"/>
      <c r="P610" s="470"/>
      <c r="Q610" s="223"/>
      <c r="R610" s="223"/>
      <c r="S610" s="223"/>
      <c r="T610" s="223"/>
      <c r="U610" s="223"/>
      <c r="V610" s="223"/>
      <c r="X610" s="223"/>
      <c r="Y610" s="223"/>
      <c r="Z610" s="223"/>
      <c r="AA610" s="223"/>
    </row>
    <row r="611" spans="1:28" hidden="1" outlineLevel="2" collapsed="1" x14ac:dyDescent="0.2">
      <c r="E611" s="82" t="s">
        <v>938</v>
      </c>
      <c r="F611" s="239">
        <f t="shared" ref="F611:K611" si="452">F612*INDEX(MBSDecCalc,$C608,3)</f>
        <v>0</v>
      </c>
      <c r="G611" s="239">
        <f t="shared" si="452"/>
        <v>0</v>
      </c>
      <c r="H611" s="239">
        <f t="shared" si="452"/>
        <v>0</v>
      </c>
      <c r="I611" s="239">
        <f t="shared" si="452"/>
        <v>0</v>
      </c>
      <c r="J611" s="239">
        <f t="shared" si="452"/>
        <v>0</v>
      </c>
      <c r="K611" s="239">
        <f t="shared" si="452"/>
        <v>0</v>
      </c>
      <c r="M611" s="471"/>
      <c r="N611" s="463"/>
      <c r="O611" s="463"/>
      <c r="P611" s="463"/>
      <c r="Q611" s="472"/>
      <c r="R611" s="472"/>
      <c r="S611" s="472"/>
      <c r="T611" s="472"/>
      <c r="U611" s="472"/>
      <c r="V611" s="472"/>
      <c r="X611" s="402">
        <f>INDEX(MBSDecItems,C608,1)</f>
        <v>0</v>
      </c>
      <c r="Y611" s="402">
        <f>FirstYear</f>
        <v>2026</v>
      </c>
      <c r="Z611" s="401">
        <f>IF(F612&lt;&gt;0,F612-F614,0)</f>
        <v>0</v>
      </c>
      <c r="AA611" s="401">
        <f>IF(F620&lt;&gt;0,F620-F622,0)</f>
        <v>0</v>
      </c>
    </row>
    <row r="612" spans="1:28" hidden="1" outlineLevel="2" x14ac:dyDescent="0.2">
      <c r="B612" s="468"/>
      <c r="C612" s="209" t="str">
        <f>INDEX(MBSDecCalc,C608,2)</f>
        <v/>
      </c>
      <c r="E612" s="56" t="s">
        <v>1297</v>
      </c>
      <c r="F612" s="57">
        <f t="shared" ref="F612:K612" si="453">IF(INDEX(MBSDecRate,$C608,2)=2,IFERROR(INDEX(PBSScriptsChanged,$C612,F609),0),IFERROR(INDEX(MBSPBSDec,$C608,INDEX(MBSDecRate,$C608,3)*7+F609),0) * IFERROR(INDEX(MBSDecPopSplit,$C608),0)) * INDEX(MBSDecRate,$C608,1) * INDEX(MBSDecRate,$C608,4)</f>
        <v>0</v>
      </c>
      <c r="G612" s="57">
        <f t="shared" si="453"/>
        <v>0</v>
      </c>
      <c r="H612" s="57">
        <f t="shared" si="453"/>
        <v>0</v>
      </c>
      <c r="I612" s="57">
        <f t="shared" si="453"/>
        <v>0</v>
      </c>
      <c r="J612" s="57">
        <f t="shared" si="453"/>
        <v>0</v>
      </c>
      <c r="K612" s="57">
        <f t="shared" si="453"/>
        <v>0</v>
      </c>
      <c r="O612" s="463"/>
      <c r="P612" s="463"/>
      <c r="Q612" s="472"/>
      <c r="R612" s="472"/>
      <c r="S612" s="472"/>
      <c r="T612" s="472"/>
      <c r="U612" s="472"/>
      <c r="V612" s="472"/>
      <c r="X612" s="402">
        <f>X611</f>
        <v>0</v>
      </c>
      <c r="Y612" s="402">
        <f>Y611+1</f>
        <v>2027</v>
      </c>
      <c r="Z612" s="401">
        <f>IF(G612&lt;&gt;0,G612-G614,0)</f>
        <v>0</v>
      </c>
      <c r="AA612" s="401">
        <f>IF(G620&lt;&gt;0,G620-G622,0)</f>
        <v>0</v>
      </c>
    </row>
    <row r="613" spans="1:28" hidden="1" outlineLevel="2" x14ac:dyDescent="0.2">
      <c r="B613" s="209">
        <v>5</v>
      </c>
      <c r="C613" s="209">
        <v>6</v>
      </c>
      <c r="E613" s="358" t="s">
        <v>1294</v>
      </c>
      <c r="F613" s="57" t="str">
        <f t="shared" ref="F613:K613" si="454">IFERROR(F612*INDEX(MBSDecItems,$C608,$B613)*INDEX(MBSDecItems,$C608,$C613),"")</f>
        <v/>
      </c>
      <c r="G613" s="57" t="str">
        <f t="shared" si="454"/>
        <v/>
      </c>
      <c r="H613" s="57" t="str">
        <f t="shared" si="454"/>
        <v/>
      </c>
      <c r="I613" s="57" t="str">
        <f t="shared" si="454"/>
        <v/>
      </c>
      <c r="J613" s="57" t="str">
        <f t="shared" si="454"/>
        <v/>
      </c>
      <c r="K613" s="57" t="str">
        <f t="shared" si="454"/>
        <v/>
      </c>
      <c r="O613" s="473"/>
      <c r="P613" s="514"/>
      <c r="Q613" s="472"/>
      <c r="R613" s="472"/>
      <c r="S613" s="472"/>
      <c r="T613" s="472"/>
      <c r="U613" s="472"/>
      <c r="V613" s="472"/>
      <c r="X613" s="402">
        <f t="shared" ref="X613:X616" si="455">X612</f>
        <v>0</v>
      </c>
      <c r="Y613" s="402">
        <f>Y612+1</f>
        <v>2028</v>
      </c>
      <c r="Z613" s="401">
        <f>IF(H612&lt;&gt;0,H612-H614,0)</f>
        <v>0</v>
      </c>
      <c r="AA613" s="401">
        <f>IF(H620&lt;&gt;0,H620-H622,0)</f>
        <v>0</v>
      </c>
    </row>
    <row r="614" spans="1:28" hidden="1" outlineLevel="2" x14ac:dyDescent="0.2">
      <c r="A614"/>
      <c r="B614" s="209">
        <v>4</v>
      </c>
      <c r="C614" s="209">
        <v>6</v>
      </c>
      <c r="E614" s="358" t="s">
        <v>1293</v>
      </c>
      <c r="F614" s="57" t="str">
        <f t="shared" ref="F614:K614" si="456">IFERROR(F612*INDEX(MBSDecItems,$C608,$B614)*INDEX(MBSDecItems,$C608,$C614),"")</f>
        <v/>
      </c>
      <c r="G614" s="57" t="str">
        <f t="shared" si="456"/>
        <v/>
      </c>
      <c r="H614" s="57" t="str">
        <f t="shared" si="456"/>
        <v/>
      </c>
      <c r="I614" s="57" t="str">
        <f t="shared" si="456"/>
        <v/>
      </c>
      <c r="J614" s="57" t="str">
        <f t="shared" si="456"/>
        <v/>
      </c>
      <c r="K614" s="57" t="str">
        <f t="shared" si="456"/>
        <v/>
      </c>
      <c r="L614"/>
      <c r="M614"/>
      <c r="N614"/>
      <c r="O614"/>
      <c r="P614"/>
      <c r="Q614"/>
      <c r="R614"/>
      <c r="S614"/>
      <c r="T614"/>
      <c r="U614"/>
      <c r="V614"/>
      <c r="X614" s="402">
        <f t="shared" si="455"/>
        <v>0</v>
      </c>
      <c r="Y614" s="402">
        <f>Y613+1</f>
        <v>2029</v>
      </c>
      <c r="Z614" s="401">
        <f>IF(I612&lt;&gt;0,I612-I614,0)</f>
        <v>0</v>
      </c>
      <c r="AA614" s="401">
        <f>IF(I620&lt;&gt;0,I620-I622,0)</f>
        <v>0</v>
      </c>
      <c r="AB614" s="223"/>
    </row>
    <row r="615" spans="1:28" hidden="1" outlineLevel="2" x14ac:dyDescent="0.2">
      <c r="B615" s="209"/>
      <c r="C615" s="209">
        <v>7</v>
      </c>
      <c r="E615" s="359" t="s">
        <v>1295</v>
      </c>
      <c r="F615" s="57" t="str">
        <f t="shared" ref="F615:K615" si="457">IFERROR(F612*INDEX(MBSDecItems,$C608,$C615),"")</f>
        <v/>
      </c>
      <c r="G615" s="57" t="str">
        <f t="shared" si="457"/>
        <v/>
      </c>
      <c r="H615" s="57" t="str">
        <f t="shared" si="457"/>
        <v/>
      </c>
      <c r="I615" s="57" t="str">
        <f t="shared" si="457"/>
        <v/>
      </c>
      <c r="J615" s="57" t="str">
        <f t="shared" si="457"/>
        <v/>
      </c>
      <c r="K615" s="57" t="str">
        <f t="shared" si="457"/>
        <v/>
      </c>
      <c r="O615" s="473"/>
      <c r="P615" s="514"/>
      <c r="Q615" s="472"/>
      <c r="R615" s="472"/>
      <c r="S615" s="472"/>
      <c r="T615" s="472"/>
      <c r="U615" s="472"/>
      <c r="V615" s="472"/>
      <c r="X615" s="402">
        <f t="shared" si="455"/>
        <v>0</v>
      </c>
      <c r="Y615" s="402">
        <f>Y614+1</f>
        <v>2030</v>
      </c>
      <c r="Z615" s="401">
        <f>IF(J612&lt;&gt;0,J612-J614,0)</f>
        <v>0</v>
      </c>
      <c r="AA615" s="401">
        <f>IF(J620&lt;&gt;0,J620-J622,0)</f>
        <v>0</v>
      </c>
      <c r="AB615" s="223"/>
    </row>
    <row r="616" spans="1:28" hidden="1" outlineLevel="2" x14ac:dyDescent="0.2">
      <c r="O616" s="473"/>
      <c r="P616" s="473"/>
      <c r="Q616" s="472"/>
      <c r="R616" s="472"/>
      <c r="S616" s="472"/>
      <c r="T616" s="472"/>
      <c r="U616" s="472"/>
      <c r="V616" s="472"/>
      <c r="X616" s="402">
        <f t="shared" si="455"/>
        <v>0</v>
      </c>
      <c r="Y616" s="402">
        <f>Y615+1</f>
        <v>2031</v>
      </c>
      <c r="Z616" s="401">
        <f>IF(K612&lt;&gt;0,K612-K614,0)</f>
        <v>0</v>
      </c>
      <c r="AA616" s="401">
        <f>IF(K620&lt;&gt;0,K620-K622,0)</f>
        <v>0</v>
      </c>
      <c r="AB616" s="469"/>
    </row>
    <row r="617" spans="1:28" hidden="1" outlineLevel="2" x14ac:dyDescent="0.2">
      <c r="D617" s="360"/>
      <c r="E617" s="360"/>
      <c r="F617" s="357">
        <v>2</v>
      </c>
      <c r="G617" s="357">
        <v>3</v>
      </c>
      <c r="H617" s="357">
        <v>4</v>
      </c>
      <c r="I617" s="357">
        <v>5</v>
      </c>
      <c r="J617" s="357">
        <v>6</v>
      </c>
      <c r="K617" s="357">
        <v>7</v>
      </c>
      <c r="N617" s="360"/>
      <c r="O617" s="360"/>
      <c r="P617" s="360"/>
      <c r="AB617" s="469"/>
    </row>
    <row r="618" spans="1:28" ht="15.75" hidden="1" outlineLevel="2" x14ac:dyDescent="0.2">
      <c r="D618" s="462" t="s">
        <v>1</v>
      </c>
      <c r="E618" s="462"/>
      <c r="F618" s="74">
        <f>FirstYear</f>
        <v>2026</v>
      </c>
      <c r="G618" s="74">
        <f>F618+1</f>
        <v>2027</v>
      </c>
      <c r="H618" s="74">
        <f>G618+1</f>
        <v>2028</v>
      </c>
      <c r="I618" s="74">
        <f>H618+1</f>
        <v>2029</v>
      </c>
      <c r="J618" s="74">
        <f>I618+1</f>
        <v>2030</v>
      </c>
      <c r="K618" s="74">
        <f>J618+1</f>
        <v>2031</v>
      </c>
      <c r="N618" s="466"/>
      <c r="O618" s="466"/>
      <c r="P618" s="466"/>
      <c r="AB618" s="469"/>
    </row>
    <row r="619" spans="1:28" hidden="1" outlineLevel="2" x14ac:dyDescent="0.2">
      <c r="E619" s="82" t="s">
        <v>938</v>
      </c>
      <c r="F619" s="239">
        <f t="shared" ref="F619:K619" si="458">F620*INDEX(MBSDecCalc,$C608,3)</f>
        <v>0</v>
      </c>
      <c r="G619" s="239">
        <f t="shared" si="458"/>
        <v>0</v>
      </c>
      <c r="H619" s="239">
        <f t="shared" si="458"/>
        <v>0</v>
      </c>
      <c r="I619" s="239">
        <f t="shared" si="458"/>
        <v>0</v>
      </c>
      <c r="J619" s="239">
        <f t="shared" si="458"/>
        <v>0</v>
      </c>
      <c r="K619" s="239">
        <f t="shared" si="458"/>
        <v>0</v>
      </c>
      <c r="M619"/>
      <c r="N619"/>
      <c r="O619" s="360"/>
      <c r="P619" s="360"/>
      <c r="AB619" s="469"/>
    </row>
    <row r="620" spans="1:28" hidden="1" outlineLevel="2" x14ac:dyDescent="0.2">
      <c r="B620" s="468"/>
      <c r="C620" s="209" t="str">
        <f>C612</f>
        <v/>
      </c>
      <c r="E620" s="56" t="s">
        <v>1297</v>
      </c>
      <c r="F620" s="57">
        <f t="shared" ref="F620:K620" si="459">IF(INDEX(MBSDecRate,$C608,2)=2,IFERROR(INDEX(RPBSScriptsChanged,$C620,F617),0),IFERROR(INDEX(MBSRPBSDec,$C608,INDEX(MBSDecRate,$C608,3)*7+F617),0) * IFERROR(INDEX(MBSDecPopSplit,$C608),0)) * INDEX(MBSDecRate,$C608,1) * INDEX(MBSDecRate,$C608,4)</f>
        <v>0</v>
      </c>
      <c r="G620" s="57">
        <f t="shared" si="459"/>
        <v>0</v>
      </c>
      <c r="H620" s="57">
        <f t="shared" si="459"/>
        <v>0</v>
      </c>
      <c r="I620" s="57">
        <f t="shared" si="459"/>
        <v>0</v>
      </c>
      <c r="J620" s="57">
        <f t="shared" si="459"/>
        <v>0</v>
      </c>
      <c r="K620" s="57">
        <f t="shared" si="459"/>
        <v>0</v>
      </c>
      <c r="N620" s="344"/>
      <c r="O620" s="360"/>
      <c r="P620" s="360"/>
      <c r="AB620" s="469"/>
    </row>
    <row r="621" spans="1:28" hidden="1" outlineLevel="2" x14ac:dyDescent="0.2">
      <c r="B621" s="209">
        <v>5</v>
      </c>
      <c r="C621" s="209">
        <v>6</v>
      </c>
      <c r="E621" s="358" t="s">
        <v>1294</v>
      </c>
      <c r="F621" s="57" t="str">
        <f t="shared" ref="F621:K621" si="460">IFERROR(F620*INDEX(MBSDecItems,$C608,$B621)*INDEX(MBSDecItems,$C608,$C621),"")</f>
        <v/>
      </c>
      <c r="G621" s="57" t="str">
        <f t="shared" si="460"/>
        <v/>
      </c>
      <c r="H621" s="57" t="str">
        <f t="shared" si="460"/>
        <v/>
      </c>
      <c r="I621" s="57" t="str">
        <f t="shared" si="460"/>
        <v/>
      </c>
      <c r="J621" s="57" t="str">
        <f t="shared" si="460"/>
        <v/>
      </c>
      <c r="K621" s="57" t="str">
        <f t="shared" si="460"/>
        <v/>
      </c>
      <c r="M621" s="474"/>
      <c r="N621" s="344"/>
      <c r="O621" s="360"/>
      <c r="P621" s="360"/>
    </row>
    <row r="622" spans="1:28" hidden="1" outlineLevel="2" x14ac:dyDescent="0.2">
      <c r="B622" s="209">
        <v>4</v>
      </c>
      <c r="C622" s="209">
        <v>6</v>
      </c>
      <c r="E622" s="358" t="s">
        <v>1293</v>
      </c>
      <c r="F622" s="57" t="str">
        <f t="shared" ref="F622:K622" si="461">IFERROR(F620*INDEX(MBSDecItems,$C608,$B622)*INDEX(MBSDecItems,$C608,$C622),"")</f>
        <v/>
      </c>
      <c r="G622" s="57" t="str">
        <f t="shared" si="461"/>
        <v/>
      </c>
      <c r="H622" s="57" t="str">
        <f t="shared" si="461"/>
        <v/>
      </c>
      <c r="I622" s="57" t="str">
        <f t="shared" si="461"/>
        <v/>
      </c>
      <c r="J622" s="57" t="str">
        <f t="shared" si="461"/>
        <v/>
      </c>
      <c r="K622" s="57" t="str">
        <f t="shared" si="461"/>
        <v/>
      </c>
      <c r="M622" s="475"/>
      <c r="N622" s="473"/>
      <c r="O622" s="360"/>
      <c r="P622" s="360"/>
    </row>
    <row r="623" spans="1:28" hidden="1" outlineLevel="2" x14ac:dyDescent="0.2">
      <c r="B623" s="209"/>
      <c r="C623" s="209">
        <v>7</v>
      </c>
      <c r="E623" s="359" t="s">
        <v>1295</v>
      </c>
      <c r="F623" s="57" t="str">
        <f t="shared" ref="F623:K623" si="462">IFERROR(F620*INDEX(MBSDecItems,$C608,$C623),"")</f>
        <v/>
      </c>
      <c r="G623" s="57" t="str">
        <f t="shared" si="462"/>
        <v/>
      </c>
      <c r="H623" s="57" t="str">
        <f t="shared" si="462"/>
        <v/>
      </c>
      <c r="I623" s="57" t="str">
        <f t="shared" si="462"/>
        <v/>
      </c>
      <c r="J623" s="57" t="str">
        <f t="shared" si="462"/>
        <v/>
      </c>
      <c r="K623" s="57" t="str">
        <f t="shared" si="462"/>
        <v/>
      </c>
      <c r="M623" s="475"/>
      <c r="N623" s="473"/>
      <c r="O623" s="360"/>
      <c r="P623" s="360"/>
    </row>
    <row r="624" spans="1:28" outlineLevel="1" collapsed="1" x14ac:dyDescent="0.2">
      <c r="D624" s="360"/>
      <c r="E624" s="360"/>
      <c r="N624" s="360"/>
      <c r="O624" s="360"/>
      <c r="P624" s="360"/>
    </row>
    <row r="625" spans="1:28" ht="15.75" outlineLevel="1" x14ac:dyDescent="0.2">
      <c r="C625" s="209">
        <v>8</v>
      </c>
      <c r="D625" s="72" t="str">
        <f>INDEX(MBSDecNames,C625)</f>
        <v>** NOT USED **</v>
      </c>
      <c r="E625" s="72"/>
      <c r="F625" s="105"/>
      <c r="G625" s="105"/>
      <c r="H625" s="105"/>
      <c r="I625" s="105"/>
      <c r="J625" s="588" t="str">
        <f>IF(D625&lt;&gt;MsgNotUsed,"Co-payment group " &amp; K465,"")</f>
        <v/>
      </c>
      <c r="K625" s="588"/>
      <c r="L625" s="105"/>
      <c r="M625" s="105"/>
      <c r="N625" s="105"/>
      <c r="O625" s="105"/>
      <c r="P625" s="105"/>
      <c r="Q625" s="105"/>
      <c r="R625" s="105"/>
      <c r="S625" s="105"/>
      <c r="T625" s="105"/>
      <c r="U625" s="105"/>
      <c r="V625" s="105"/>
    </row>
    <row r="626" spans="1:28" hidden="1" outlineLevel="2" x14ac:dyDescent="0.2">
      <c r="F626" s="357">
        <v>2</v>
      </c>
      <c r="G626" s="357">
        <v>3</v>
      </c>
      <c r="H626" s="357">
        <v>4</v>
      </c>
      <c r="I626" s="357">
        <v>5</v>
      </c>
      <c r="J626" s="357">
        <v>6</v>
      </c>
      <c r="K626" s="357">
        <v>7</v>
      </c>
      <c r="L626" s="357"/>
    </row>
    <row r="627" spans="1:28" ht="15" hidden="1" outlineLevel="2" x14ac:dyDescent="0.2">
      <c r="D627" s="462" t="s">
        <v>0</v>
      </c>
      <c r="E627" s="462"/>
      <c r="F627" s="74">
        <f>FirstYear</f>
        <v>2026</v>
      </c>
      <c r="G627" s="74">
        <f>F627+1</f>
        <v>2027</v>
      </c>
      <c r="H627" s="74">
        <f>G627+1</f>
        <v>2028</v>
      </c>
      <c r="I627" s="74">
        <f>H627+1</f>
        <v>2029</v>
      </c>
      <c r="J627" s="74">
        <f>I627+1</f>
        <v>2030</v>
      </c>
      <c r="K627" s="74">
        <f>J627+1</f>
        <v>2031</v>
      </c>
      <c r="N627" s="470"/>
      <c r="O627" s="470"/>
      <c r="P627" s="470"/>
      <c r="Q627" s="223"/>
      <c r="R627" s="223"/>
      <c r="S627" s="223"/>
      <c r="T627" s="223"/>
      <c r="U627" s="223"/>
      <c r="V627" s="223"/>
      <c r="X627" s="223"/>
      <c r="Y627" s="223"/>
      <c r="Z627" s="223"/>
      <c r="AA627" s="223"/>
    </row>
    <row r="628" spans="1:28" hidden="1" outlineLevel="2" collapsed="1" x14ac:dyDescent="0.2">
      <c r="E628" s="82" t="s">
        <v>938</v>
      </c>
      <c r="F628" s="239">
        <f t="shared" ref="F628:K628" si="463">F629*INDEX(MBSDecCalc,$C625,3)</f>
        <v>0</v>
      </c>
      <c r="G628" s="239">
        <f t="shared" si="463"/>
        <v>0</v>
      </c>
      <c r="H628" s="239">
        <f t="shared" si="463"/>
        <v>0</v>
      </c>
      <c r="I628" s="239">
        <f t="shared" si="463"/>
        <v>0</v>
      </c>
      <c r="J628" s="239">
        <f t="shared" si="463"/>
        <v>0</v>
      </c>
      <c r="K628" s="239">
        <f t="shared" si="463"/>
        <v>0</v>
      </c>
      <c r="M628" s="471"/>
      <c r="N628" s="463"/>
      <c r="O628" s="463"/>
      <c r="P628" s="463"/>
      <c r="Q628" s="472"/>
      <c r="R628" s="472"/>
      <c r="S628" s="472"/>
      <c r="T628" s="472"/>
      <c r="U628" s="472"/>
      <c r="V628" s="472"/>
      <c r="X628" s="402">
        <f>INDEX(MBSDecItems,C625,1)</f>
        <v>0</v>
      </c>
      <c r="Y628" s="402">
        <f>FirstYear</f>
        <v>2026</v>
      </c>
      <c r="Z628" s="401">
        <f>IF(F629&lt;&gt;0,F629-F631,0)</f>
        <v>0</v>
      </c>
      <c r="AA628" s="401">
        <f>IF(F637&lt;&gt;0,F637-F639,0)</f>
        <v>0</v>
      </c>
    </row>
    <row r="629" spans="1:28" hidden="1" outlineLevel="2" x14ac:dyDescent="0.2">
      <c r="B629" s="468"/>
      <c r="C629" s="209" t="str">
        <f>INDEX(MBSDecCalc,C625,2)</f>
        <v/>
      </c>
      <c r="E629" s="56" t="s">
        <v>1297</v>
      </c>
      <c r="F629" s="57">
        <f t="shared" ref="F629:K629" si="464">IF(INDEX(MBSDecRate,$C625,2)=2,IFERROR(INDEX(PBSScriptsChanged,$C629,F626),0),IFERROR(INDEX(MBSPBSDec,$C625,INDEX(MBSDecRate,$C625,3)*7+F626),0) * IFERROR(INDEX(MBSDecPopSplit,$C625),0)) * INDEX(MBSDecRate,$C625,1) * INDEX(MBSDecRate,$C625,4)</f>
        <v>0</v>
      </c>
      <c r="G629" s="57">
        <f t="shared" si="464"/>
        <v>0</v>
      </c>
      <c r="H629" s="57">
        <f t="shared" si="464"/>
        <v>0</v>
      </c>
      <c r="I629" s="57">
        <f t="shared" si="464"/>
        <v>0</v>
      </c>
      <c r="J629" s="57">
        <f t="shared" si="464"/>
        <v>0</v>
      </c>
      <c r="K629" s="57">
        <f t="shared" si="464"/>
        <v>0</v>
      </c>
      <c r="O629" s="463"/>
      <c r="P629" s="463"/>
      <c r="Q629" s="472"/>
      <c r="R629" s="472"/>
      <c r="S629" s="472"/>
      <c r="T629" s="472"/>
      <c r="U629" s="472"/>
      <c r="V629" s="472"/>
      <c r="X629" s="402">
        <f>X628</f>
        <v>0</v>
      </c>
      <c r="Y629" s="402">
        <f>Y628+1</f>
        <v>2027</v>
      </c>
      <c r="Z629" s="401">
        <f>IF(G629&lt;&gt;0,G629-G631,0)</f>
        <v>0</v>
      </c>
      <c r="AA629" s="401">
        <f>IF(G637&lt;&gt;0,G637-G639,0)</f>
        <v>0</v>
      </c>
    </row>
    <row r="630" spans="1:28" hidden="1" outlineLevel="2" x14ac:dyDescent="0.2">
      <c r="B630" s="209">
        <v>5</v>
      </c>
      <c r="C630" s="209">
        <v>6</v>
      </c>
      <c r="E630" s="358" t="s">
        <v>1294</v>
      </c>
      <c r="F630" s="57" t="str">
        <f t="shared" ref="F630:K630" si="465">IFERROR(F629*INDEX(MBSDecItems,$C625,$B630)*INDEX(MBSDecItems,$C625,$C630),"")</f>
        <v/>
      </c>
      <c r="G630" s="57" t="str">
        <f t="shared" si="465"/>
        <v/>
      </c>
      <c r="H630" s="57" t="str">
        <f t="shared" si="465"/>
        <v/>
      </c>
      <c r="I630" s="57" t="str">
        <f t="shared" si="465"/>
        <v/>
      </c>
      <c r="J630" s="57" t="str">
        <f t="shared" si="465"/>
        <v/>
      </c>
      <c r="K630" s="57" t="str">
        <f t="shared" si="465"/>
        <v/>
      </c>
      <c r="O630" s="473"/>
      <c r="P630" s="514"/>
      <c r="Q630" s="472"/>
      <c r="R630" s="472"/>
      <c r="S630" s="472"/>
      <c r="T630" s="472"/>
      <c r="U630" s="472"/>
      <c r="V630" s="472"/>
      <c r="X630" s="402">
        <f t="shared" ref="X630:X633" si="466">X629</f>
        <v>0</v>
      </c>
      <c r="Y630" s="402">
        <f>Y629+1</f>
        <v>2028</v>
      </c>
      <c r="Z630" s="401">
        <f>IF(H629&lt;&gt;0,H629-H631,0)</f>
        <v>0</v>
      </c>
      <c r="AA630" s="401">
        <f>IF(H637&lt;&gt;0,H637-H639,0)</f>
        <v>0</v>
      </c>
    </row>
    <row r="631" spans="1:28" hidden="1" outlineLevel="2" x14ac:dyDescent="0.2">
      <c r="A631"/>
      <c r="B631" s="209">
        <v>4</v>
      </c>
      <c r="C631" s="209">
        <v>6</v>
      </c>
      <c r="E631" s="358" t="s">
        <v>1293</v>
      </c>
      <c r="F631" s="57" t="str">
        <f t="shared" ref="F631:K631" si="467">IFERROR(F629*INDEX(MBSDecItems,$C625,$B631)*INDEX(MBSDecItems,$C625,$C631),"")</f>
        <v/>
      </c>
      <c r="G631" s="57" t="str">
        <f t="shared" si="467"/>
        <v/>
      </c>
      <c r="H631" s="57" t="str">
        <f t="shared" si="467"/>
        <v/>
      </c>
      <c r="I631" s="57" t="str">
        <f t="shared" si="467"/>
        <v/>
      </c>
      <c r="J631" s="57" t="str">
        <f t="shared" si="467"/>
        <v/>
      </c>
      <c r="K631" s="57" t="str">
        <f t="shared" si="467"/>
        <v/>
      </c>
      <c r="L631"/>
      <c r="M631"/>
      <c r="N631"/>
      <c r="O631"/>
      <c r="P631"/>
      <c r="Q631"/>
      <c r="R631"/>
      <c r="S631"/>
      <c r="T631"/>
      <c r="U631"/>
      <c r="V631"/>
      <c r="X631" s="402">
        <f t="shared" si="466"/>
        <v>0</v>
      </c>
      <c r="Y631" s="402">
        <f>Y630+1</f>
        <v>2029</v>
      </c>
      <c r="Z631" s="401">
        <f>IF(I629&lt;&gt;0,I629-I631,0)</f>
        <v>0</v>
      </c>
      <c r="AA631" s="401">
        <f>IF(I637&lt;&gt;0,I637-I639,0)</f>
        <v>0</v>
      </c>
      <c r="AB631" s="223"/>
    </row>
    <row r="632" spans="1:28" hidden="1" outlineLevel="2" x14ac:dyDescent="0.2">
      <c r="B632" s="209"/>
      <c r="C632" s="209">
        <v>7</v>
      </c>
      <c r="E632" s="359" t="s">
        <v>1295</v>
      </c>
      <c r="F632" s="57" t="str">
        <f t="shared" ref="F632:K632" si="468">IFERROR(F629*INDEX(MBSDecItems,$C625,$C632),"")</f>
        <v/>
      </c>
      <c r="G632" s="57" t="str">
        <f t="shared" si="468"/>
        <v/>
      </c>
      <c r="H632" s="57" t="str">
        <f t="shared" si="468"/>
        <v/>
      </c>
      <c r="I632" s="57" t="str">
        <f t="shared" si="468"/>
        <v/>
      </c>
      <c r="J632" s="57" t="str">
        <f t="shared" si="468"/>
        <v/>
      </c>
      <c r="K632" s="57" t="str">
        <f t="shared" si="468"/>
        <v/>
      </c>
      <c r="O632" s="473"/>
      <c r="P632" s="514"/>
      <c r="Q632" s="472"/>
      <c r="R632" s="472"/>
      <c r="S632" s="472"/>
      <c r="T632" s="472"/>
      <c r="U632" s="472"/>
      <c r="V632" s="472"/>
      <c r="X632" s="402">
        <f t="shared" si="466"/>
        <v>0</v>
      </c>
      <c r="Y632" s="402">
        <f>Y631+1</f>
        <v>2030</v>
      </c>
      <c r="Z632" s="401">
        <f>IF(J629&lt;&gt;0,J629-J631,0)</f>
        <v>0</v>
      </c>
      <c r="AA632" s="401">
        <f>IF(J637&lt;&gt;0,J637-J639,0)</f>
        <v>0</v>
      </c>
      <c r="AB632" s="223"/>
    </row>
    <row r="633" spans="1:28" hidden="1" outlineLevel="2" x14ac:dyDescent="0.2">
      <c r="O633" s="473"/>
      <c r="P633" s="473"/>
      <c r="Q633" s="472"/>
      <c r="R633" s="472"/>
      <c r="S633" s="472"/>
      <c r="T633" s="472"/>
      <c r="U633" s="472"/>
      <c r="V633" s="472"/>
      <c r="X633" s="402">
        <f t="shared" si="466"/>
        <v>0</v>
      </c>
      <c r="Y633" s="402">
        <f>Y632+1</f>
        <v>2031</v>
      </c>
      <c r="Z633" s="401">
        <f>IF(K629&lt;&gt;0,K629-K631,0)</f>
        <v>0</v>
      </c>
      <c r="AA633" s="401">
        <f>IF(K637&lt;&gt;0,K637-K639,0)</f>
        <v>0</v>
      </c>
      <c r="AB633" s="469"/>
    </row>
    <row r="634" spans="1:28" hidden="1" outlineLevel="2" x14ac:dyDescent="0.2">
      <c r="D634" s="360"/>
      <c r="E634" s="360"/>
      <c r="F634" s="357">
        <v>2</v>
      </c>
      <c r="G634" s="357">
        <v>3</v>
      </c>
      <c r="H634" s="357">
        <v>4</v>
      </c>
      <c r="I634" s="357">
        <v>5</v>
      </c>
      <c r="J634" s="357">
        <v>6</v>
      </c>
      <c r="K634" s="357">
        <v>7</v>
      </c>
      <c r="N634" s="360"/>
      <c r="O634" s="360"/>
      <c r="P634" s="360"/>
      <c r="AB634" s="469"/>
    </row>
    <row r="635" spans="1:28" ht="15.75" hidden="1" outlineLevel="2" x14ac:dyDescent="0.2">
      <c r="D635" s="462" t="s">
        <v>1</v>
      </c>
      <c r="E635" s="462"/>
      <c r="F635" s="74">
        <f>FirstYear</f>
        <v>2026</v>
      </c>
      <c r="G635" s="74">
        <f>F635+1</f>
        <v>2027</v>
      </c>
      <c r="H635" s="74">
        <f>G635+1</f>
        <v>2028</v>
      </c>
      <c r="I635" s="74">
        <f>H635+1</f>
        <v>2029</v>
      </c>
      <c r="J635" s="74">
        <f>I635+1</f>
        <v>2030</v>
      </c>
      <c r="K635" s="74">
        <f>J635+1</f>
        <v>2031</v>
      </c>
      <c r="N635" s="466"/>
      <c r="O635" s="466"/>
      <c r="P635" s="466"/>
      <c r="AB635" s="469"/>
    </row>
    <row r="636" spans="1:28" hidden="1" outlineLevel="2" x14ac:dyDescent="0.2">
      <c r="E636" s="82" t="s">
        <v>938</v>
      </c>
      <c r="F636" s="239">
        <f t="shared" ref="F636:K636" si="469">F637*INDEX(MBSDecCalc,$C625,3)</f>
        <v>0</v>
      </c>
      <c r="G636" s="239">
        <f t="shared" si="469"/>
        <v>0</v>
      </c>
      <c r="H636" s="239">
        <f t="shared" si="469"/>
        <v>0</v>
      </c>
      <c r="I636" s="239">
        <f t="shared" si="469"/>
        <v>0</v>
      </c>
      <c r="J636" s="239">
        <f t="shared" si="469"/>
        <v>0</v>
      </c>
      <c r="K636" s="239">
        <f t="shared" si="469"/>
        <v>0</v>
      </c>
      <c r="M636"/>
      <c r="N636"/>
      <c r="O636" s="360"/>
      <c r="P636" s="360"/>
      <c r="AB636" s="469"/>
    </row>
    <row r="637" spans="1:28" hidden="1" outlineLevel="2" x14ac:dyDescent="0.2">
      <c r="B637" s="468"/>
      <c r="C637" s="209" t="str">
        <f>C629</f>
        <v/>
      </c>
      <c r="E637" s="56" t="s">
        <v>1297</v>
      </c>
      <c r="F637" s="57">
        <f t="shared" ref="F637:K637" si="470">IF(INDEX(MBSDecRate,$C625,2)=2,IFERROR(INDEX(RPBSScriptsChanged,$C637,F634),0),IFERROR(INDEX(MBSRPBSDec,$C625,INDEX(MBSDecRate,$C625,3)*7+F634),0) * IFERROR(INDEX(MBSDecPopSplit,$C625),0)) * INDEX(MBSDecRate,$C625,1) * INDEX(MBSDecRate,$C625,4)</f>
        <v>0</v>
      </c>
      <c r="G637" s="57">
        <f t="shared" si="470"/>
        <v>0</v>
      </c>
      <c r="H637" s="57">
        <f t="shared" si="470"/>
        <v>0</v>
      </c>
      <c r="I637" s="57">
        <f t="shared" si="470"/>
        <v>0</v>
      </c>
      <c r="J637" s="57">
        <f t="shared" si="470"/>
        <v>0</v>
      </c>
      <c r="K637" s="57">
        <f t="shared" si="470"/>
        <v>0</v>
      </c>
      <c r="N637" s="344"/>
      <c r="O637" s="360"/>
      <c r="P637" s="360"/>
      <c r="AB637" s="469"/>
    </row>
    <row r="638" spans="1:28" hidden="1" outlineLevel="2" x14ac:dyDescent="0.2">
      <c r="B638" s="209">
        <v>5</v>
      </c>
      <c r="C638" s="209">
        <v>6</v>
      </c>
      <c r="E638" s="358" t="s">
        <v>1294</v>
      </c>
      <c r="F638" s="57" t="str">
        <f t="shared" ref="F638:K638" si="471">IFERROR(F637*INDEX(MBSDecItems,$C625,$B638)*INDEX(MBSDecItems,$C625,$C638),"")</f>
        <v/>
      </c>
      <c r="G638" s="57" t="str">
        <f t="shared" si="471"/>
        <v/>
      </c>
      <c r="H638" s="57" t="str">
        <f t="shared" si="471"/>
        <v/>
      </c>
      <c r="I638" s="57" t="str">
        <f t="shared" si="471"/>
        <v/>
      </c>
      <c r="J638" s="57" t="str">
        <f t="shared" si="471"/>
        <v/>
      </c>
      <c r="K638" s="57" t="str">
        <f t="shared" si="471"/>
        <v/>
      </c>
      <c r="M638" s="474"/>
      <c r="N638" s="344"/>
      <c r="O638" s="360"/>
      <c r="P638" s="360"/>
    </row>
    <row r="639" spans="1:28" hidden="1" outlineLevel="2" x14ac:dyDescent="0.2">
      <c r="B639" s="209">
        <v>4</v>
      </c>
      <c r="C639" s="209">
        <v>6</v>
      </c>
      <c r="E639" s="358" t="s">
        <v>1293</v>
      </c>
      <c r="F639" s="57" t="str">
        <f t="shared" ref="F639:K639" si="472">IFERROR(F637*INDEX(MBSDecItems,$C625,$B639)*INDEX(MBSDecItems,$C625,$C639),"")</f>
        <v/>
      </c>
      <c r="G639" s="57" t="str">
        <f t="shared" si="472"/>
        <v/>
      </c>
      <c r="H639" s="57" t="str">
        <f t="shared" si="472"/>
        <v/>
      </c>
      <c r="I639" s="57" t="str">
        <f t="shared" si="472"/>
        <v/>
      </c>
      <c r="J639" s="57" t="str">
        <f t="shared" si="472"/>
        <v/>
      </c>
      <c r="K639" s="57" t="str">
        <f t="shared" si="472"/>
        <v/>
      </c>
      <c r="M639" s="475"/>
      <c r="N639" s="473"/>
      <c r="O639" s="360"/>
      <c r="P639" s="360"/>
    </row>
    <row r="640" spans="1:28" hidden="1" outlineLevel="2" x14ac:dyDescent="0.2">
      <c r="B640" s="209"/>
      <c r="C640" s="209">
        <v>7</v>
      </c>
      <c r="E640" s="359" t="s">
        <v>1295</v>
      </c>
      <c r="F640" s="57" t="str">
        <f t="shared" ref="F640:K640" si="473">IFERROR(F637*INDEX(MBSDecItems,$C625,$C640),"")</f>
        <v/>
      </c>
      <c r="G640" s="57" t="str">
        <f t="shared" si="473"/>
        <v/>
      </c>
      <c r="H640" s="57" t="str">
        <f t="shared" si="473"/>
        <v/>
      </c>
      <c r="I640" s="57" t="str">
        <f t="shared" si="473"/>
        <v/>
      </c>
      <c r="J640" s="57" t="str">
        <f t="shared" si="473"/>
        <v/>
      </c>
      <c r="K640" s="57" t="str">
        <f t="shared" si="473"/>
        <v/>
      </c>
      <c r="M640" s="475"/>
      <c r="N640" s="473"/>
      <c r="O640" s="360"/>
      <c r="P640" s="360"/>
    </row>
    <row r="641" spans="1:28" outlineLevel="1" collapsed="1" x14ac:dyDescent="0.2">
      <c r="D641" s="360"/>
      <c r="E641" s="360"/>
      <c r="N641" s="360"/>
      <c r="O641" s="360"/>
      <c r="P641" s="360"/>
    </row>
    <row r="642" spans="1:28" ht="15.75" outlineLevel="1" x14ac:dyDescent="0.2">
      <c r="C642" s="209">
        <v>9</v>
      </c>
      <c r="D642" s="72" t="str">
        <f>INDEX(MBSDecNames,C642)</f>
        <v>** NOT USED **</v>
      </c>
      <c r="E642" s="72"/>
      <c r="F642" s="105"/>
      <c r="G642" s="105"/>
      <c r="H642" s="105"/>
      <c r="I642" s="105"/>
      <c r="J642" s="588" t="str">
        <f>IF(D642&lt;&gt;MsgNotUsed,"Co-payment group " &amp; K466,"")</f>
        <v/>
      </c>
      <c r="K642" s="588"/>
      <c r="L642" s="105"/>
      <c r="M642" s="105"/>
      <c r="N642" s="105"/>
      <c r="O642" s="105"/>
      <c r="P642" s="105"/>
      <c r="Q642" s="105"/>
      <c r="R642" s="105"/>
      <c r="S642" s="105"/>
      <c r="T642" s="105"/>
      <c r="U642" s="105"/>
      <c r="V642" s="105"/>
    </row>
    <row r="643" spans="1:28" hidden="1" outlineLevel="2" x14ac:dyDescent="0.2">
      <c r="F643" s="357">
        <v>2</v>
      </c>
      <c r="G643" s="357">
        <v>3</v>
      </c>
      <c r="H643" s="357">
        <v>4</v>
      </c>
      <c r="I643" s="357">
        <v>5</v>
      </c>
      <c r="J643" s="357">
        <v>6</v>
      </c>
      <c r="K643" s="357">
        <v>7</v>
      </c>
      <c r="L643" s="357"/>
    </row>
    <row r="644" spans="1:28" ht="15" hidden="1" outlineLevel="2" x14ac:dyDescent="0.2">
      <c r="D644" s="462" t="s">
        <v>0</v>
      </c>
      <c r="E644" s="462"/>
      <c r="F644" s="74">
        <f>FirstYear</f>
        <v>2026</v>
      </c>
      <c r="G644" s="74">
        <f>F644+1</f>
        <v>2027</v>
      </c>
      <c r="H644" s="74">
        <f>G644+1</f>
        <v>2028</v>
      </c>
      <c r="I644" s="74">
        <f>H644+1</f>
        <v>2029</v>
      </c>
      <c r="J644" s="74">
        <f>I644+1</f>
        <v>2030</v>
      </c>
      <c r="K644" s="74">
        <f>J644+1</f>
        <v>2031</v>
      </c>
      <c r="N644" s="470"/>
      <c r="O644" s="470"/>
      <c r="P644" s="470"/>
      <c r="Q644" s="223"/>
      <c r="R644" s="223"/>
      <c r="S644" s="223"/>
      <c r="T644" s="223"/>
      <c r="U644" s="223"/>
      <c r="V644" s="223"/>
      <c r="X644" s="223"/>
      <c r="Y644" s="223"/>
      <c r="Z644" s="223"/>
      <c r="AA644" s="223"/>
    </row>
    <row r="645" spans="1:28" hidden="1" outlineLevel="2" collapsed="1" x14ac:dyDescent="0.2">
      <c r="E645" s="82" t="s">
        <v>938</v>
      </c>
      <c r="F645" s="239">
        <f t="shared" ref="F645:K645" si="474">F646*INDEX(MBSDecCalc,$C642,3)</f>
        <v>0</v>
      </c>
      <c r="G645" s="239">
        <f t="shared" si="474"/>
        <v>0</v>
      </c>
      <c r="H645" s="239">
        <f t="shared" si="474"/>
        <v>0</v>
      </c>
      <c r="I645" s="239">
        <f t="shared" si="474"/>
        <v>0</v>
      </c>
      <c r="J645" s="239">
        <f t="shared" si="474"/>
        <v>0</v>
      </c>
      <c r="K645" s="239">
        <f t="shared" si="474"/>
        <v>0</v>
      </c>
      <c r="M645" s="471"/>
      <c r="N645" s="463"/>
      <c r="O645" s="463"/>
      <c r="P645" s="463"/>
      <c r="Q645" s="472"/>
      <c r="R645" s="472"/>
      <c r="S645" s="472"/>
      <c r="T645" s="472"/>
      <c r="U645" s="472"/>
      <c r="V645" s="472"/>
      <c r="X645" s="402">
        <f>INDEX(MBSDecItems,C642,1)</f>
        <v>0</v>
      </c>
      <c r="Y645" s="402">
        <f>FirstYear</f>
        <v>2026</v>
      </c>
      <c r="Z645" s="401">
        <f>IF(F646&lt;&gt;0,F646-F648,0)</f>
        <v>0</v>
      </c>
      <c r="AA645" s="401">
        <f>IF(F654&lt;&gt;0,F654-F656,0)</f>
        <v>0</v>
      </c>
    </row>
    <row r="646" spans="1:28" hidden="1" outlineLevel="2" x14ac:dyDescent="0.2">
      <c r="B646" s="468"/>
      <c r="C646" s="209" t="str">
        <f>INDEX(MBSDecCalc,C642,2)</f>
        <v/>
      </c>
      <c r="E646" s="56" t="s">
        <v>1297</v>
      </c>
      <c r="F646" s="57">
        <f t="shared" ref="F646:K646" si="475">IF(INDEX(MBSDecRate,$C642,2)=2,IFERROR(INDEX(PBSScriptsChanged,$C646,F643),0),IFERROR(INDEX(MBSPBSDec,$C642,INDEX(MBSDecRate,$C642,3)*7+F643),0) * IFERROR(INDEX(MBSDecPopSplit,$C642),0)) * INDEX(MBSDecRate,$C642,1) * INDEX(MBSDecRate,$C642,4)</f>
        <v>0</v>
      </c>
      <c r="G646" s="57">
        <f t="shared" si="475"/>
        <v>0</v>
      </c>
      <c r="H646" s="57">
        <f t="shared" si="475"/>
        <v>0</v>
      </c>
      <c r="I646" s="57">
        <f t="shared" si="475"/>
        <v>0</v>
      </c>
      <c r="J646" s="57">
        <f t="shared" si="475"/>
        <v>0</v>
      </c>
      <c r="K646" s="57">
        <f t="shared" si="475"/>
        <v>0</v>
      </c>
      <c r="O646" s="463"/>
      <c r="P646" s="463"/>
      <c r="Q646" s="472"/>
      <c r="R646" s="472"/>
      <c r="S646" s="472"/>
      <c r="T646" s="472"/>
      <c r="U646" s="472"/>
      <c r="V646" s="472"/>
      <c r="X646" s="402">
        <f>X645</f>
        <v>0</v>
      </c>
      <c r="Y646" s="402">
        <f>Y645+1</f>
        <v>2027</v>
      </c>
      <c r="Z646" s="401">
        <f>IF(G646&lt;&gt;0,G646-G648,0)</f>
        <v>0</v>
      </c>
      <c r="AA646" s="401">
        <f>IF(G654&lt;&gt;0,G654-G656,0)</f>
        <v>0</v>
      </c>
    </row>
    <row r="647" spans="1:28" hidden="1" outlineLevel="2" x14ac:dyDescent="0.2">
      <c r="B647" s="209">
        <v>5</v>
      </c>
      <c r="C647" s="209">
        <v>6</v>
      </c>
      <c r="E647" s="358" t="s">
        <v>1294</v>
      </c>
      <c r="F647" s="57" t="str">
        <f t="shared" ref="F647:K647" si="476">IFERROR(F646*INDEX(MBSDecItems,$C642,$B647)*INDEX(MBSDecItems,$C642,$C647),"")</f>
        <v/>
      </c>
      <c r="G647" s="57" t="str">
        <f t="shared" si="476"/>
        <v/>
      </c>
      <c r="H647" s="57" t="str">
        <f t="shared" si="476"/>
        <v/>
      </c>
      <c r="I647" s="57" t="str">
        <f t="shared" si="476"/>
        <v/>
      </c>
      <c r="J647" s="57" t="str">
        <f t="shared" si="476"/>
        <v/>
      </c>
      <c r="K647" s="57" t="str">
        <f t="shared" si="476"/>
        <v/>
      </c>
      <c r="O647" s="473"/>
      <c r="P647" s="514"/>
      <c r="Q647" s="472"/>
      <c r="R647" s="472"/>
      <c r="S647" s="472"/>
      <c r="T647" s="472"/>
      <c r="U647" s="472"/>
      <c r="V647" s="472"/>
      <c r="X647" s="402">
        <f t="shared" ref="X647:X650" si="477">X646</f>
        <v>0</v>
      </c>
      <c r="Y647" s="402">
        <f>Y646+1</f>
        <v>2028</v>
      </c>
      <c r="Z647" s="401">
        <f>IF(H646&lt;&gt;0,H646-H648,0)</f>
        <v>0</v>
      </c>
      <c r="AA647" s="401">
        <f>IF(H654&lt;&gt;0,H654-H656,0)</f>
        <v>0</v>
      </c>
    </row>
    <row r="648" spans="1:28" hidden="1" outlineLevel="2" x14ac:dyDescent="0.2">
      <c r="A648"/>
      <c r="B648" s="209">
        <v>4</v>
      </c>
      <c r="C648" s="209">
        <v>6</v>
      </c>
      <c r="E648" s="358" t="s">
        <v>1293</v>
      </c>
      <c r="F648" s="57" t="str">
        <f t="shared" ref="F648:K648" si="478">IFERROR(F646*INDEX(MBSDecItems,$C642,$B648)*INDEX(MBSDecItems,$C642,$C648),"")</f>
        <v/>
      </c>
      <c r="G648" s="57" t="str">
        <f t="shared" si="478"/>
        <v/>
      </c>
      <c r="H648" s="57" t="str">
        <f t="shared" si="478"/>
        <v/>
      </c>
      <c r="I648" s="57" t="str">
        <f t="shared" si="478"/>
        <v/>
      </c>
      <c r="J648" s="57" t="str">
        <f t="shared" si="478"/>
        <v/>
      </c>
      <c r="K648" s="57" t="str">
        <f t="shared" si="478"/>
        <v/>
      </c>
      <c r="L648"/>
      <c r="M648"/>
      <c r="N648"/>
      <c r="O648"/>
      <c r="P648"/>
      <c r="Q648"/>
      <c r="R648"/>
      <c r="S648"/>
      <c r="T648"/>
      <c r="U648"/>
      <c r="V648"/>
      <c r="X648" s="402">
        <f t="shared" si="477"/>
        <v>0</v>
      </c>
      <c r="Y648" s="402">
        <f>Y647+1</f>
        <v>2029</v>
      </c>
      <c r="Z648" s="401">
        <f>IF(I646&lt;&gt;0,I646-I648,0)</f>
        <v>0</v>
      </c>
      <c r="AA648" s="401">
        <f>IF(I654&lt;&gt;0,I654-I656,0)</f>
        <v>0</v>
      </c>
      <c r="AB648" s="223"/>
    </row>
    <row r="649" spans="1:28" hidden="1" outlineLevel="2" x14ac:dyDescent="0.2">
      <c r="B649" s="209"/>
      <c r="C649" s="209">
        <v>7</v>
      </c>
      <c r="E649" s="359" t="s">
        <v>1295</v>
      </c>
      <c r="F649" s="57" t="str">
        <f t="shared" ref="F649:K649" si="479">IFERROR(F646*INDEX(MBSDecItems,$C642,$C649),"")</f>
        <v/>
      </c>
      <c r="G649" s="57" t="str">
        <f t="shared" si="479"/>
        <v/>
      </c>
      <c r="H649" s="57" t="str">
        <f t="shared" si="479"/>
        <v/>
      </c>
      <c r="I649" s="57" t="str">
        <f t="shared" si="479"/>
        <v/>
      </c>
      <c r="J649" s="57" t="str">
        <f t="shared" si="479"/>
        <v/>
      </c>
      <c r="K649" s="57" t="str">
        <f t="shared" si="479"/>
        <v/>
      </c>
      <c r="O649" s="473"/>
      <c r="P649" s="514"/>
      <c r="Q649" s="472"/>
      <c r="R649" s="472"/>
      <c r="S649" s="472"/>
      <c r="T649" s="472"/>
      <c r="U649" s="472"/>
      <c r="V649" s="472"/>
      <c r="X649" s="402">
        <f t="shared" si="477"/>
        <v>0</v>
      </c>
      <c r="Y649" s="402">
        <f>Y648+1</f>
        <v>2030</v>
      </c>
      <c r="Z649" s="401">
        <f>IF(J646&lt;&gt;0,J646-J648,0)</f>
        <v>0</v>
      </c>
      <c r="AA649" s="401">
        <f>IF(J654&lt;&gt;0,J654-J656,0)</f>
        <v>0</v>
      </c>
      <c r="AB649" s="223"/>
    </row>
    <row r="650" spans="1:28" hidden="1" outlineLevel="2" x14ac:dyDescent="0.2">
      <c r="O650" s="473"/>
      <c r="P650" s="473"/>
      <c r="Q650" s="472"/>
      <c r="R650" s="472"/>
      <c r="S650" s="472"/>
      <c r="T650" s="472"/>
      <c r="U650" s="472"/>
      <c r="V650" s="472"/>
      <c r="X650" s="402">
        <f t="shared" si="477"/>
        <v>0</v>
      </c>
      <c r="Y650" s="402">
        <f>Y649+1</f>
        <v>2031</v>
      </c>
      <c r="Z650" s="401">
        <f>IF(K646&lt;&gt;0,K646-K648,0)</f>
        <v>0</v>
      </c>
      <c r="AA650" s="401">
        <f>IF(K654&lt;&gt;0,K654-K656,0)</f>
        <v>0</v>
      </c>
      <c r="AB650" s="469"/>
    </row>
    <row r="651" spans="1:28" hidden="1" outlineLevel="2" x14ac:dyDescent="0.2">
      <c r="D651" s="360"/>
      <c r="E651" s="360"/>
      <c r="F651" s="357">
        <v>2</v>
      </c>
      <c r="G651" s="357">
        <v>3</v>
      </c>
      <c r="H651" s="357">
        <v>4</v>
      </c>
      <c r="I651" s="357">
        <v>5</v>
      </c>
      <c r="J651" s="357">
        <v>6</v>
      </c>
      <c r="K651" s="357">
        <v>7</v>
      </c>
      <c r="N651" s="360"/>
      <c r="O651" s="360"/>
      <c r="P651" s="360"/>
      <c r="AB651" s="469"/>
    </row>
    <row r="652" spans="1:28" ht="15.75" hidden="1" outlineLevel="2" x14ac:dyDescent="0.2">
      <c r="D652" s="462" t="s">
        <v>1</v>
      </c>
      <c r="E652" s="462"/>
      <c r="F652" s="74">
        <f>FirstYear</f>
        <v>2026</v>
      </c>
      <c r="G652" s="74">
        <f>F652+1</f>
        <v>2027</v>
      </c>
      <c r="H652" s="74">
        <f>G652+1</f>
        <v>2028</v>
      </c>
      <c r="I652" s="74">
        <f>H652+1</f>
        <v>2029</v>
      </c>
      <c r="J652" s="74">
        <f>I652+1</f>
        <v>2030</v>
      </c>
      <c r="K652" s="74">
        <f>J652+1</f>
        <v>2031</v>
      </c>
      <c r="N652" s="466"/>
      <c r="O652" s="466"/>
      <c r="P652" s="466"/>
      <c r="AB652" s="469"/>
    </row>
    <row r="653" spans="1:28" hidden="1" outlineLevel="2" x14ac:dyDescent="0.2">
      <c r="E653" s="82" t="s">
        <v>938</v>
      </c>
      <c r="F653" s="239">
        <f t="shared" ref="F653:K653" si="480">F654*INDEX(MBSDecCalc,$C642,3)</f>
        <v>0</v>
      </c>
      <c r="G653" s="239">
        <f t="shared" si="480"/>
        <v>0</v>
      </c>
      <c r="H653" s="239">
        <f t="shared" si="480"/>
        <v>0</v>
      </c>
      <c r="I653" s="239">
        <f t="shared" si="480"/>
        <v>0</v>
      </c>
      <c r="J653" s="239">
        <f t="shared" si="480"/>
        <v>0</v>
      </c>
      <c r="K653" s="239">
        <f t="shared" si="480"/>
        <v>0</v>
      </c>
      <c r="M653"/>
      <c r="N653"/>
      <c r="O653" s="360"/>
      <c r="P653" s="360"/>
      <c r="AB653" s="469"/>
    </row>
    <row r="654" spans="1:28" hidden="1" outlineLevel="2" x14ac:dyDescent="0.2">
      <c r="B654" s="468"/>
      <c r="C654" s="209" t="str">
        <f>C646</f>
        <v/>
      </c>
      <c r="E654" s="56" t="s">
        <v>1297</v>
      </c>
      <c r="F654" s="57">
        <f t="shared" ref="F654:K654" si="481">IF(INDEX(MBSDecRate,$C642,2)=2,IFERROR(INDEX(RPBSScriptsChanged,$C654,F651),0),IFERROR(INDEX(MBSRPBSDec,$C642,INDEX(MBSDecRate,$C642,3)*7+F651),0) * IFERROR(INDEX(MBSDecPopSplit,$C642),0)) * INDEX(MBSDecRate,$C642,1) * INDEX(MBSDecRate,$C642,4)</f>
        <v>0</v>
      </c>
      <c r="G654" s="57">
        <f t="shared" si="481"/>
        <v>0</v>
      </c>
      <c r="H654" s="57">
        <f t="shared" si="481"/>
        <v>0</v>
      </c>
      <c r="I654" s="57">
        <f t="shared" si="481"/>
        <v>0</v>
      </c>
      <c r="J654" s="57">
        <f t="shared" si="481"/>
        <v>0</v>
      </c>
      <c r="K654" s="57">
        <f t="shared" si="481"/>
        <v>0</v>
      </c>
      <c r="N654" s="344"/>
      <c r="O654" s="360"/>
      <c r="P654" s="360"/>
      <c r="AB654" s="469"/>
    </row>
    <row r="655" spans="1:28" hidden="1" outlineLevel="2" x14ac:dyDescent="0.2">
      <c r="B655" s="209">
        <v>5</v>
      </c>
      <c r="C655" s="209">
        <v>6</v>
      </c>
      <c r="E655" s="358" t="s">
        <v>1294</v>
      </c>
      <c r="F655" s="57" t="str">
        <f t="shared" ref="F655:K655" si="482">IFERROR(F654*INDEX(MBSDecItems,$C642,$B655)*INDEX(MBSDecItems,$C642,$C655),"")</f>
        <v/>
      </c>
      <c r="G655" s="57" t="str">
        <f t="shared" si="482"/>
        <v/>
      </c>
      <c r="H655" s="57" t="str">
        <f t="shared" si="482"/>
        <v/>
      </c>
      <c r="I655" s="57" t="str">
        <f t="shared" si="482"/>
        <v/>
      </c>
      <c r="J655" s="57" t="str">
        <f t="shared" si="482"/>
        <v/>
      </c>
      <c r="K655" s="57" t="str">
        <f t="shared" si="482"/>
        <v/>
      </c>
      <c r="M655" s="474"/>
      <c r="N655" s="344"/>
      <c r="O655" s="360"/>
      <c r="P655" s="360"/>
    </row>
    <row r="656" spans="1:28" hidden="1" outlineLevel="2" x14ac:dyDescent="0.2">
      <c r="B656" s="209">
        <v>4</v>
      </c>
      <c r="C656" s="209">
        <v>6</v>
      </c>
      <c r="E656" s="358" t="s">
        <v>1293</v>
      </c>
      <c r="F656" s="57" t="str">
        <f t="shared" ref="F656:K656" si="483">IFERROR(F654*INDEX(MBSDecItems,$C642,$B656)*INDEX(MBSDecItems,$C642,$C656),"")</f>
        <v/>
      </c>
      <c r="G656" s="57" t="str">
        <f t="shared" si="483"/>
        <v/>
      </c>
      <c r="H656" s="57" t="str">
        <f t="shared" si="483"/>
        <v/>
      </c>
      <c r="I656" s="57" t="str">
        <f t="shared" si="483"/>
        <v/>
      </c>
      <c r="J656" s="57" t="str">
        <f t="shared" si="483"/>
        <v/>
      </c>
      <c r="K656" s="57" t="str">
        <f t="shared" si="483"/>
        <v/>
      </c>
      <c r="M656" s="475"/>
      <c r="N656" s="473"/>
      <c r="O656" s="360"/>
      <c r="P656" s="360"/>
    </row>
    <row r="657" spans="1:28" hidden="1" outlineLevel="2" x14ac:dyDescent="0.2">
      <c r="B657" s="209"/>
      <c r="C657" s="209">
        <v>7</v>
      </c>
      <c r="E657" s="359" t="s">
        <v>1295</v>
      </c>
      <c r="F657" s="57" t="str">
        <f t="shared" ref="F657:K657" si="484">IFERROR(F654*INDEX(MBSDecItems,$C642,$C657),"")</f>
        <v/>
      </c>
      <c r="G657" s="57" t="str">
        <f t="shared" si="484"/>
        <v/>
      </c>
      <c r="H657" s="57" t="str">
        <f t="shared" si="484"/>
        <v/>
      </c>
      <c r="I657" s="57" t="str">
        <f t="shared" si="484"/>
        <v/>
      </c>
      <c r="J657" s="57" t="str">
        <f t="shared" si="484"/>
        <v/>
      </c>
      <c r="K657" s="57" t="str">
        <f t="shared" si="484"/>
        <v/>
      </c>
      <c r="M657" s="475"/>
      <c r="N657" s="473"/>
      <c r="O657" s="360"/>
      <c r="P657" s="360"/>
    </row>
    <row r="658" spans="1:28" outlineLevel="1" collapsed="1" x14ac:dyDescent="0.2">
      <c r="D658" s="360"/>
      <c r="E658" s="360"/>
      <c r="N658" s="360"/>
      <c r="O658" s="360"/>
      <c r="P658" s="360"/>
    </row>
    <row r="659" spans="1:28" ht="15.75" outlineLevel="1" x14ac:dyDescent="0.2">
      <c r="C659" s="209">
        <v>10</v>
      </c>
      <c r="D659" s="72" t="str">
        <f>INDEX(MBSDecNames,C659)</f>
        <v>** NOT USED **</v>
      </c>
      <c r="E659" s="72"/>
      <c r="F659" s="105"/>
      <c r="G659" s="105"/>
      <c r="H659" s="105"/>
      <c r="I659" s="105"/>
      <c r="J659" s="588" t="str">
        <f>IF(D659&lt;&gt;MsgNotUsed,"Co-payment group " &amp; K467,"")</f>
        <v/>
      </c>
      <c r="K659" s="588"/>
      <c r="L659" s="105"/>
      <c r="M659" s="105"/>
      <c r="N659" s="105"/>
      <c r="O659" s="105"/>
      <c r="P659" s="105"/>
      <c r="Q659" s="105"/>
      <c r="R659" s="105"/>
      <c r="S659" s="105"/>
      <c r="T659" s="105"/>
      <c r="U659" s="105"/>
      <c r="V659" s="105"/>
    </row>
    <row r="660" spans="1:28" hidden="1" outlineLevel="2" x14ac:dyDescent="0.2">
      <c r="F660" s="357">
        <v>2</v>
      </c>
      <c r="G660" s="357">
        <v>3</v>
      </c>
      <c r="H660" s="357">
        <v>4</v>
      </c>
      <c r="I660" s="357">
        <v>5</v>
      </c>
      <c r="J660" s="357">
        <v>6</v>
      </c>
      <c r="K660" s="357">
        <v>7</v>
      </c>
      <c r="L660" s="357"/>
    </row>
    <row r="661" spans="1:28" ht="15" hidden="1" outlineLevel="2" x14ac:dyDescent="0.2">
      <c r="D661" s="462" t="s">
        <v>0</v>
      </c>
      <c r="E661" s="462"/>
      <c r="F661" s="74">
        <f>FirstYear</f>
        <v>2026</v>
      </c>
      <c r="G661" s="74">
        <f>F661+1</f>
        <v>2027</v>
      </c>
      <c r="H661" s="74">
        <f>G661+1</f>
        <v>2028</v>
      </c>
      <c r="I661" s="74">
        <f>H661+1</f>
        <v>2029</v>
      </c>
      <c r="J661" s="74">
        <f>I661+1</f>
        <v>2030</v>
      </c>
      <c r="K661" s="74">
        <f>J661+1</f>
        <v>2031</v>
      </c>
      <c r="N661" s="470"/>
      <c r="O661" s="470"/>
      <c r="P661" s="470"/>
      <c r="Q661" s="223"/>
      <c r="R661" s="223"/>
      <c r="S661" s="223"/>
      <c r="T661" s="223"/>
      <c r="U661" s="223"/>
      <c r="V661" s="223"/>
      <c r="X661" s="223"/>
      <c r="Y661" s="223"/>
      <c r="Z661" s="223"/>
      <c r="AA661" s="223"/>
    </row>
    <row r="662" spans="1:28" hidden="1" outlineLevel="2" collapsed="1" x14ac:dyDescent="0.2">
      <c r="E662" s="82" t="s">
        <v>938</v>
      </c>
      <c r="F662" s="239">
        <f t="shared" ref="F662:K662" si="485">F663*INDEX(MBSDecCalc,$C659,3)</f>
        <v>0</v>
      </c>
      <c r="G662" s="239">
        <f t="shared" si="485"/>
        <v>0</v>
      </c>
      <c r="H662" s="239">
        <f t="shared" si="485"/>
        <v>0</v>
      </c>
      <c r="I662" s="239">
        <f t="shared" si="485"/>
        <v>0</v>
      </c>
      <c r="J662" s="239">
        <f t="shared" si="485"/>
        <v>0</v>
      </c>
      <c r="K662" s="239">
        <f t="shared" si="485"/>
        <v>0</v>
      </c>
      <c r="M662" s="471"/>
      <c r="N662" s="463"/>
      <c r="O662" s="463"/>
      <c r="P662" s="463"/>
      <c r="Q662" s="472"/>
      <c r="R662" s="472"/>
      <c r="S662" s="472"/>
      <c r="T662" s="472"/>
      <c r="U662" s="472"/>
      <c r="V662" s="472"/>
      <c r="X662" s="402">
        <f>INDEX(MBSDecItems,C659,1)</f>
        <v>0</v>
      </c>
      <c r="Y662" s="402">
        <f>FirstYear</f>
        <v>2026</v>
      </c>
      <c r="Z662" s="401">
        <f>IF(F663&lt;&gt;0,F663-F665,0)</f>
        <v>0</v>
      </c>
      <c r="AA662" s="401">
        <f>IF(F671&lt;&gt;0,F671-F673,0)</f>
        <v>0</v>
      </c>
    </row>
    <row r="663" spans="1:28" hidden="1" outlineLevel="2" x14ac:dyDescent="0.2">
      <c r="B663" s="468"/>
      <c r="C663" s="209" t="str">
        <f>INDEX(MBSDecCalc,C659,2)</f>
        <v/>
      </c>
      <c r="E663" s="56" t="s">
        <v>1297</v>
      </c>
      <c r="F663" s="57">
        <f t="shared" ref="F663:K663" si="486">IF(INDEX(MBSDecRate,$C659,2)=2,IFERROR(INDEX(PBSScriptsChanged,$C663,F660),0),IFERROR(INDEX(MBSPBSDec,$C659,INDEX(MBSDecRate,$C659,3)*7+F660),0) * IFERROR(INDEX(MBSDecPopSplit,$C659),0)) * INDEX(MBSDecRate,$C659,1) * INDEX(MBSDecRate,$C659,4)</f>
        <v>0</v>
      </c>
      <c r="G663" s="57">
        <f t="shared" si="486"/>
        <v>0</v>
      </c>
      <c r="H663" s="57">
        <f t="shared" si="486"/>
        <v>0</v>
      </c>
      <c r="I663" s="57">
        <f t="shared" si="486"/>
        <v>0</v>
      </c>
      <c r="J663" s="57">
        <f t="shared" si="486"/>
        <v>0</v>
      </c>
      <c r="K663" s="57">
        <f t="shared" si="486"/>
        <v>0</v>
      </c>
      <c r="O663" s="463"/>
      <c r="P663" s="463"/>
      <c r="Q663" s="472"/>
      <c r="R663" s="472"/>
      <c r="S663" s="472"/>
      <c r="T663" s="472"/>
      <c r="U663" s="472"/>
      <c r="V663" s="472"/>
      <c r="X663" s="402">
        <f>X662</f>
        <v>0</v>
      </c>
      <c r="Y663" s="402">
        <f>Y662+1</f>
        <v>2027</v>
      </c>
      <c r="Z663" s="401">
        <f>IF(G663&lt;&gt;0,G663-G665,0)</f>
        <v>0</v>
      </c>
      <c r="AA663" s="401">
        <f>IF(G671&lt;&gt;0,G671-G673,0)</f>
        <v>0</v>
      </c>
    </row>
    <row r="664" spans="1:28" hidden="1" outlineLevel="2" x14ac:dyDescent="0.2">
      <c r="B664" s="209">
        <v>5</v>
      </c>
      <c r="C664" s="209">
        <v>6</v>
      </c>
      <c r="E664" s="358" t="s">
        <v>1294</v>
      </c>
      <c r="F664" s="57" t="str">
        <f t="shared" ref="F664:K664" si="487">IFERROR(F663*INDEX(MBSDecItems,$C659,$B664)*INDEX(MBSDecItems,$C659,$C664),"")</f>
        <v/>
      </c>
      <c r="G664" s="57" t="str">
        <f t="shared" si="487"/>
        <v/>
      </c>
      <c r="H664" s="57" t="str">
        <f t="shared" si="487"/>
        <v/>
      </c>
      <c r="I664" s="57" t="str">
        <f t="shared" si="487"/>
        <v/>
      </c>
      <c r="J664" s="57" t="str">
        <f t="shared" si="487"/>
        <v/>
      </c>
      <c r="K664" s="57" t="str">
        <f t="shared" si="487"/>
        <v/>
      </c>
      <c r="O664" s="473"/>
      <c r="P664" s="514"/>
      <c r="Q664" s="472"/>
      <c r="R664" s="472"/>
      <c r="S664" s="472"/>
      <c r="T664" s="472"/>
      <c r="U664" s="472"/>
      <c r="V664" s="472"/>
      <c r="X664" s="402">
        <f t="shared" ref="X664:X667" si="488">X663</f>
        <v>0</v>
      </c>
      <c r="Y664" s="402">
        <f>Y663+1</f>
        <v>2028</v>
      </c>
      <c r="Z664" s="401">
        <f>IF(H663&lt;&gt;0,H663-H665,0)</f>
        <v>0</v>
      </c>
      <c r="AA664" s="401">
        <f>IF(H671&lt;&gt;0,H671-H673,0)</f>
        <v>0</v>
      </c>
    </row>
    <row r="665" spans="1:28" hidden="1" outlineLevel="2" x14ac:dyDescent="0.2">
      <c r="A665"/>
      <c r="B665" s="209">
        <v>4</v>
      </c>
      <c r="C665" s="209">
        <v>6</v>
      </c>
      <c r="E665" s="358" t="s">
        <v>1293</v>
      </c>
      <c r="F665" s="57" t="str">
        <f t="shared" ref="F665:K665" si="489">IFERROR(F663*INDEX(MBSDecItems,$C659,$B665)*INDEX(MBSDecItems,$C659,$C665),"")</f>
        <v/>
      </c>
      <c r="G665" s="57" t="str">
        <f t="shared" si="489"/>
        <v/>
      </c>
      <c r="H665" s="57" t="str">
        <f t="shared" si="489"/>
        <v/>
      </c>
      <c r="I665" s="57" t="str">
        <f t="shared" si="489"/>
        <v/>
      </c>
      <c r="J665" s="57" t="str">
        <f t="shared" si="489"/>
        <v/>
      </c>
      <c r="K665" s="57" t="str">
        <f t="shared" si="489"/>
        <v/>
      </c>
      <c r="L665"/>
      <c r="M665"/>
      <c r="N665"/>
      <c r="O665"/>
      <c r="P665"/>
      <c r="Q665"/>
      <c r="R665"/>
      <c r="S665"/>
      <c r="T665"/>
      <c r="U665"/>
      <c r="V665"/>
      <c r="X665" s="402">
        <f t="shared" si="488"/>
        <v>0</v>
      </c>
      <c r="Y665" s="402">
        <f>Y664+1</f>
        <v>2029</v>
      </c>
      <c r="Z665" s="401">
        <f>IF(I663&lt;&gt;0,I663-I665,0)</f>
        <v>0</v>
      </c>
      <c r="AA665" s="401">
        <f>IF(I671&lt;&gt;0,I671-I673,0)</f>
        <v>0</v>
      </c>
      <c r="AB665" s="223"/>
    </row>
    <row r="666" spans="1:28" hidden="1" outlineLevel="2" x14ac:dyDescent="0.2">
      <c r="B666" s="209"/>
      <c r="C666" s="209">
        <v>7</v>
      </c>
      <c r="E666" s="359" t="s">
        <v>1295</v>
      </c>
      <c r="F666" s="57" t="str">
        <f t="shared" ref="F666:K666" si="490">IFERROR(F663*INDEX(MBSDecItems,$C659,$C666),"")</f>
        <v/>
      </c>
      <c r="G666" s="57" t="str">
        <f t="shared" si="490"/>
        <v/>
      </c>
      <c r="H666" s="57" t="str">
        <f t="shared" si="490"/>
        <v/>
      </c>
      <c r="I666" s="57" t="str">
        <f t="shared" si="490"/>
        <v/>
      </c>
      <c r="J666" s="57" t="str">
        <f t="shared" si="490"/>
        <v/>
      </c>
      <c r="K666" s="57" t="str">
        <f t="shared" si="490"/>
        <v/>
      </c>
      <c r="O666" s="473"/>
      <c r="P666" s="514"/>
      <c r="Q666" s="472"/>
      <c r="R666" s="472"/>
      <c r="S666" s="472"/>
      <c r="T666" s="472"/>
      <c r="U666" s="472"/>
      <c r="V666" s="472"/>
      <c r="X666" s="402">
        <f t="shared" si="488"/>
        <v>0</v>
      </c>
      <c r="Y666" s="402">
        <f>Y665+1</f>
        <v>2030</v>
      </c>
      <c r="Z666" s="401">
        <f>IF(J663&lt;&gt;0,J663-J665,0)</f>
        <v>0</v>
      </c>
      <c r="AA666" s="401">
        <f>IF(J671&lt;&gt;0,J671-J673,0)</f>
        <v>0</v>
      </c>
      <c r="AB666" s="223"/>
    </row>
    <row r="667" spans="1:28" hidden="1" outlineLevel="2" x14ac:dyDescent="0.2">
      <c r="O667" s="473"/>
      <c r="P667" s="473"/>
      <c r="Q667" s="472"/>
      <c r="R667" s="472"/>
      <c r="S667" s="472"/>
      <c r="T667" s="472"/>
      <c r="U667" s="472"/>
      <c r="V667" s="472"/>
      <c r="X667" s="402">
        <f t="shared" si="488"/>
        <v>0</v>
      </c>
      <c r="Y667" s="402">
        <f>Y666+1</f>
        <v>2031</v>
      </c>
      <c r="Z667" s="401">
        <f>IF(K663&lt;&gt;0,K663-K665,0)</f>
        <v>0</v>
      </c>
      <c r="AA667" s="401">
        <f>IF(K671&lt;&gt;0,K671-K673,0)</f>
        <v>0</v>
      </c>
      <c r="AB667" s="469"/>
    </row>
    <row r="668" spans="1:28" hidden="1" outlineLevel="2" x14ac:dyDescent="0.2">
      <c r="D668" s="360"/>
      <c r="E668" s="360"/>
      <c r="F668" s="357">
        <v>2</v>
      </c>
      <c r="G668" s="357">
        <v>3</v>
      </c>
      <c r="H668" s="357">
        <v>4</v>
      </c>
      <c r="I668" s="357">
        <v>5</v>
      </c>
      <c r="J668" s="357">
        <v>6</v>
      </c>
      <c r="K668" s="357">
        <v>7</v>
      </c>
      <c r="N668" s="360"/>
      <c r="O668" s="360"/>
      <c r="P668" s="360"/>
      <c r="AB668" s="469"/>
    </row>
    <row r="669" spans="1:28" ht="15.75" hidden="1" outlineLevel="2" x14ac:dyDescent="0.2">
      <c r="D669" s="462" t="s">
        <v>1</v>
      </c>
      <c r="E669" s="462"/>
      <c r="F669" s="74">
        <f>FirstYear</f>
        <v>2026</v>
      </c>
      <c r="G669" s="74">
        <f>F669+1</f>
        <v>2027</v>
      </c>
      <c r="H669" s="74">
        <f>G669+1</f>
        <v>2028</v>
      </c>
      <c r="I669" s="74">
        <f>H669+1</f>
        <v>2029</v>
      </c>
      <c r="J669" s="74">
        <f>I669+1</f>
        <v>2030</v>
      </c>
      <c r="K669" s="74">
        <f>J669+1</f>
        <v>2031</v>
      </c>
      <c r="N669" s="466"/>
      <c r="O669" s="466"/>
      <c r="P669" s="466"/>
      <c r="AB669" s="469"/>
    </row>
    <row r="670" spans="1:28" hidden="1" outlineLevel="2" x14ac:dyDescent="0.2">
      <c r="E670" s="82" t="s">
        <v>938</v>
      </c>
      <c r="F670" s="239">
        <f t="shared" ref="F670:K670" si="491">F671*INDEX(MBSDecCalc,$C659,3)</f>
        <v>0</v>
      </c>
      <c r="G670" s="239">
        <f t="shared" si="491"/>
        <v>0</v>
      </c>
      <c r="H670" s="239">
        <f t="shared" si="491"/>
        <v>0</v>
      </c>
      <c r="I670" s="239">
        <f t="shared" si="491"/>
        <v>0</v>
      </c>
      <c r="J670" s="239">
        <f t="shared" si="491"/>
        <v>0</v>
      </c>
      <c r="K670" s="239">
        <f t="shared" si="491"/>
        <v>0</v>
      </c>
      <c r="M670"/>
      <c r="N670"/>
      <c r="O670" s="360"/>
      <c r="P670" s="360"/>
      <c r="AB670" s="469"/>
    </row>
    <row r="671" spans="1:28" hidden="1" outlineLevel="2" x14ac:dyDescent="0.2">
      <c r="B671" s="468"/>
      <c r="C671" s="209" t="str">
        <f>C663</f>
        <v/>
      </c>
      <c r="E671" s="56" t="s">
        <v>1297</v>
      </c>
      <c r="F671" s="57">
        <f t="shared" ref="F671:K671" si="492">IF(INDEX(MBSDecRate,$C659,2)=2,IFERROR(INDEX(RPBSScriptsChanged,$C671,F668),0),IFERROR(INDEX(MBSRPBSDec,$C659,INDEX(MBSDecRate,$C659,3)*7+F668),0) * IFERROR(INDEX(MBSDecPopSplit,$C659),0)) * INDEX(MBSDecRate,$C659,1) * INDEX(MBSDecRate,$C659,4)</f>
        <v>0</v>
      </c>
      <c r="G671" s="57">
        <f t="shared" si="492"/>
        <v>0</v>
      </c>
      <c r="H671" s="57">
        <f t="shared" si="492"/>
        <v>0</v>
      </c>
      <c r="I671" s="57">
        <f t="shared" si="492"/>
        <v>0</v>
      </c>
      <c r="J671" s="57">
        <f t="shared" si="492"/>
        <v>0</v>
      </c>
      <c r="K671" s="57">
        <f t="shared" si="492"/>
        <v>0</v>
      </c>
      <c r="N671" s="344"/>
      <c r="O671" s="360"/>
      <c r="P671" s="360"/>
      <c r="AB671" s="469"/>
    </row>
    <row r="672" spans="1:28" hidden="1" outlineLevel="2" x14ac:dyDescent="0.2">
      <c r="B672" s="209">
        <v>5</v>
      </c>
      <c r="C672" s="209">
        <v>6</v>
      </c>
      <c r="E672" s="358" t="s">
        <v>1294</v>
      </c>
      <c r="F672" s="57" t="str">
        <f t="shared" ref="F672:K672" si="493">IFERROR(F671*INDEX(MBSDecItems,$C659,$B672)*INDEX(MBSDecItems,$C659,$C672),"")</f>
        <v/>
      </c>
      <c r="G672" s="57" t="str">
        <f t="shared" si="493"/>
        <v/>
      </c>
      <c r="H672" s="57" t="str">
        <f t="shared" si="493"/>
        <v/>
      </c>
      <c r="I672" s="57" t="str">
        <f t="shared" si="493"/>
        <v/>
      </c>
      <c r="J672" s="57" t="str">
        <f t="shared" si="493"/>
        <v/>
      </c>
      <c r="K672" s="57" t="str">
        <f t="shared" si="493"/>
        <v/>
      </c>
      <c r="M672" s="474"/>
      <c r="N672" s="344"/>
      <c r="O672" s="360"/>
      <c r="P672" s="360"/>
    </row>
    <row r="673" spans="1:28" hidden="1" outlineLevel="2" x14ac:dyDescent="0.2">
      <c r="B673" s="209">
        <v>4</v>
      </c>
      <c r="C673" s="209">
        <v>6</v>
      </c>
      <c r="E673" s="358" t="s">
        <v>1293</v>
      </c>
      <c r="F673" s="57" t="str">
        <f t="shared" ref="F673:K673" si="494">IFERROR(F671*INDEX(MBSDecItems,$C659,$B673)*INDEX(MBSDecItems,$C659,$C673),"")</f>
        <v/>
      </c>
      <c r="G673" s="57" t="str">
        <f t="shared" si="494"/>
        <v/>
      </c>
      <c r="H673" s="57" t="str">
        <f t="shared" si="494"/>
        <v/>
      </c>
      <c r="I673" s="57" t="str">
        <f t="shared" si="494"/>
        <v/>
      </c>
      <c r="J673" s="57" t="str">
        <f t="shared" si="494"/>
        <v/>
      </c>
      <c r="K673" s="57" t="str">
        <f t="shared" si="494"/>
        <v/>
      </c>
      <c r="M673" s="475"/>
      <c r="N673" s="473"/>
      <c r="O673" s="360"/>
      <c r="P673" s="360"/>
    </row>
    <row r="674" spans="1:28" hidden="1" outlineLevel="2" x14ac:dyDescent="0.2">
      <c r="B674" s="209"/>
      <c r="C674" s="209">
        <v>7</v>
      </c>
      <c r="E674" s="359" t="s">
        <v>1295</v>
      </c>
      <c r="F674" s="57" t="str">
        <f t="shared" ref="F674:K674" si="495">IFERROR(F671*INDEX(MBSDecItems,$C659,$C674),"")</f>
        <v/>
      </c>
      <c r="G674" s="57" t="str">
        <f t="shared" si="495"/>
        <v/>
      </c>
      <c r="H674" s="57" t="str">
        <f t="shared" si="495"/>
        <v/>
      </c>
      <c r="I674" s="57" t="str">
        <f t="shared" si="495"/>
        <v/>
      </c>
      <c r="J674" s="57" t="str">
        <f t="shared" si="495"/>
        <v/>
      </c>
      <c r="K674" s="57" t="str">
        <f t="shared" si="495"/>
        <v/>
      </c>
      <c r="M674" s="475"/>
      <c r="N674" s="473"/>
      <c r="O674" s="360"/>
      <c r="P674" s="360"/>
    </row>
    <row r="675" spans="1:28" outlineLevel="1" collapsed="1" x14ac:dyDescent="0.2">
      <c r="D675" s="360"/>
      <c r="E675" s="360"/>
      <c r="N675" s="360"/>
      <c r="O675" s="360"/>
      <c r="P675" s="360"/>
    </row>
    <row r="676" spans="1:28" ht="15.75" outlineLevel="1" x14ac:dyDescent="0.2">
      <c r="C676" s="209">
        <v>11</v>
      </c>
      <c r="D676" s="72" t="str">
        <f>INDEX(MBSDecNames,C676)</f>
        <v>** NOT USED **</v>
      </c>
      <c r="E676" s="72"/>
      <c r="F676" s="105"/>
      <c r="G676" s="105"/>
      <c r="H676" s="105"/>
      <c r="I676" s="105"/>
      <c r="J676" s="588" t="str">
        <f>IF(D676&lt;&gt;MsgNotUsed,"Co-payment group " &amp; K505,"")</f>
        <v/>
      </c>
      <c r="K676" s="588"/>
      <c r="L676" s="105"/>
      <c r="M676" s="105"/>
      <c r="N676" s="105"/>
      <c r="O676" s="105"/>
      <c r="P676" s="105"/>
      <c r="Q676" s="105"/>
      <c r="R676" s="105"/>
      <c r="S676" s="105"/>
      <c r="T676" s="105"/>
      <c r="U676" s="105"/>
      <c r="V676" s="105"/>
    </row>
    <row r="677" spans="1:28" hidden="1" outlineLevel="2" x14ac:dyDescent="0.2">
      <c r="F677" s="357">
        <v>2</v>
      </c>
      <c r="G677" s="357">
        <v>3</v>
      </c>
      <c r="H677" s="357">
        <v>4</v>
      </c>
      <c r="I677" s="357">
        <v>5</v>
      </c>
      <c r="J677" s="357">
        <v>6</v>
      </c>
      <c r="K677" s="357">
        <v>7</v>
      </c>
      <c r="L677" s="357"/>
    </row>
    <row r="678" spans="1:28" ht="15" hidden="1" outlineLevel="2" x14ac:dyDescent="0.2">
      <c r="D678" s="462" t="s">
        <v>0</v>
      </c>
      <c r="E678" s="462"/>
      <c r="F678" s="74">
        <f>FirstYear</f>
        <v>2026</v>
      </c>
      <c r="G678" s="74">
        <f>F678+1</f>
        <v>2027</v>
      </c>
      <c r="H678" s="74">
        <f>G678+1</f>
        <v>2028</v>
      </c>
      <c r="I678" s="74">
        <f>H678+1</f>
        <v>2029</v>
      </c>
      <c r="J678" s="74">
        <f>I678+1</f>
        <v>2030</v>
      </c>
      <c r="K678" s="74">
        <f>J678+1</f>
        <v>2031</v>
      </c>
      <c r="N678" s="470"/>
      <c r="O678" s="470"/>
      <c r="P678" s="470"/>
      <c r="Q678" s="223"/>
      <c r="R678" s="223"/>
      <c r="S678" s="223"/>
      <c r="T678" s="223"/>
      <c r="U678" s="223"/>
      <c r="V678" s="223"/>
      <c r="X678" s="223"/>
      <c r="Y678" s="223"/>
      <c r="Z678" s="223"/>
      <c r="AA678" s="223"/>
    </row>
    <row r="679" spans="1:28" hidden="1" outlineLevel="2" collapsed="1" x14ac:dyDescent="0.2">
      <c r="E679" s="82" t="s">
        <v>938</v>
      </c>
      <c r="F679" s="239">
        <f t="shared" ref="F679:K679" si="496">F680*INDEX(MBSDecCalc,$C676,3)</f>
        <v>0</v>
      </c>
      <c r="G679" s="239">
        <f t="shared" si="496"/>
        <v>0</v>
      </c>
      <c r="H679" s="239">
        <f t="shared" si="496"/>
        <v>0</v>
      </c>
      <c r="I679" s="239">
        <f t="shared" si="496"/>
        <v>0</v>
      </c>
      <c r="J679" s="239">
        <f t="shared" si="496"/>
        <v>0</v>
      </c>
      <c r="K679" s="239">
        <f t="shared" si="496"/>
        <v>0</v>
      </c>
      <c r="M679" s="471"/>
      <c r="N679" s="463"/>
      <c r="O679" s="463"/>
      <c r="P679" s="463"/>
      <c r="Q679" s="472"/>
      <c r="R679" s="472"/>
      <c r="S679" s="472"/>
      <c r="T679" s="472"/>
      <c r="U679" s="472"/>
      <c r="V679" s="472"/>
      <c r="X679" s="402">
        <f>INDEX(MBSDecItems,C676,1)</f>
        <v>0</v>
      </c>
      <c r="Y679" s="402">
        <f>FirstYear</f>
        <v>2026</v>
      </c>
      <c r="Z679" s="401">
        <f>IF(F680&lt;&gt;0,F680-F682,0)</f>
        <v>0</v>
      </c>
      <c r="AA679" s="401">
        <f>IF(F688&lt;&gt;0,F688-F690,0)</f>
        <v>0</v>
      </c>
    </row>
    <row r="680" spans="1:28" hidden="1" outlineLevel="2" x14ac:dyDescent="0.2">
      <c r="B680" s="468"/>
      <c r="C680" s="209" t="str">
        <f>INDEX(MBSDecCalc,C676,2)</f>
        <v/>
      </c>
      <c r="E680" s="56" t="s">
        <v>1297</v>
      </c>
      <c r="F680" s="57">
        <f t="shared" ref="F680:K680" si="497">IF(INDEX(MBSDecRate,$C676,2)=2,IFERROR(INDEX(PBSScriptsChanged,$C680,F677),0),IFERROR(INDEX(MBSPBSDec,$C676,INDEX(MBSDecRate,$C676,3)*7+F677),0) * IFERROR(INDEX(MBSDecPopSplit,$C676),0)) * INDEX(MBSDecRate,$C676,1) * INDEX(MBSDecRate,$C676,4)</f>
        <v>0</v>
      </c>
      <c r="G680" s="57">
        <f t="shared" si="497"/>
        <v>0</v>
      </c>
      <c r="H680" s="57">
        <f t="shared" si="497"/>
        <v>0</v>
      </c>
      <c r="I680" s="57">
        <f t="shared" si="497"/>
        <v>0</v>
      </c>
      <c r="J680" s="57">
        <f t="shared" si="497"/>
        <v>0</v>
      </c>
      <c r="K680" s="57">
        <f t="shared" si="497"/>
        <v>0</v>
      </c>
      <c r="O680" s="463"/>
      <c r="P680" s="463"/>
      <c r="Q680" s="472"/>
      <c r="R680" s="472"/>
      <c r="S680" s="472"/>
      <c r="T680" s="472"/>
      <c r="U680" s="472"/>
      <c r="V680" s="472"/>
      <c r="X680" s="402">
        <f>X679</f>
        <v>0</v>
      </c>
      <c r="Y680" s="402">
        <f>Y679+1</f>
        <v>2027</v>
      </c>
      <c r="Z680" s="401">
        <f>IF(G680&lt;&gt;0,G680-G682,0)</f>
        <v>0</v>
      </c>
      <c r="AA680" s="401">
        <f>IF(G688&lt;&gt;0,G688-G690,0)</f>
        <v>0</v>
      </c>
    </row>
    <row r="681" spans="1:28" hidden="1" outlineLevel="2" x14ac:dyDescent="0.2">
      <c r="B681" s="209">
        <v>5</v>
      </c>
      <c r="C681" s="209">
        <v>6</v>
      </c>
      <c r="E681" s="358" t="s">
        <v>1294</v>
      </c>
      <c r="F681" s="57" t="str">
        <f t="shared" ref="F681:K681" si="498">IFERROR(F680*INDEX(MBSDecItems,$C676,$B681)*INDEX(MBSDecItems,$C676,$C681),"")</f>
        <v/>
      </c>
      <c r="G681" s="57" t="str">
        <f t="shared" si="498"/>
        <v/>
      </c>
      <c r="H681" s="57" t="str">
        <f t="shared" si="498"/>
        <v/>
      </c>
      <c r="I681" s="57" t="str">
        <f t="shared" si="498"/>
        <v/>
      </c>
      <c r="J681" s="57" t="str">
        <f t="shared" si="498"/>
        <v/>
      </c>
      <c r="K681" s="57" t="str">
        <f t="shared" si="498"/>
        <v/>
      </c>
      <c r="O681" s="473"/>
      <c r="P681" s="514"/>
      <c r="Q681" s="472"/>
      <c r="R681" s="472"/>
      <c r="S681" s="472"/>
      <c r="T681" s="472"/>
      <c r="U681" s="472"/>
      <c r="V681" s="472"/>
      <c r="X681" s="402">
        <f t="shared" ref="X681:X684" si="499">X680</f>
        <v>0</v>
      </c>
      <c r="Y681" s="402">
        <f>Y680+1</f>
        <v>2028</v>
      </c>
      <c r="Z681" s="401">
        <f>IF(H680&lt;&gt;0,H680-H682,0)</f>
        <v>0</v>
      </c>
      <c r="AA681" s="401">
        <f>IF(H688&lt;&gt;0,H688-H690,0)</f>
        <v>0</v>
      </c>
    </row>
    <row r="682" spans="1:28" hidden="1" outlineLevel="2" x14ac:dyDescent="0.2">
      <c r="A682"/>
      <c r="B682" s="209">
        <v>4</v>
      </c>
      <c r="C682" s="209">
        <v>6</v>
      </c>
      <c r="E682" s="358" t="s">
        <v>1293</v>
      </c>
      <c r="F682" s="57" t="str">
        <f t="shared" ref="F682:K682" si="500">IFERROR(F680*INDEX(MBSDecItems,$C676,$B682)*INDEX(MBSDecItems,$C676,$C682),"")</f>
        <v/>
      </c>
      <c r="G682" s="57" t="str">
        <f t="shared" si="500"/>
        <v/>
      </c>
      <c r="H682" s="57" t="str">
        <f t="shared" si="500"/>
        <v/>
      </c>
      <c r="I682" s="57" t="str">
        <f t="shared" si="500"/>
        <v/>
      </c>
      <c r="J682" s="57" t="str">
        <f t="shared" si="500"/>
        <v/>
      </c>
      <c r="K682" s="57" t="str">
        <f t="shared" si="500"/>
        <v/>
      </c>
      <c r="L682"/>
      <c r="M682"/>
      <c r="N682"/>
      <c r="O682"/>
      <c r="P682"/>
      <c r="Q682"/>
      <c r="R682"/>
      <c r="S682"/>
      <c r="T682"/>
      <c r="U682"/>
      <c r="V682"/>
      <c r="X682" s="402">
        <f t="shared" si="499"/>
        <v>0</v>
      </c>
      <c r="Y682" s="402">
        <f>Y681+1</f>
        <v>2029</v>
      </c>
      <c r="Z682" s="401">
        <f>IF(I680&lt;&gt;0,I680-I682,0)</f>
        <v>0</v>
      </c>
      <c r="AA682" s="401">
        <f>IF(I688&lt;&gt;0,I688-I690,0)</f>
        <v>0</v>
      </c>
      <c r="AB682" s="223"/>
    </row>
    <row r="683" spans="1:28" hidden="1" outlineLevel="2" x14ac:dyDescent="0.2">
      <c r="B683" s="209"/>
      <c r="C683" s="209">
        <v>7</v>
      </c>
      <c r="E683" s="359" t="s">
        <v>1295</v>
      </c>
      <c r="F683" s="57" t="str">
        <f t="shared" ref="F683:K683" si="501">IFERROR(F680*INDEX(MBSDecItems,$C676,$C683),"")</f>
        <v/>
      </c>
      <c r="G683" s="57" t="str">
        <f t="shared" si="501"/>
        <v/>
      </c>
      <c r="H683" s="57" t="str">
        <f t="shared" si="501"/>
        <v/>
      </c>
      <c r="I683" s="57" t="str">
        <f t="shared" si="501"/>
        <v/>
      </c>
      <c r="J683" s="57" t="str">
        <f t="shared" si="501"/>
        <v/>
      </c>
      <c r="K683" s="57" t="str">
        <f t="shared" si="501"/>
        <v/>
      </c>
      <c r="O683" s="473"/>
      <c r="P683" s="514"/>
      <c r="Q683" s="472"/>
      <c r="R683" s="472"/>
      <c r="S683" s="472"/>
      <c r="T683" s="472"/>
      <c r="U683" s="472"/>
      <c r="V683" s="472"/>
      <c r="X683" s="402">
        <f t="shared" si="499"/>
        <v>0</v>
      </c>
      <c r="Y683" s="402">
        <f>Y682+1</f>
        <v>2030</v>
      </c>
      <c r="Z683" s="401">
        <f>IF(J680&lt;&gt;0,J680-J682,0)</f>
        <v>0</v>
      </c>
      <c r="AA683" s="401">
        <f>IF(J688&lt;&gt;0,J688-J690,0)</f>
        <v>0</v>
      </c>
      <c r="AB683" s="223"/>
    </row>
    <row r="684" spans="1:28" hidden="1" outlineLevel="2" x14ac:dyDescent="0.2">
      <c r="O684" s="473"/>
      <c r="P684" s="473"/>
      <c r="Q684" s="472"/>
      <c r="R684" s="472"/>
      <c r="S684" s="472"/>
      <c r="T684" s="472"/>
      <c r="U684" s="472"/>
      <c r="V684" s="472"/>
      <c r="X684" s="402">
        <f t="shared" si="499"/>
        <v>0</v>
      </c>
      <c r="Y684" s="402">
        <f>Y683+1</f>
        <v>2031</v>
      </c>
      <c r="Z684" s="401">
        <f>IF(K680&lt;&gt;0,K680-K682,0)</f>
        <v>0</v>
      </c>
      <c r="AA684" s="401">
        <f>IF(K688&lt;&gt;0,K688-K690,0)</f>
        <v>0</v>
      </c>
      <c r="AB684" s="469"/>
    </row>
    <row r="685" spans="1:28" hidden="1" outlineLevel="2" x14ac:dyDescent="0.2">
      <c r="D685" s="360"/>
      <c r="E685" s="360"/>
      <c r="F685" s="357">
        <v>2</v>
      </c>
      <c r="G685" s="357">
        <v>3</v>
      </c>
      <c r="H685" s="357">
        <v>4</v>
      </c>
      <c r="I685" s="357">
        <v>5</v>
      </c>
      <c r="J685" s="357">
        <v>6</v>
      </c>
      <c r="K685" s="357">
        <v>7</v>
      </c>
      <c r="N685" s="360"/>
      <c r="O685" s="360"/>
      <c r="P685" s="360"/>
      <c r="AB685" s="469"/>
    </row>
    <row r="686" spans="1:28" ht="15.75" hidden="1" outlineLevel="2" x14ac:dyDescent="0.2">
      <c r="D686" s="462" t="s">
        <v>1</v>
      </c>
      <c r="E686" s="462"/>
      <c r="F686" s="74">
        <f>FirstYear</f>
        <v>2026</v>
      </c>
      <c r="G686" s="74">
        <f>F686+1</f>
        <v>2027</v>
      </c>
      <c r="H686" s="74">
        <f>G686+1</f>
        <v>2028</v>
      </c>
      <c r="I686" s="74">
        <f>H686+1</f>
        <v>2029</v>
      </c>
      <c r="J686" s="74">
        <f>I686+1</f>
        <v>2030</v>
      </c>
      <c r="K686" s="74">
        <f>J686+1</f>
        <v>2031</v>
      </c>
      <c r="N686" s="466"/>
      <c r="O686" s="466"/>
      <c r="P686" s="466"/>
      <c r="AB686" s="469"/>
    </row>
    <row r="687" spans="1:28" hidden="1" outlineLevel="2" x14ac:dyDescent="0.2">
      <c r="E687" s="82" t="s">
        <v>938</v>
      </c>
      <c r="F687" s="239">
        <f t="shared" ref="F687:K687" si="502">F688*INDEX(MBSDecCalc,$C676,3)</f>
        <v>0</v>
      </c>
      <c r="G687" s="239">
        <f t="shared" si="502"/>
        <v>0</v>
      </c>
      <c r="H687" s="239">
        <f t="shared" si="502"/>
        <v>0</v>
      </c>
      <c r="I687" s="239">
        <f t="shared" si="502"/>
        <v>0</v>
      </c>
      <c r="J687" s="239">
        <f t="shared" si="502"/>
        <v>0</v>
      </c>
      <c r="K687" s="239">
        <f t="shared" si="502"/>
        <v>0</v>
      </c>
      <c r="M687"/>
      <c r="N687"/>
      <c r="O687" s="360"/>
      <c r="P687" s="360"/>
      <c r="AB687" s="469"/>
    </row>
    <row r="688" spans="1:28" hidden="1" outlineLevel="2" x14ac:dyDescent="0.2">
      <c r="B688" s="468"/>
      <c r="C688" s="209" t="str">
        <f>C680</f>
        <v/>
      </c>
      <c r="E688" s="56" t="s">
        <v>1297</v>
      </c>
      <c r="F688" s="57">
        <f t="shared" ref="F688:K688" si="503">IF(INDEX(MBSDecRate,$C676,2)=2,IFERROR(INDEX(RPBSScriptsChanged,$C688,F685),0),IFERROR(INDEX(MBSRPBSDec,$C676,INDEX(MBSDecRate,$C676,3)*7+F685),0) * IFERROR(INDEX(MBSDecPopSplit,$C676),0)) * INDEX(MBSDecRate,$C676,1) * INDEX(MBSDecRate,$C676,4)</f>
        <v>0</v>
      </c>
      <c r="G688" s="57">
        <f t="shared" si="503"/>
        <v>0</v>
      </c>
      <c r="H688" s="57">
        <f t="shared" si="503"/>
        <v>0</v>
      </c>
      <c r="I688" s="57">
        <f t="shared" si="503"/>
        <v>0</v>
      </c>
      <c r="J688" s="57">
        <f t="shared" si="503"/>
        <v>0</v>
      </c>
      <c r="K688" s="57">
        <f t="shared" si="503"/>
        <v>0</v>
      </c>
      <c r="N688" s="344"/>
      <c r="O688" s="360"/>
      <c r="P688" s="360"/>
      <c r="AB688" s="469"/>
    </row>
    <row r="689" spans="1:28" hidden="1" outlineLevel="2" x14ac:dyDescent="0.2">
      <c r="B689" s="209">
        <v>5</v>
      </c>
      <c r="C689" s="209">
        <v>6</v>
      </c>
      <c r="E689" s="358" t="s">
        <v>1294</v>
      </c>
      <c r="F689" s="57" t="str">
        <f t="shared" ref="F689:K689" si="504">IFERROR(F688*INDEX(MBSDecItems,$C676,$B689)*INDEX(MBSDecItems,$C676,$C689),"")</f>
        <v/>
      </c>
      <c r="G689" s="57" t="str">
        <f t="shared" si="504"/>
        <v/>
      </c>
      <c r="H689" s="57" t="str">
        <f t="shared" si="504"/>
        <v/>
      </c>
      <c r="I689" s="57" t="str">
        <f t="shared" si="504"/>
        <v/>
      </c>
      <c r="J689" s="57" t="str">
        <f t="shared" si="504"/>
        <v/>
      </c>
      <c r="K689" s="57" t="str">
        <f t="shared" si="504"/>
        <v/>
      </c>
      <c r="M689" s="474"/>
      <c r="N689" s="344"/>
      <c r="O689" s="360"/>
      <c r="P689" s="360"/>
    </row>
    <row r="690" spans="1:28" hidden="1" outlineLevel="2" x14ac:dyDescent="0.2">
      <c r="B690" s="209">
        <v>4</v>
      </c>
      <c r="C690" s="209">
        <v>6</v>
      </c>
      <c r="E690" s="358" t="s">
        <v>1293</v>
      </c>
      <c r="F690" s="57" t="str">
        <f t="shared" ref="F690:K690" si="505">IFERROR(F688*INDEX(MBSDecItems,$C676,$B690)*INDEX(MBSDecItems,$C676,$C690),"")</f>
        <v/>
      </c>
      <c r="G690" s="57" t="str">
        <f t="shared" si="505"/>
        <v/>
      </c>
      <c r="H690" s="57" t="str">
        <f t="shared" si="505"/>
        <v/>
      </c>
      <c r="I690" s="57" t="str">
        <f t="shared" si="505"/>
        <v/>
      </c>
      <c r="J690" s="57" t="str">
        <f t="shared" si="505"/>
        <v/>
      </c>
      <c r="K690" s="57" t="str">
        <f t="shared" si="505"/>
        <v/>
      </c>
      <c r="M690" s="475"/>
      <c r="N690" s="473"/>
      <c r="O690" s="360"/>
      <c r="P690" s="360"/>
    </row>
    <row r="691" spans="1:28" hidden="1" outlineLevel="2" x14ac:dyDescent="0.2">
      <c r="B691" s="209"/>
      <c r="C691" s="209">
        <v>7</v>
      </c>
      <c r="E691" s="359" t="s">
        <v>1295</v>
      </c>
      <c r="F691" s="57" t="str">
        <f t="shared" ref="F691:K691" si="506">IFERROR(F688*INDEX(MBSDecItems,$C676,$C691),"")</f>
        <v/>
      </c>
      <c r="G691" s="57" t="str">
        <f t="shared" si="506"/>
        <v/>
      </c>
      <c r="H691" s="57" t="str">
        <f t="shared" si="506"/>
        <v/>
      </c>
      <c r="I691" s="57" t="str">
        <f t="shared" si="506"/>
        <v/>
      </c>
      <c r="J691" s="57" t="str">
        <f t="shared" si="506"/>
        <v/>
      </c>
      <c r="K691" s="57" t="str">
        <f t="shared" si="506"/>
        <v/>
      </c>
      <c r="M691" s="475"/>
      <c r="N691" s="473"/>
      <c r="O691" s="360"/>
      <c r="P691" s="360"/>
    </row>
    <row r="692" spans="1:28" outlineLevel="1" collapsed="1" x14ac:dyDescent="0.2">
      <c r="D692" s="360"/>
      <c r="E692" s="360"/>
      <c r="N692" s="360"/>
      <c r="O692" s="360"/>
      <c r="P692" s="360"/>
    </row>
    <row r="693" spans="1:28" ht="15.75" outlineLevel="1" x14ac:dyDescent="0.2">
      <c r="C693" s="209">
        <v>12</v>
      </c>
      <c r="D693" s="72" t="str">
        <f>INDEX(MBSDecNames,C693)</f>
        <v>** NOT USED **</v>
      </c>
      <c r="E693" s="72"/>
      <c r="F693" s="105"/>
      <c r="G693" s="105"/>
      <c r="H693" s="105"/>
      <c r="I693" s="105"/>
      <c r="J693" s="588" t="str">
        <f>IF(D693&lt;&gt;MsgNotUsed,"Co-payment group " &amp; K522,"")</f>
        <v/>
      </c>
      <c r="K693" s="588"/>
      <c r="L693" s="105"/>
      <c r="M693" s="105"/>
      <c r="N693" s="105"/>
      <c r="O693" s="105"/>
      <c r="P693" s="105"/>
      <c r="Q693" s="105"/>
      <c r="R693" s="105"/>
      <c r="S693" s="105"/>
      <c r="T693" s="105"/>
      <c r="U693" s="105"/>
      <c r="V693" s="105"/>
    </row>
    <row r="694" spans="1:28" hidden="1" outlineLevel="2" x14ac:dyDescent="0.2">
      <c r="F694" s="357">
        <v>2</v>
      </c>
      <c r="G694" s="357">
        <v>3</v>
      </c>
      <c r="H694" s="357">
        <v>4</v>
      </c>
      <c r="I694" s="357">
        <v>5</v>
      </c>
      <c r="J694" s="357">
        <v>6</v>
      </c>
      <c r="K694" s="357">
        <v>7</v>
      </c>
      <c r="L694" s="357"/>
    </row>
    <row r="695" spans="1:28" ht="15" hidden="1" outlineLevel="2" x14ac:dyDescent="0.2">
      <c r="D695" s="462" t="s">
        <v>0</v>
      </c>
      <c r="E695" s="462"/>
      <c r="F695" s="74">
        <f>FirstYear</f>
        <v>2026</v>
      </c>
      <c r="G695" s="74">
        <f>F695+1</f>
        <v>2027</v>
      </c>
      <c r="H695" s="74">
        <f>G695+1</f>
        <v>2028</v>
      </c>
      <c r="I695" s="74">
        <f>H695+1</f>
        <v>2029</v>
      </c>
      <c r="J695" s="74">
        <f>I695+1</f>
        <v>2030</v>
      </c>
      <c r="K695" s="74">
        <f>J695+1</f>
        <v>2031</v>
      </c>
      <c r="N695" s="470"/>
      <c r="O695" s="470"/>
      <c r="P695" s="470"/>
      <c r="Q695" s="223"/>
      <c r="R695" s="223"/>
      <c r="S695" s="223"/>
      <c r="T695" s="223"/>
      <c r="U695" s="223"/>
      <c r="V695" s="223"/>
      <c r="X695" s="223"/>
      <c r="Y695" s="223"/>
      <c r="Z695" s="223"/>
      <c r="AA695" s="223"/>
    </row>
    <row r="696" spans="1:28" hidden="1" outlineLevel="2" collapsed="1" x14ac:dyDescent="0.2">
      <c r="E696" s="82" t="s">
        <v>938</v>
      </c>
      <c r="F696" s="239">
        <f t="shared" ref="F696:K696" si="507">F697*INDEX(MBSDecCalc,$C693,3)</f>
        <v>0</v>
      </c>
      <c r="G696" s="239">
        <f t="shared" si="507"/>
        <v>0</v>
      </c>
      <c r="H696" s="239">
        <f t="shared" si="507"/>
        <v>0</v>
      </c>
      <c r="I696" s="239">
        <f t="shared" si="507"/>
        <v>0</v>
      </c>
      <c r="J696" s="239">
        <f t="shared" si="507"/>
        <v>0</v>
      </c>
      <c r="K696" s="239">
        <f t="shared" si="507"/>
        <v>0</v>
      </c>
      <c r="M696" s="471"/>
      <c r="N696" s="463"/>
      <c r="O696" s="463"/>
      <c r="P696" s="463"/>
      <c r="Q696" s="472"/>
      <c r="R696" s="472"/>
      <c r="S696" s="472"/>
      <c r="T696" s="472"/>
      <c r="U696" s="472"/>
      <c r="V696" s="472"/>
      <c r="X696" s="402">
        <f>INDEX(MBSDecItems,C693,1)</f>
        <v>0</v>
      </c>
      <c r="Y696" s="402">
        <f>FirstYear</f>
        <v>2026</v>
      </c>
      <c r="Z696" s="401">
        <f>IF(F697&lt;&gt;0,F697-F699,0)</f>
        <v>0</v>
      </c>
      <c r="AA696" s="401">
        <f>IF(F705&lt;&gt;0,F705-F707,0)</f>
        <v>0</v>
      </c>
    </row>
    <row r="697" spans="1:28" hidden="1" outlineLevel="2" x14ac:dyDescent="0.2">
      <c r="B697" s="468"/>
      <c r="C697" s="209" t="str">
        <f>INDEX(MBSDecCalc,C693,2)</f>
        <v/>
      </c>
      <c r="E697" s="56" t="s">
        <v>1297</v>
      </c>
      <c r="F697" s="57">
        <f t="shared" ref="F697:K697" si="508">IF(INDEX(MBSDecRate,$C693,2)=2,IFERROR(INDEX(PBSScriptsChanged,$C697,F694),0),IFERROR(INDEX(MBSPBSDec,$C693,INDEX(MBSDecRate,$C693,3)*7+F694),0) * IFERROR(INDEX(MBSDecPopSplit,$C693),0)) * INDEX(MBSDecRate,$C693,1) * INDEX(MBSDecRate,$C693,4)</f>
        <v>0</v>
      </c>
      <c r="G697" s="57">
        <f t="shared" si="508"/>
        <v>0</v>
      </c>
      <c r="H697" s="57">
        <f t="shared" si="508"/>
        <v>0</v>
      </c>
      <c r="I697" s="57">
        <f t="shared" si="508"/>
        <v>0</v>
      </c>
      <c r="J697" s="57">
        <f t="shared" si="508"/>
        <v>0</v>
      </c>
      <c r="K697" s="57">
        <f t="shared" si="508"/>
        <v>0</v>
      </c>
      <c r="O697" s="463"/>
      <c r="P697" s="463"/>
      <c r="Q697" s="472"/>
      <c r="R697" s="472"/>
      <c r="S697" s="472"/>
      <c r="T697" s="472"/>
      <c r="U697" s="472"/>
      <c r="V697" s="472"/>
      <c r="X697" s="402">
        <f>X696</f>
        <v>0</v>
      </c>
      <c r="Y697" s="402">
        <f>Y696+1</f>
        <v>2027</v>
      </c>
      <c r="Z697" s="401">
        <f>IF(G697&lt;&gt;0,G697-G699,0)</f>
        <v>0</v>
      </c>
      <c r="AA697" s="401">
        <f>IF(G705&lt;&gt;0,G705-G707,0)</f>
        <v>0</v>
      </c>
    </row>
    <row r="698" spans="1:28" hidden="1" outlineLevel="2" x14ac:dyDescent="0.2">
      <c r="B698" s="209">
        <v>5</v>
      </c>
      <c r="C698" s="209">
        <v>6</v>
      </c>
      <c r="E698" s="358" t="s">
        <v>1294</v>
      </c>
      <c r="F698" s="57" t="str">
        <f t="shared" ref="F698:K698" si="509">IFERROR(F697*INDEX(MBSDecItems,$C693,$B698)*INDEX(MBSDecItems,$C693,$C698),"")</f>
        <v/>
      </c>
      <c r="G698" s="57" t="str">
        <f t="shared" si="509"/>
        <v/>
      </c>
      <c r="H698" s="57" t="str">
        <f t="shared" si="509"/>
        <v/>
      </c>
      <c r="I698" s="57" t="str">
        <f t="shared" si="509"/>
        <v/>
      </c>
      <c r="J698" s="57" t="str">
        <f t="shared" si="509"/>
        <v/>
      </c>
      <c r="K698" s="57" t="str">
        <f t="shared" si="509"/>
        <v/>
      </c>
      <c r="O698" s="473"/>
      <c r="P698" s="514"/>
      <c r="Q698" s="472"/>
      <c r="R698" s="472"/>
      <c r="S698" s="472"/>
      <c r="T698" s="472"/>
      <c r="U698" s="472"/>
      <c r="V698" s="472"/>
      <c r="X698" s="402">
        <f t="shared" ref="X698:X701" si="510">X697</f>
        <v>0</v>
      </c>
      <c r="Y698" s="402">
        <f>Y697+1</f>
        <v>2028</v>
      </c>
      <c r="Z698" s="401">
        <f>IF(H697&lt;&gt;0,H697-H699,0)</f>
        <v>0</v>
      </c>
      <c r="AA698" s="401">
        <f>IF(H705&lt;&gt;0,H705-H707,0)</f>
        <v>0</v>
      </c>
    </row>
    <row r="699" spans="1:28" hidden="1" outlineLevel="2" x14ac:dyDescent="0.2">
      <c r="A699"/>
      <c r="B699" s="209">
        <v>4</v>
      </c>
      <c r="C699" s="209">
        <v>6</v>
      </c>
      <c r="E699" s="358" t="s">
        <v>1293</v>
      </c>
      <c r="F699" s="57" t="str">
        <f t="shared" ref="F699:K699" si="511">IFERROR(F697*INDEX(MBSDecItems,$C693,$B699)*INDEX(MBSDecItems,$C693,$C699),"")</f>
        <v/>
      </c>
      <c r="G699" s="57" t="str">
        <f t="shared" si="511"/>
        <v/>
      </c>
      <c r="H699" s="57" t="str">
        <f t="shared" si="511"/>
        <v/>
      </c>
      <c r="I699" s="57" t="str">
        <f t="shared" si="511"/>
        <v/>
      </c>
      <c r="J699" s="57" t="str">
        <f t="shared" si="511"/>
        <v/>
      </c>
      <c r="K699" s="57" t="str">
        <f t="shared" si="511"/>
        <v/>
      </c>
      <c r="L699"/>
      <c r="M699"/>
      <c r="N699"/>
      <c r="O699"/>
      <c r="P699"/>
      <c r="Q699"/>
      <c r="R699"/>
      <c r="S699"/>
      <c r="T699"/>
      <c r="U699"/>
      <c r="V699"/>
      <c r="X699" s="402">
        <f t="shared" si="510"/>
        <v>0</v>
      </c>
      <c r="Y699" s="402">
        <f>Y698+1</f>
        <v>2029</v>
      </c>
      <c r="Z699" s="401">
        <f>IF(I697&lt;&gt;0,I697-I699,0)</f>
        <v>0</v>
      </c>
      <c r="AA699" s="401">
        <f>IF(I705&lt;&gt;0,I705-I707,0)</f>
        <v>0</v>
      </c>
      <c r="AB699" s="223"/>
    </row>
    <row r="700" spans="1:28" hidden="1" outlineLevel="2" x14ac:dyDescent="0.2">
      <c r="B700" s="209"/>
      <c r="C700" s="209">
        <v>7</v>
      </c>
      <c r="E700" s="359" t="s">
        <v>1295</v>
      </c>
      <c r="F700" s="57" t="str">
        <f t="shared" ref="F700:K700" si="512">IFERROR(F697*INDEX(MBSDecItems,$C693,$C700),"")</f>
        <v/>
      </c>
      <c r="G700" s="57" t="str">
        <f t="shared" si="512"/>
        <v/>
      </c>
      <c r="H700" s="57" t="str">
        <f t="shared" si="512"/>
        <v/>
      </c>
      <c r="I700" s="57" t="str">
        <f t="shared" si="512"/>
        <v/>
      </c>
      <c r="J700" s="57" t="str">
        <f t="shared" si="512"/>
        <v/>
      </c>
      <c r="K700" s="57" t="str">
        <f t="shared" si="512"/>
        <v/>
      </c>
      <c r="O700" s="473"/>
      <c r="P700" s="514"/>
      <c r="Q700" s="472"/>
      <c r="R700" s="472"/>
      <c r="S700" s="472"/>
      <c r="T700" s="472"/>
      <c r="U700" s="472"/>
      <c r="V700" s="472"/>
      <c r="X700" s="402">
        <f t="shared" si="510"/>
        <v>0</v>
      </c>
      <c r="Y700" s="402">
        <f>Y699+1</f>
        <v>2030</v>
      </c>
      <c r="Z700" s="401">
        <f>IF(J697&lt;&gt;0,J697-J699,0)</f>
        <v>0</v>
      </c>
      <c r="AA700" s="401">
        <f>IF(J705&lt;&gt;0,J705-J707,0)</f>
        <v>0</v>
      </c>
      <c r="AB700" s="223"/>
    </row>
    <row r="701" spans="1:28" hidden="1" outlineLevel="2" x14ac:dyDescent="0.2">
      <c r="O701" s="473"/>
      <c r="P701" s="473"/>
      <c r="Q701" s="472"/>
      <c r="R701" s="472"/>
      <c r="S701" s="472"/>
      <c r="T701" s="472"/>
      <c r="U701" s="472"/>
      <c r="V701" s="472"/>
      <c r="X701" s="402">
        <f t="shared" si="510"/>
        <v>0</v>
      </c>
      <c r="Y701" s="402">
        <f>Y700+1</f>
        <v>2031</v>
      </c>
      <c r="Z701" s="401">
        <f>IF(K697&lt;&gt;0,K697-K699,0)</f>
        <v>0</v>
      </c>
      <c r="AA701" s="401">
        <f>IF(K705&lt;&gt;0,K705-K707,0)</f>
        <v>0</v>
      </c>
      <c r="AB701" s="469"/>
    </row>
    <row r="702" spans="1:28" hidden="1" outlineLevel="2" x14ac:dyDescent="0.2">
      <c r="D702" s="360"/>
      <c r="E702" s="360"/>
      <c r="F702" s="357">
        <v>2</v>
      </c>
      <c r="G702" s="357">
        <v>3</v>
      </c>
      <c r="H702" s="357">
        <v>4</v>
      </c>
      <c r="I702" s="357">
        <v>5</v>
      </c>
      <c r="J702" s="357">
        <v>6</v>
      </c>
      <c r="K702" s="357">
        <v>7</v>
      </c>
      <c r="N702" s="360"/>
      <c r="O702" s="360"/>
      <c r="P702" s="360"/>
      <c r="AB702" s="469"/>
    </row>
    <row r="703" spans="1:28" ht="15.75" hidden="1" outlineLevel="2" x14ac:dyDescent="0.2">
      <c r="D703" s="462" t="s">
        <v>1</v>
      </c>
      <c r="E703" s="462"/>
      <c r="F703" s="74">
        <f>FirstYear</f>
        <v>2026</v>
      </c>
      <c r="G703" s="74">
        <f>F703+1</f>
        <v>2027</v>
      </c>
      <c r="H703" s="74">
        <f>G703+1</f>
        <v>2028</v>
      </c>
      <c r="I703" s="74">
        <f>H703+1</f>
        <v>2029</v>
      </c>
      <c r="J703" s="74">
        <f>I703+1</f>
        <v>2030</v>
      </c>
      <c r="K703" s="74">
        <f>J703+1</f>
        <v>2031</v>
      </c>
      <c r="N703" s="466"/>
      <c r="O703" s="466"/>
      <c r="P703" s="466"/>
      <c r="AB703" s="469"/>
    </row>
    <row r="704" spans="1:28" hidden="1" outlineLevel="2" x14ac:dyDescent="0.2">
      <c r="E704" s="82" t="s">
        <v>938</v>
      </c>
      <c r="F704" s="239">
        <f t="shared" ref="F704:K704" si="513">F705*INDEX(MBSDecCalc,$C693,3)</f>
        <v>0</v>
      </c>
      <c r="G704" s="239">
        <f t="shared" si="513"/>
        <v>0</v>
      </c>
      <c r="H704" s="239">
        <f t="shared" si="513"/>
        <v>0</v>
      </c>
      <c r="I704" s="239">
        <f t="shared" si="513"/>
        <v>0</v>
      </c>
      <c r="J704" s="239">
        <f t="shared" si="513"/>
        <v>0</v>
      </c>
      <c r="K704" s="239">
        <f t="shared" si="513"/>
        <v>0</v>
      </c>
      <c r="M704"/>
      <c r="N704"/>
      <c r="O704" s="360"/>
      <c r="P704" s="360"/>
      <c r="AB704" s="469"/>
    </row>
    <row r="705" spans="1:28" hidden="1" outlineLevel="2" x14ac:dyDescent="0.2">
      <c r="B705" s="468"/>
      <c r="C705" s="209" t="str">
        <f>C697</f>
        <v/>
      </c>
      <c r="E705" s="56" t="s">
        <v>1297</v>
      </c>
      <c r="F705" s="57">
        <f t="shared" ref="F705:K705" si="514">IF(INDEX(MBSDecRate,$C693,2)=2,IFERROR(INDEX(RPBSScriptsChanged,$C705,F702),0),IFERROR(INDEX(MBSRPBSDec,$C693,INDEX(MBSDecRate,$C693,3)*7+F702),0) * IFERROR(INDEX(MBSDecPopSplit,$C693),0)) * INDEX(MBSDecRate,$C693,1) * INDEX(MBSDecRate,$C693,4)</f>
        <v>0</v>
      </c>
      <c r="G705" s="57">
        <f t="shared" si="514"/>
        <v>0</v>
      </c>
      <c r="H705" s="57">
        <f t="shared" si="514"/>
        <v>0</v>
      </c>
      <c r="I705" s="57">
        <f t="shared" si="514"/>
        <v>0</v>
      </c>
      <c r="J705" s="57">
        <f t="shared" si="514"/>
        <v>0</v>
      </c>
      <c r="K705" s="57">
        <f t="shared" si="514"/>
        <v>0</v>
      </c>
      <c r="N705" s="344"/>
      <c r="O705" s="360"/>
      <c r="P705" s="360"/>
      <c r="AB705" s="469"/>
    </row>
    <row r="706" spans="1:28" hidden="1" outlineLevel="2" x14ac:dyDescent="0.2">
      <c r="B706" s="209">
        <v>5</v>
      </c>
      <c r="C706" s="209">
        <v>6</v>
      </c>
      <c r="E706" s="358" t="s">
        <v>1294</v>
      </c>
      <c r="F706" s="57" t="str">
        <f t="shared" ref="F706:K706" si="515">IFERROR(F705*INDEX(MBSDecItems,$C693,$B706)*INDEX(MBSDecItems,$C693,$C706),"")</f>
        <v/>
      </c>
      <c r="G706" s="57" t="str">
        <f t="shared" si="515"/>
        <v/>
      </c>
      <c r="H706" s="57" t="str">
        <f t="shared" si="515"/>
        <v/>
      </c>
      <c r="I706" s="57" t="str">
        <f t="shared" si="515"/>
        <v/>
      </c>
      <c r="J706" s="57" t="str">
        <f t="shared" si="515"/>
        <v/>
      </c>
      <c r="K706" s="57" t="str">
        <f t="shared" si="515"/>
        <v/>
      </c>
      <c r="M706" s="474"/>
      <c r="N706" s="344"/>
      <c r="O706" s="360"/>
      <c r="P706" s="360"/>
    </row>
    <row r="707" spans="1:28" hidden="1" outlineLevel="2" x14ac:dyDescent="0.2">
      <c r="B707" s="209">
        <v>4</v>
      </c>
      <c r="C707" s="209">
        <v>6</v>
      </c>
      <c r="E707" s="358" t="s">
        <v>1293</v>
      </c>
      <c r="F707" s="57" t="str">
        <f t="shared" ref="F707:K707" si="516">IFERROR(F705*INDEX(MBSDecItems,$C693,$B707)*INDEX(MBSDecItems,$C693,$C707),"")</f>
        <v/>
      </c>
      <c r="G707" s="57" t="str">
        <f t="shared" si="516"/>
        <v/>
      </c>
      <c r="H707" s="57" t="str">
        <f t="shared" si="516"/>
        <v/>
      </c>
      <c r="I707" s="57" t="str">
        <f t="shared" si="516"/>
        <v/>
      </c>
      <c r="J707" s="57" t="str">
        <f t="shared" si="516"/>
        <v/>
      </c>
      <c r="K707" s="57" t="str">
        <f t="shared" si="516"/>
        <v/>
      </c>
      <c r="M707" s="475"/>
      <c r="N707" s="473"/>
      <c r="O707" s="360"/>
      <c r="P707" s="360"/>
    </row>
    <row r="708" spans="1:28" hidden="1" outlineLevel="2" x14ac:dyDescent="0.2">
      <c r="B708" s="209"/>
      <c r="C708" s="209">
        <v>7</v>
      </c>
      <c r="E708" s="359" t="s">
        <v>1295</v>
      </c>
      <c r="F708" s="57" t="str">
        <f t="shared" ref="F708:K708" si="517">IFERROR(F705*INDEX(MBSDecItems,$C693,$C708),"")</f>
        <v/>
      </c>
      <c r="G708" s="57" t="str">
        <f t="shared" si="517"/>
        <v/>
      </c>
      <c r="H708" s="57" t="str">
        <f t="shared" si="517"/>
        <v/>
      </c>
      <c r="I708" s="57" t="str">
        <f t="shared" si="517"/>
        <v/>
      </c>
      <c r="J708" s="57" t="str">
        <f t="shared" si="517"/>
        <v/>
      </c>
      <c r="K708" s="57" t="str">
        <f t="shared" si="517"/>
        <v/>
      </c>
      <c r="M708" s="475"/>
      <c r="N708" s="473"/>
      <c r="O708" s="360"/>
      <c r="P708" s="360"/>
    </row>
    <row r="709" spans="1:28" outlineLevel="1" collapsed="1" x14ac:dyDescent="0.2">
      <c r="D709" s="360"/>
      <c r="E709" s="360"/>
      <c r="N709" s="360"/>
      <c r="O709" s="360"/>
      <c r="P709" s="360"/>
    </row>
    <row r="710" spans="1:28" ht="15.75" outlineLevel="1" x14ac:dyDescent="0.2">
      <c r="C710" s="209">
        <v>13</v>
      </c>
      <c r="D710" s="72" t="str">
        <f>INDEX(MBSDecNames,C710)</f>
        <v>** NOT USED **</v>
      </c>
      <c r="E710" s="72"/>
      <c r="F710" s="105"/>
      <c r="G710" s="105"/>
      <c r="H710" s="105"/>
      <c r="I710" s="105"/>
      <c r="J710" s="588" t="str">
        <f>IF(D710&lt;&gt;MsgNotUsed,"Co-payment group " &amp; K539,"")</f>
        <v/>
      </c>
      <c r="K710" s="588"/>
      <c r="L710" s="105"/>
      <c r="M710" s="105"/>
      <c r="N710" s="105"/>
      <c r="O710" s="105"/>
      <c r="P710" s="105"/>
      <c r="Q710" s="105"/>
      <c r="R710" s="105"/>
      <c r="S710" s="105"/>
      <c r="T710" s="105"/>
      <c r="U710" s="105"/>
      <c r="V710" s="105"/>
    </row>
    <row r="711" spans="1:28" hidden="1" outlineLevel="2" x14ac:dyDescent="0.2">
      <c r="F711" s="357">
        <v>2</v>
      </c>
      <c r="G711" s="357">
        <v>3</v>
      </c>
      <c r="H711" s="357">
        <v>4</v>
      </c>
      <c r="I711" s="357">
        <v>5</v>
      </c>
      <c r="J711" s="357">
        <v>6</v>
      </c>
      <c r="K711" s="357">
        <v>7</v>
      </c>
      <c r="L711" s="357"/>
    </row>
    <row r="712" spans="1:28" ht="15" hidden="1" outlineLevel="2" x14ac:dyDescent="0.2">
      <c r="D712" s="462" t="s">
        <v>0</v>
      </c>
      <c r="E712" s="462"/>
      <c r="F712" s="74">
        <f>FirstYear</f>
        <v>2026</v>
      </c>
      <c r="G712" s="74">
        <f>F712+1</f>
        <v>2027</v>
      </c>
      <c r="H712" s="74">
        <f>G712+1</f>
        <v>2028</v>
      </c>
      <c r="I712" s="74">
        <f>H712+1</f>
        <v>2029</v>
      </c>
      <c r="J712" s="74">
        <f>I712+1</f>
        <v>2030</v>
      </c>
      <c r="K712" s="74">
        <f>J712+1</f>
        <v>2031</v>
      </c>
      <c r="N712" s="470"/>
      <c r="O712" s="470"/>
      <c r="P712" s="470"/>
      <c r="Q712" s="223"/>
      <c r="R712" s="223"/>
      <c r="S712" s="223"/>
      <c r="T712" s="223"/>
      <c r="U712" s="223"/>
      <c r="V712" s="223"/>
      <c r="X712" s="223"/>
      <c r="Y712" s="223"/>
      <c r="Z712" s="223"/>
      <c r="AA712" s="223"/>
    </row>
    <row r="713" spans="1:28" hidden="1" outlineLevel="2" collapsed="1" x14ac:dyDescent="0.2">
      <c r="E713" s="82" t="s">
        <v>938</v>
      </c>
      <c r="F713" s="239">
        <f t="shared" ref="F713:K713" si="518">F714*INDEX(MBSDecCalc,$C710,3)</f>
        <v>0</v>
      </c>
      <c r="G713" s="239">
        <f t="shared" si="518"/>
        <v>0</v>
      </c>
      <c r="H713" s="239">
        <f t="shared" si="518"/>
        <v>0</v>
      </c>
      <c r="I713" s="239">
        <f t="shared" si="518"/>
        <v>0</v>
      </c>
      <c r="J713" s="239">
        <f t="shared" si="518"/>
        <v>0</v>
      </c>
      <c r="K713" s="239">
        <f t="shared" si="518"/>
        <v>0</v>
      </c>
      <c r="M713" s="471"/>
      <c r="N713" s="463"/>
      <c r="O713" s="463"/>
      <c r="P713" s="463"/>
      <c r="Q713" s="472"/>
      <c r="R713" s="472"/>
      <c r="S713" s="472"/>
      <c r="T713" s="472"/>
      <c r="U713" s="472"/>
      <c r="V713" s="472"/>
      <c r="X713" s="402">
        <f>INDEX(MBSDecItems,C710,1)</f>
        <v>0</v>
      </c>
      <c r="Y713" s="402">
        <f>FirstYear</f>
        <v>2026</v>
      </c>
      <c r="Z713" s="401">
        <f>IF(F714&lt;&gt;0,F714-F716,0)</f>
        <v>0</v>
      </c>
      <c r="AA713" s="401">
        <f>IF(F722&lt;&gt;0,F722-F724,0)</f>
        <v>0</v>
      </c>
    </row>
    <row r="714" spans="1:28" hidden="1" outlineLevel="2" x14ac:dyDescent="0.2">
      <c r="B714" s="468"/>
      <c r="C714" s="209" t="str">
        <f>INDEX(MBSDecCalc,C710,2)</f>
        <v/>
      </c>
      <c r="E714" s="56" t="s">
        <v>1297</v>
      </c>
      <c r="F714" s="57">
        <f t="shared" ref="F714:K714" si="519">IF(INDEX(MBSDecRate,$C710,2)=2,IFERROR(INDEX(PBSScriptsChanged,$C714,F711),0),IFERROR(INDEX(MBSPBSDec,$C710,INDEX(MBSDecRate,$C710,3)*7+F711),0) * IFERROR(INDEX(MBSDecPopSplit,$C710),0)) * INDEX(MBSDecRate,$C710,1) * INDEX(MBSDecRate,$C710,4)</f>
        <v>0</v>
      </c>
      <c r="G714" s="57">
        <f t="shared" si="519"/>
        <v>0</v>
      </c>
      <c r="H714" s="57">
        <f t="shared" si="519"/>
        <v>0</v>
      </c>
      <c r="I714" s="57">
        <f t="shared" si="519"/>
        <v>0</v>
      </c>
      <c r="J714" s="57">
        <f t="shared" si="519"/>
        <v>0</v>
      </c>
      <c r="K714" s="57">
        <f t="shared" si="519"/>
        <v>0</v>
      </c>
      <c r="O714" s="463"/>
      <c r="P714" s="463"/>
      <c r="Q714" s="472"/>
      <c r="R714" s="472"/>
      <c r="S714" s="472"/>
      <c r="T714" s="472"/>
      <c r="U714" s="472"/>
      <c r="V714" s="472"/>
      <c r="X714" s="402">
        <f>X713</f>
        <v>0</v>
      </c>
      <c r="Y714" s="402">
        <f>Y713+1</f>
        <v>2027</v>
      </c>
      <c r="Z714" s="401">
        <f>IF(G714&lt;&gt;0,G714-G716,0)</f>
        <v>0</v>
      </c>
      <c r="AA714" s="401">
        <f>IF(G722&lt;&gt;0,G722-G724,0)</f>
        <v>0</v>
      </c>
    </row>
    <row r="715" spans="1:28" hidden="1" outlineLevel="2" x14ac:dyDescent="0.2">
      <c r="B715" s="209">
        <v>5</v>
      </c>
      <c r="C715" s="209">
        <v>6</v>
      </c>
      <c r="E715" s="358" t="s">
        <v>1294</v>
      </c>
      <c r="F715" s="57" t="str">
        <f t="shared" ref="F715:K715" si="520">IFERROR(F714*INDEX(MBSDecItems,$C710,$B715)*INDEX(MBSDecItems,$C710,$C715),"")</f>
        <v/>
      </c>
      <c r="G715" s="57" t="str">
        <f t="shared" si="520"/>
        <v/>
      </c>
      <c r="H715" s="57" t="str">
        <f t="shared" si="520"/>
        <v/>
      </c>
      <c r="I715" s="57" t="str">
        <f t="shared" si="520"/>
        <v/>
      </c>
      <c r="J715" s="57" t="str">
        <f t="shared" si="520"/>
        <v/>
      </c>
      <c r="K715" s="57" t="str">
        <f t="shared" si="520"/>
        <v/>
      </c>
      <c r="O715" s="473"/>
      <c r="P715" s="514"/>
      <c r="Q715" s="472"/>
      <c r="R715" s="472"/>
      <c r="S715" s="472"/>
      <c r="T715" s="472"/>
      <c r="U715" s="472"/>
      <c r="V715" s="472"/>
      <c r="X715" s="402">
        <f t="shared" ref="X715:X718" si="521">X714</f>
        <v>0</v>
      </c>
      <c r="Y715" s="402">
        <f>Y714+1</f>
        <v>2028</v>
      </c>
      <c r="Z715" s="401">
        <f>IF(H714&lt;&gt;0,H714-H716,0)</f>
        <v>0</v>
      </c>
      <c r="AA715" s="401">
        <f>IF(H722&lt;&gt;0,H722-H724,0)</f>
        <v>0</v>
      </c>
    </row>
    <row r="716" spans="1:28" hidden="1" outlineLevel="2" x14ac:dyDescent="0.2">
      <c r="A716"/>
      <c r="B716" s="209">
        <v>4</v>
      </c>
      <c r="C716" s="209">
        <v>6</v>
      </c>
      <c r="E716" s="358" t="s">
        <v>1293</v>
      </c>
      <c r="F716" s="57" t="str">
        <f t="shared" ref="F716:K716" si="522">IFERROR(F714*INDEX(MBSDecItems,$C710,$B716)*INDEX(MBSDecItems,$C710,$C716),"")</f>
        <v/>
      </c>
      <c r="G716" s="57" t="str">
        <f t="shared" si="522"/>
        <v/>
      </c>
      <c r="H716" s="57" t="str">
        <f t="shared" si="522"/>
        <v/>
      </c>
      <c r="I716" s="57" t="str">
        <f t="shared" si="522"/>
        <v/>
      </c>
      <c r="J716" s="57" t="str">
        <f t="shared" si="522"/>
        <v/>
      </c>
      <c r="K716" s="57" t="str">
        <f t="shared" si="522"/>
        <v/>
      </c>
      <c r="L716"/>
      <c r="M716"/>
      <c r="N716"/>
      <c r="O716"/>
      <c r="P716"/>
      <c r="Q716"/>
      <c r="R716"/>
      <c r="S716"/>
      <c r="T716"/>
      <c r="U716"/>
      <c r="V716"/>
      <c r="X716" s="402">
        <f t="shared" si="521"/>
        <v>0</v>
      </c>
      <c r="Y716" s="402">
        <f>Y715+1</f>
        <v>2029</v>
      </c>
      <c r="Z716" s="401">
        <f>IF(I714&lt;&gt;0,I714-I716,0)</f>
        <v>0</v>
      </c>
      <c r="AA716" s="401">
        <f>IF(I722&lt;&gt;0,I722-I724,0)</f>
        <v>0</v>
      </c>
      <c r="AB716" s="223"/>
    </row>
    <row r="717" spans="1:28" hidden="1" outlineLevel="2" x14ac:dyDescent="0.2">
      <c r="B717" s="209"/>
      <c r="C717" s="209">
        <v>7</v>
      </c>
      <c r="E717" s="359" t="s">
        <v>1295</v>
      </c>
      <c r="F717" s="57" t="str">
        <f t="shared" ref="F717:K717" si="523">IFERROR(F714*INDEX(MBSDecItems,$C710,$C717),"")</f>
        <v/>
      </c>
      <c r="G717" s="57" t="str">
        <f t="shared" si="523"/>
        <v/>
      </c>
      <c r="H717" s="57" t="str">
        <f t="shared" si="523"/>
        <v/>
      </c>
      <c r="I717" s="57" t="str">
        <f t="shared" si="523"/>
        <v/>
      </c>
      <c r="J717" s="57" t="str">
        <f t="shared" si="523"/>
        <v/>
      </c>
      <c r="K717" s="57" t="str">
        <f t="shared" si="523"/>
        <v/>
      </c>
      <c r="O717" s="473"/>
      <c r="P717" s="514"/>
      <c r="Q717" s="472"/>
      <c r="R717" s="472"/>
      <c r="S717" s="472"/>
      <c r="T717" s="472"/>
      <c r="U717" s="472"/>
      <c r="V717" s="472"/>
      <c r="X717" s="402">
        <f t="shared" si="521"/>
        <v>0</v>
      </c>
      <c r="Y717" s="402">
        <f>Y716+1</f>
        <v>2030</v>
      </c>
      <c r="Z717" s="401">
        <f>IF(J714&lt;&gt;0,J714-J716,0)</f>
        <v>0</v>
      </c>
      <c r="AA717" s="401">
        <f>IF(J722&lt;&gt;0,J722-J724,0)</f>
        <v>0</v>
      </c>
      <c r="AB717" s="223"/>
    </row>
    <row r="718" spans="1:28" hidden="1" outlineLevel="2" x14ac:dyDescent="0.2">
      <c r="O718" s="473"/>
      <c r="P718" s="473"/>
      <c r="Q718" s="472"/>
      <c r="R718" s="472"/>
      <c r="S718" s="472"/>
      <c r="T718" s="472"/>
      <c r="U718" s="472"/>
      <c r="V718" s="472"/>
      <c r="X718" s="402">
        <f t="shared" si="521"/>
        <v>0</v>
      </c>
      <c r="Y718" s="402">
        <f>Y717+1</f>
        <v>2031</v>
      </c>
      <c r="Z718" s="401">
        <f>IF(K714&lt;&gt;0,K714-K716,0)</f>
        <v>0</v>
      </c>
      <c r="AA718" s="401">
        <f>IF(K722&lt;&gt;0,K722-K724,0)</f>
        <v>0</v>
      </c>
      <c r="AB718" s="469"/>
    </row>
    <row r="719" spans="1:28" hidden="1" outlineLevel="2" x14ac:dyDescent="0.2">
      <c r="D719" s="360"/>
      <c r="E719" s="360"/>
      <c r="F719" s="357">
        <v>2</v>
      </c>
      <c r="G719" s="357">
        <v>3</v>
      </c>
      <c r="H719" s="357">
        <v>4</v>
      </c>
      <c r="I719" s="357">
        <v>5</v>
      </c>
      <c r="J719" s="357">
        <v>6</v>
      </c>
      <c r="K719" s="357">
        <v>7</v>
      </c>
      <c r="N719" s="360"/>
      <c r="O719" s="360"/>
      <c r="P719" s="360"/>
      <c r="AB719" s="469"/>
    </row>
    <row r="720" spans="1:28" ht="15.75" hidden="1" outlineLevel="2" x14ac:dyDescent="0.2">
      <c r="D720" s="462" t="s">
        <v>1</v>
      </c>
      <c r="E720" s="462"/>
      <c r="F720" s="74">
        <f>FirstYear</f>
        <v>2026</v>
      </c>
      <c r="G720" s="74">
        <f>F720+1</f>
        <v>2027</v>
      </c>
      <c r="H720" s="74">
        <f>G720+1</f>
        <v>2028</v>
      </c>
      <c r="I720" s="74">
        <f>H720+1</f>
        <v>2029</v>
      </c>
      <c r="J720" s="74">
        <f>I720+1</f>
        <v>2030</v>
      </c>
      <c r="K720" s="74">
        <f>J720+1</f>
        <v>2031</v>
      </c>
      <c r="N720" s="466"/>
      <c r="O720" s="466"/>
      <c r="P720" s="466"/>
      <c r="AB720" s="469"/>
    </row>
    <row r="721" spans="1:28" hidden="1" outlineLevel="2" x14ac:dyDescent="0.2">
      <c r="E721" s="82" t="s">
        <v>938</v>
      </c>
      <c r="F721" s="239">
        <f t="shared" ref="F721:K721" si="524">F722*INDEX(MBSDecCalc,$C710,3)</f>
        <v>0</v>
      </c>
      <c r="G721" s="239">
        <f t="shared" si="524"/>
        <v>0</v>
      </c>
      <c r="H721" s="239">
        <f t="shared" si="524"/>
        <v>0</v>
      </c>
      <c r="I721" s="239">
        <f t="shared" si="524"/>
        <v>0</v>
      </c>
      <c r="J721" s="239">
        <f t="shared" si="524"/>
        <v>0</v>
      </c>
      <c r="K721" s="239">
        <f t="shared" si="524"/>
        <v>0</v>
      </c>
      <c r="M721"/>
      <c r="N721"/>
      <c r="O721" s="360"/>
      <c r="P721" s="360"/>
      <c r="AB721" s="469"/>
    </row>
    <row r="722" spans="1:28" hidden="1" outlineLevel="2" x14ac:dyDescent="0.2">
      <c r="B722" s="468"/>
      <c r="C722" s="209" t="str">
        <f>C714</f>
        <v/>
      </c>
      <c r="E722" s="56" t="s">
        <v>1297</v>
      </c>
      <c r="F722" s="57">
        <f t="shared" ref="F722:K722" si="525">IF(INDEX(MBSDecRate,$C710,2)=2,IFERROR(INDEX(RPBSScriptsChanged,$C722,F719),0),IFERROR(INDEX(MBSRPBSDec,$C710,INDEX(MBSDecRate,$C710,3)*7+F719),0) * IFERROR(INDEX(MBSDecPopSplit,$C710),0)) * INDEX(MBSDecRate,$C710,1) * INDEX(MBSDecRate,$C710,4)</f>
        <v>0</v>
      </c>
      <c r="G722" s="57">
        <f t="shared" si="525"/>
        <v>0</v>
      </c>
      <c r="H722" s="57">
        <f t="shared" si="525"/>
        <v>0</v>
      </c>
      <c r="I722" s="57">
        <f t="shared" si="525"/>
        <v>0</v>
      </c>
      <c r="J722" s="57">
        <f t="shared" si="525"/>
        <v>0</v>
      </c>
      <c r="K722" s="57">
        <f t="shared" si="525"/>
        <v>0</v>
      </c>
      <c r="N722" s="344"/>
      <c r="O722" s="360"/>
      <c r="P722" s="360"/>
      <c r="AB722" s="469"/>
    </row>
    <row r="723" spans="1:28" hidden="1" outlineLevel="2" x14ac:dyDescent="0.2">
      <c r="B723" s="209">
        <v>5</v>
      </c>
      <c r="C723" s="209">
        <v>6</v>
      </c>
      <c r="E723" s="358" t="s">
        <v>1294</v>
      </c>
      <c r="F723" s="57" t="str">
        <f t="shared" ref="F723:K723" si="526">IFERROR(F722*INDEX(MBSDecItems,$C710,$B723)*INDEX(MBSDecItems,$C710,$C723),"")</f>
        <v/>
      </c>
      <c r="G723" s="57" t="str">
        <f t="shared" si="526"/>
        <v/>
      </c>
      <c r="H723" s="57" t="str">
        <f t="shared" si="526"/>
        <v/>
      </c>
      <c r="I723" s="57" t="str">
        <f t="shared" si="526"/>
        <v/>
      </c>
      <c r="J723" s="57" t="str">
        <f t="shared" si="526"/>
        <v/>
      </c>
      <c r="K723" s="57" t="str">
        <f t="shared" si="526"/>
        <v/>
      </c>
      <c r="M723" s="474"/>
      <c r="N723" s="344"/>
      <c r="O723" s="360"/>
      <c r="P723" s="360"/>
    </row>
    <row r="724" spans="1:28" hidden="1" outlineLevel="2" x14ac:dyDescent="0.2">
      <c r="B724" s="209">
        <v>4</v>
      </c>
      <c r="C724" s="209">
        <v>6</v>
      </c>
      <c r="E724" s="358" t="s">
        <v>1293</v>
      </c>
      <c r="F724" s="57" t="str">
        <f t="shared" ref="F724:K724" si="527">IFERROR(F722*INDEX(MBSDecItems,$C710,$B724)*INDEX(MBSDecItems,$C710,$C724),"")</f>
        <v/>
      </c>
      <c r="G724" s="57" t="str">
        <f t="shared" si="527"/>
        <v/>
      </c>
      <c r="H724" s="57" t="str">
        <f t="shared" si="527"/>
        <v/>
      </c>
      <c r="I724" s="57" t="str">
        <f t="shared" si="527"/>
        <v/>
      </c>
      <c r="J724" s="57" t="str">
        <f t="shared" si="527"/>
        <v/>
      </c>
      <c r="K724" s="57" t="str">
        <f t="shared" si="527"/>
        <v/>
      </c>
      <c r="M724" s="475"/>
      <c r="N724" s="473"/>
      <c r="O724" s="360"/>
      <c r="P724" s="360"/>
    </row>
    <row r="725" spans="1:28" hidden="1" outlineLevel="2" x14ac:dyDescent="0.2">
      <c r="B725" s="209"/>
      <c r="C725" s="209">
        <v>7</v>
      </c>
      <c r="E725" s="359" t="s">
        <v>1295</v>
      </c>
      <c r="F725" s="57" t="str">
        <f t="shared" ref="F725:K725" si="528">IFERROR(F722*INDEX(MBSDecItems,$C710,$C725),"")</f>
        <v/>
      </c>
      <c r="G725" s="57" t="str">
        <f t="shared" si="528"/>
        <v/>
      </c>
      <c r="H725" s="57" t="str">
        <f t="shared" si="528"/>
        <v/>
      </c>
      <c r="I725" s="57" t="str">
        <f t="shared" si="528"/>
        <v/>
      </c>
      <c r="J725" s="57" t="str">
        <f t="shared" si="528"/>
        <v/>
      </c>
      <c r="K725" s="57" t="str">
        <f t="shared" si="528"/>
        <v/>
      </c>
      <c r="M725" s="475"/>
      <c r="N725" s="473"/>
      <c r="O725" s="360"/>
      <c r="P725" s="360"/>
    </row>
    <row r="726" spans="1:28" outlineLevel="1" collapsed="1" x14ac:dyDescent="0.2">
      <c r="D726" s="360"/>
      <c r="E726" s="360"/>
      <c r="N726" s="360"/>
      <c r="O726" s="360"/>
      <c r="P726" s="360"/>
    </row>
    <row r="727" spans="1:28" ht="15.75" outlineLevel="1" x14ac:dyDescent="0.2">
      <c r="C727" s="209">
        <v>14</v>
      </c>
      <c r="D727" s="72" t="str">
        <f>INDEX(MBSDecNames,C727)</f>
        <v>** NOT USED **</v>
      </c>
      <c r="E727" s="72"/>
      <c r="F727" s="105"/>
      <c r="G727" s="105"/>
      <c r="H727" s="105"/>
      <c r="I727" s="105"/>
      <c r="J727" s="588" t="str">
        <f>IF(D727&lt;&gt;MsgNotUsed,"Co-payment group " &amp; K556,"")</f>
        <v/>
      </c>
      <c r="K727" s="588"/>
      <c r="L727" s="105"/>
      <c r="M727" s="105"/>
      <c r="N727" s="105"/>
      <c r="O727" s="105"/>
      <c r="P727" s="105"/>
      <c r="Q727" s="105"/>
      <c r="R727" s="105"/>
      <c r="S727" s="105"/>
      <c r="T727" s="105"/>
      <c r="U727" s="105"/>
      <c r="V727" s="105"/>
    </row>
    <row r="728" spans="1:28" hidden="1" outlineLevel="2" x14ac:dyDescent="0.2">
      <c r="F728" s="357">
        <v>2</v>
      </c>
      <c r="G728" s="357">
        <v>3</v>
      </c>
      <c r="H728" s="357">
        <v>4</v>
      </c>
      <c r="I728" s="357">
        <v>5</v>
      </c>
      <c r="J728" s="357">
        <v>6</v>
      </c>
      <c r="K728" s="357">
        <v>7</v>
      </c>
      <c r="L728" s="357"/>
    </row>
    <row r="729" spans="1:28" ht="15" hidden="1" outlineLevel="2" x14ac:dyDescent="0.2">
      <c r="D729" s="462" t="s">
        <v>0</v>
      </c>
      <c r="E729" s="462"/>
      <c r="F729" s="74">
        <f>FirstYear</f>
        <v>2026</v>
      </c>
      <c r="G729" s="74">
        <f>F729+1</f>
        <v>2027</v>
      </c>
      <c r="H729" s="74">
        <f>G729+1</f>
        <v>2028</v>
      </c>
      <c r="I729" s="74">
        <f>H729+1</f>
        <v>2029</v>
      </c>
      <c r="J729" s="74">
        <f>I729+1</f>
        <v>2030</v>
      </c>
      <c r="K729" s="74">
        <f>J729+1</f>
        <v>2031</v>
      </c>
      <c r="N729" s="470"/>
      <c r="O729" s="470"/>
      <c r="P729" s="470"/>
      <c r="Q729" s="223"/>
      <c r="R729" s="223"/>
      <c r="S729" s="223"/>
      <c r="T729" s="223"/>
      <c r="U729" s="223"/>
      <c r="V729" s="223"/>
      <c r="X729" s="223"/>
      <c r="Y729" s="223"/>
      <c r="Z729" s="223"/>
      <c r="AA729" s="223"/>
    </row>
    <row r="730" spans="1:28" hidden="1" outlineLevel="2" collapsed="1" x14ac:dyDescent="0.2">
      <c r="E730" s="82" t="s">
        <v>938</v>
      </c>
      <c r="F730" s="239">
        <f t="shared" ref="F730:K730" si="529">F731*INDEX(MBSDecCalc,$C727,3)</f>
        <v>0</v>
      </c>
      <c r="G730" s="239">
        <f t="shared" si="529"/>
        <v>0</v>
      </c>
      <c r="H730" s="239">
        <f t="shared" si="529"/>
        <v>0</v>
      </c>
      <c r="I730" s="239">
        <f t="shared" si="529"/>
        <v>0</v>
      </c>
      <c r="J730" s="239">
        <f t="shared" si="529"/>
        <v>0</v>
      </c>
      <c r="K730" s="239">
        <f t="shared" si="529"/>
        <v>0</v>
      </c>
      <c r="M730" s="471"/>
      <c r="N730" s="463"/>
      <c r="O730" s="463"/>
      <c r="P730" s="463"/>
      <c r="Q730" s="472"/>
      <c r="R730" s="472"/>
      <c r="S730" s="472"/>
      <c r="T730" s="472"/>
      <c r="U730" s="472"/>
      <c r="V730" s="472"/>
      <c r="X730" s="402">
        <f>INDEX(MBSDecItems,C727,1)</f>
        <v>0</v>
      </c>
      <c r="Y730" s="402">
        <f>FirstYear</f>
        <v>2026</v>
      </c>
      <c r="Z730" s="401">
        <f>IF(F731&lt;&gt;0,F731-F733,0)</f>
        <v>0</v>
      </c>
      <c r="AA730" s="401">
        <f>IF(F739&lt;&gt;0,F739-F741,0)</f>
        <v>0</v>
      </c>
    </row>
    <row r="731" spans="1:28" hidden="1" outlineLevel="2" x14ac:dyDescent="0.2">
      <c r="B731" s="468"/>
      <c r="C731" s="209" t="str">
        <f>INDEX(MBSDecCalc,C727,2)</f>
        <v/>
      </c>
      <c r="E731" s="56" t="s">
        <v>1297</v>
      </c>
      <c r="F731" s="57">
        <f t="shared" ref="F731:K731" si="530">IF(INDEX(MBSDecRate,$C727,2)=2,IFERROR(INDEX(PBSScriptsChanged,$C731,F728),0),IFERROR(INDEX(MBSPBSDec,$C727,INDEX(MBSDecRate,$C727,3)*7+F728),0) * IFERROR(INDEX(MBSDecPopSplit,$C727),0)) * INDEX(MBSDecRate,$C727,1) * INDEX(MBSDecRate,$C727,4)</f>
        <v>0</v>
      </c>
      <c r="G731" s="57">
        <f t="shared" si="530"/>
        <v>0</v>
      </c>
      <c r="H731" s="57">
        <f t="shared" si="530"/>
        <v>0</v>
      </c>
      <c r="I731" s="57">
        <f t="shared" si="530"/>
        <v>0</v>
      </c>
      <c r="J731" s="57">
        <f t="shared" si="530"/>
        <v>0</v>
      </c>
      <c r="K731" s="57">
        <f t="shared" si="530"/>
        <v>0</v>
      </c>
      <c r="O731" s="463"/>
      <c r="P731" s="463"/>
      <c r="Q731" s="472"/>
      <c r="R731" s="472"/>
      <c r="S731" s="472"/>
      <c r="T731" s="472"/>
      <c r="U731" s="472"/>
      <c r="V731" s="472"/>
      <c r="X731" s="402">
        <f>X730</f>
        <v>0</v>
      </c>
      <c r="Y731" s="402">
        <f>Y730+1</f>
        <v>2027</v>
      </c>
      <c r="Z731" s="401">
        <f>IF(G731&lt;&gt;0,G731-G733,0)</f>
        <v>0</v>
      </c>
      <c r="AA731" s="401">
        <f>IF(G739&lt;&gt;0,G739-G741,0)</f>
        <v>0</v>
      </c>
    </row>
    <row r="732" spans="1:28" hidden="1" outlineLevel="2" x14ac:dyDescent="0.2">
      <c r="B732" s="209">
        <v>5</v>
      </c>
      <c r="C732" s="209">
        <v>6</v>
      </c>
      <c r="E732" s="358" t="s">
        <v>1294</v>
      </c>
      <c r="F732" s="57" t="str">
        <f t="shared" ref="F732:K732" si="531">IFERROR(F731*INDEX(MBSDecItems,$C727,$B732)*INDEX(MBSDecItems,$C727,$C732),"")</f>
        <v/>
      </c>
      <c r="G732" s="57" t="str">
        <f t="shared" si="531"/>
        <v/>
      </c>
      <c r="H732" s="57" t="str">
        <f t="shared" si="531"/>
        <v/>
      </c>
      <c r="I732" s="57" t="str">
        <f t="shared" si="531"/>
        <v/>
      </c>
      <c r="J732" s="57" t="str">
        <f t="shared" si="531"/>
        <v/>
      </c>
      <c r="K732" s="57" t="str">
        <f t="shared" si="531"/>
        <v/>
      </c>
      <c r="O732" s="473"/>
      <c r="P732" s="514"/>
      <c r="Q732" s="472"/>
      <c r="R732" s="472"/>
      <c r="S732" s="472"/>
      <c r="T732" s="472"/>
      <c r="U732" s="472"/>
      <c r="V732" s="472"/>
      <c r="X732" s="402">
        <f t="shared" ref="X732:X735" si="532">X731</f>
        <v>0</v>
      </c>
      <c r="Y732" s="402">
        <f>Y731+1</f>
        <v>2028</v>
      </c>
      <c r="Z732" s="401">
        <f>IF(H731&lt;&gt;0,H731-H733,0)</f>
        <v>0</v>
      </c>
      <c r="AA732" s="401">
        <f>IF(H739&lt;&gt;0,H739-H741,0)</f>
        <v>0</v>
      </c>
    </row>
    <row r="733" spans="1:28" hidden="1" outlineLevel="2" x14ac:dyDescent="0.2">
      <c r="A733"/>
      <c r="B733" s="209">
        <v>4</v>
      </c>
      <c r="C733" s="209">
        <v>6</v>
      </c>
      <c r="E733" s="358" t="s">
        <v>1293</v>
      </c>
      <c r="F733" s="57" t="str">
        <f t="shared" ref="F733:K733" si="533">IFERROR(F731*INDEX(MBSDecItems,$C727,$B733)*INDEX(MBSDecItems,$C727,$C733),"")</f>
        <v/>
      </c>
      <c r="G733" s="57" t="str">
        <f t="shared" si="533"/>
        <v/>
      </c>
      <c r="H733" s="57" t="str">
        <f t="shared" si="533"/>
        <v/>
      </c>
      <c r="I733" s="57" t="str">
        <f t="shared" si="533"/>
        <v/>
      </c>
      <c r="J733" s="57" t="str">
        <f t="shared" si="533"/>
        <v/>
      </c>
      <c r="K733" s="57" t="str">
        <f t="shared" si="533"/>
        <v/>
      </c>
      <c r="L733"/>
      <c r="M733"/>
      <c r="N733"/>
      <c r="O733"/>
      <c r="P733"/>
      <c r="Q733"/>
      <c r="R733"/>
      <c r="S733"/>
      <c r="T733"/>
      <c r="U733"/>
      <c r="V733"/>
      <c r="X733" s="402">
        <f t="shared" si="532"/>
        <v>0</v>
      </c>
      <c r="Y733" s="402">
        <f>Y732+1</f>
        <v>2029</v>
      </c>
      <c r="Z733" s="401">
        <f>IF(I731&lt;&gt;0,I731-I733,0)</f>
        <v>0</v>
      </c>
      <c r="AA733" s="401">
        <f>IF(I739&lt;&gt;0,I739-I741,0)</f>
        <v>0</v>
      </c>
      <c r="AB733" s="223"/>
    </row>
    <row r="734" spans="1:28" hidden="1" outlineLevel="2" x14ac:dyDescent="0.2">
      <c r="B734" s="209"/>
      <c r="C734" s="209">
        <v>7</v>
      </c>
      <c r="E734" s="359" t="s">
        <v>1295</v>
      </c>
      <c r="F734" s="57" t="str">
        <f t="shared" ref="F734:K734" si="534">IFERROR(F731*INDEX(MBSDecItems,$C727,$C734),"")</f>
        <v/>
      </c>
      <c r="G734" s="57" t="str">
        <f t="shared" si="534"/>
        <v/>
      </c>
      <c r="H734" s="57" t="str">
        <f t="shared" si="534"/>
        <v/>
      </c>
      <c r="I734" s="57" t="str">
        <f t="shared" si="534"/>
        <v/>
      </c>
      <c r="J734" s="57" t="str">
        <f t="shared" si="534"/>
        <v/>
      </c>
      <c r="K734" s="57" t="str">
        <f t="shared" si="534"/>
        <v/>
      </c>
      <c r="O734" s="473"/>
      <c r="P734" s="514"/>
      <c r="Q734" s="472"/>
      <c r="R734" s="472"/>
      <c r="S734" s="472"/>
      <c r="T734" s="472"/>
      <c r="U734" s="472"/>
      <c r="V734" s="472"/>
      <c r="X734" s="402">
        <f t="shared" si="532"/>
        <v>0</v>
      </c>
      <c r="Y734" s="402">
        <f>Y733+1</f>
        <v>2030</v>
      </c>
      <c r="Z734" s="401">
        <f>IF(J731&lt;&gt;0,J731-J733,0)</f>
        <v>0</v>
      </c>
      <c r="AA734" s="401">
        <f>IF(J739&lt;&gt;0,J739-J741,0)</f>
        <v>0</v>
      </c>
      <c r="AB734" s="223"/>
    </row>
    <row r="735" spans="1:28" hidden="1" outlineLevel="2" x14ac:dyDescent="0.2">
      <c r="O735" s="473"/>
      <c r="P735" s="473"/>
      <c r="Q735" s="472"/>
      <c r="R735" s="472"/>
      <c r="S735" s="472"/>
      <c r="T735" s="472"/>
      <c r="U735" s="472"/>
      <c r="V735" s="472"/>
      <c r="X735" s="402">
        <f t="shared" si="532"/>
        <v>0</v>
      </c>
      <c r="Y735" s="402">
        <f>Y734+1</f>
        <v>2031</v>
      </c>
      <c r="Z735" s="401">
        <f>IF(K731&lt;&gt;0,K731-K733,0)</f>
        <v>0</v>
      </c>
      <c r="AA735" s="401">
        <f>IF(K739&lt;&gt;0,K739-K741,0)</f>
        <v>0</v>
      </c>
      <c r="AB735" s="469"/>
    </row>
    <row r="736" spans="1:28" hidden="1" outlineLevel="2" x14ac:dyDescent="0.2">
      <c r="D736" s="360"/>
      <c r="E736" s="360"/>
      <c r="F736" s="357">
        <v>2</v>
      </c>
      <c r="G736" s="357">
        <v>3</v>
      </c>
      <c r="H736" s="357">
        <v>4</v>
      </c>
      <c r="I736" s="357">
        <v>5</v>
      </c>
      <c r="J736" s="357">
        <v>6</v>
      </c>
      <c r="K736" s="357">
        <v>7</v>
      </c>
      <c r="N736" s="360"/>
      <c r="O736" s="360"/>
      <c r="P736" s="360"/>
      <c r="AB736" s="469"/>
    </row>
    <row r="737" spans="1:28" ht="15.75" hidden="1" outlineLevel="2" x14ac:dyDescent="0.2">
      <c r="D737" s="462" t="s">
        <v>1</v>
      </c>
      <c r="E737" s="462"/>
      <c r="F737" s="74">
        <f>FirstYear</f>
        <v>2026</v>
      </c>
      <c r="G737" s="74">
        <f>F737+1</f>
        <v>2027</v>
      </c>
      <c r="H737" s="74">
        <f>G737+1</f>
        <v>2028</v>
      </c>
      <c r="I737" s="74">
        <f>H737+1</f>
        <v>2029</v>
      </c>
      <c r="J737" s="74">
        <f>I737+1</f>
        <v>2030</v>
      </c>
      <c r="K737" s="74">
        <f>J737+1</f>
        <v>2031</v>
      </c>
      <c r="N737" s="466"/>
      <c r="O737" s="466"/>
      <c r="P737" s="466"/>
      <c r="AB737" s="469"/>
    </row>
    <row r="738" spans="1:28" hidden="1" outlineLevel="2" x14ac:dyDescent="0.2">
      <c r="E738" s="82" t="s">
        <v>938</v>
      </c>
      <c r="F738" s="239">
        <f t="shared" ref="F738:K738" si="535">F739*INDEX(MBSDecCalc,$C727,3)</f>
        <v>0</v>
      </c>
      <c r="G738" s="239">
        <f t="shared" si="535"/>
        <v>0</v>
      </c>
      <c r="H738" s="239">
        <f t="shared" si="535"/>
        <v>0</v>
      </c>
      <c r="I738" s="239">
        <f t="shared" si="535"/>
        <v>0</v>
      </c>
      <c r="J738" s="239">
        <f t="shared" si="535"/>
        <v>0</v>
      </c>
      <c r="K738" s="239">
        <f t="shared" si="535"/>
        <v>0</v>
      </c>
      <c r="M738"/>
      <c r="N738"/>
      <c r="O738" s="360"/>
      <c r="P738" s="360"/>
      <c r="AB738" s="469"/>
    </row>
    <row r="739" spans="1:28" hidden="1" outlineLevel="2" x14ac:dyDescent="0.2">
      <c r="B739" s="468"/>
      <c r="C739" s="209" t="str">
        <f>C731</f>
        <v/>
      </c>
      <c r="E739" s="56" t="s">
        <v>1297</v>
      </c>
      <c r="F739" s="57">
        <f t="shared" ref="F739:K739" si="536">IF(INDEX(MBSDecRate,$C727,2)=2,IFERROR(INDEX(RPBSScriptsChanged,$C739,F736),0),IFERROR(INDEX(MBSRPBSDec,$C727,INDEX(MBSDecRate,$C727,3)*7+F736),0) * IFERROR(INDEX(MBSDecPopSplit,$C727),0)) * INDEX(MBSDecRate,$C727,1) * INDEX(MBSDecRate,$C727,4)</f>
        <v>0</v>
      </c>
      <c r="G739" s="57">
        <f t="shared" si="536"/>
        <v>0</v>
      </c>
      <c r="H739" s="57">
        <f t="shared" si="536"/>
        <v>0</v>
      </c>
      <c r="I739" s="57">
        <f t="shared" si="536"/>
        <v>0</v>
      </c>
      <c r="J739" s="57">
        <f t="shared" si="536"/>
        <v>0</v>
      </c>
      <c r="K739" s="57">
        <f t="shared" si="536"/>
        <v>0</v>
      </c>
      <c r="N739" s="344"/>
      <c r="O739" s="360"/>
      <c r="P739" s="360"/>
      <c r="AB739" s="469"/>
    </row>
    <row r="740" spans="1:28" hidden="1" outlineLevel="2" x14ac:dyDescent="0.2">
      <c r="B740" s="209">
        <v>5</v>
      </c>
      <c r="C740" s="209">
        <v>6</v>
      </c>
      <c r="E740" s="358" t="s">
        <v>1294</v>
      </c>
      <c r="F740" s="57" t="str">
        <f t="shared" ref="F740:K740" si="537">IFERROR(F739*INDEX(MBSDecItems,$C727,$B740)*INDEX(MBSDecItems,$C727,$C740),"")</f>
        <v/>
      </c>
      <c r="G740" s="57" t="str">
        <f t="shared" si="537"/>
        <v/>
      </c>
      <c r="H740" s="57" t="str">
        <f t="shared" si="537"/>
        <v/>
      </c>
      <c r="I740" s="57" t="str">
        <f t="shared" si="537"/>
        <v/>
      </c>
      <c r="J740" s="57" t="str">
        <f t="shared" si="537"/>
        <v/>
      </c>
      <c r="K740" s="57" t="str">
        <f t="shared" si="537"/>
        <v/>
      </c>
      <c r="M740" s="474"/>
      <c r="N740" s="344"/>
      <c r="O740" s="360"/>
      <c r="P740" s="360"/>
    </row>
    <row r="741" spans="1:28" hidden="1" outlineLevel="2" x14ac:dyDescent="0.2">
      <c r="B741" s="209">
        <v>4</v>
      </c>
      <c r="C741" s="209">
        <v>6</v>
      </c>
      <c r="E741" s="358" t="s">
        <v>1293</v>
      </c>
      <c r="F741" s="57" t="str">
        <f t="shared" ref="F741:K741" si="538">IFERROR(F739*INDEX(MBSDecItems,$C727,$B741)*INDEX(MBSDecItems,$C727,$C741),"")</f>
        <v/>
      </c>
      <c r="G741" s="57" t="str">
        <f t="shared" si="538"/>
        <v/>
      </c>
      <c r="H741" s="57" t="str">
        <f t="shared" si="538"/>
        <v/>
      </c>
      <c r="I741" s="57" t="str">
        <f t="shared" si="538"/>
        <v/>
      </c>
      <c r="J741" s="57" t="str">
        <f t="shared" si="538"/>
        <v/>
      </c>
      <c r="K741" s="57" t="str">
        <f t="shared" si="538"/>
        <v/>
      </c>
      <c r="M741" s="475"/>
      <c r="N741" s="473"/>
      <c r="O741" s="360"/>
      <c r="P741" s="360"/>
    </row>
    <row r="742" spans="1:28" hidden="1" outlineLevel="2" x14ac:dyDescent="0.2">
      <c r="B742" s="209"/>
      <c r="C742" s="209">
        <v>7</v>
      </c>
      <c r="E742" s="359" t="s">
        <v>1295</v>
      </c>
      <c r="F742" s="57" t="str">
        <f t="shared" ref="F742:K742" si="539">IFERROR(F739*INDEX(MBSDecItems,$C727,$C742),"")</f>
        <v/>
      </c>
      <c r="G742" s="57" t="str">
        <f t="shared" si="539"/>
        <v/>
      </c>
      <c r="H742" s="57" t="str">
        <f t="shared" si="539"/>
        <v/>
      </c>
      <c r="I742" s="57" t="str">
        <f t="shared" si="539"/>
        <v/>
      </c>
      <c r="J742" s="57" t="str">
        <f t="shared" si="539"/>
        <v/>
      </c>
      <c r="K742" s="57" t="str">
        <f t="shared" si="539"/>
        <v/>
      </c>
      <c r="M742" s="475"/>
      <c r="N742" s="473"/>
      <c r="O742" s="360"/>
      <c r="P742" s="360"/>
    </row>
    <row r="743" spans="1:28" outlineLevel="1" collapsed="1" x14ac:dyDescent="0.2">
      <c r="D743" s="360"/>
      <c r="E743" s="360"/>
      <c r="N743" s="360"/>
      <c r="O743" s="360"/>
      <c r="P743" s="360"/>
    </row>
    <row r="744" spans="1:28" ht="15.75" outlineLevel="1" x14ac:dyDescent="0.2">
      <c r="C744" s="209">
        <v>15</v>
      </c>
      <c r="D744" s="72" t="str">
        <f>INDEX(MBSDecNames,C744)</f>
        <v>** NOT USED **</v>
      </c>
      <c r="E744" s="72"/>
      <c r="F744" s="105"/>
      <c r="G744" s="105"/>
      <c r="H744" s="105"/>
      <c r="I744" s="105"/>
      <c r="J744" s="588" t="str">
        <f>IF(D744&lt;&gt;MsgNotUsed,"Co-payment group " &amp; K573,"")</f>
        <v/>
      </c>
      <c r="K744" s="588"/>
      <c r="L744" s="105"/>
      <c r="M744" s="105"/>
      <c r="N744" s="105"/>
      <c r="O744" s="105"/>
      <c r="P744" s="105"/>
      <c r="Q744" s="105"/>
      <c r="R744" s="105"/>
      <c r="S744" s="105"/>
      <c r="T744" s="105"/>
      <c r="U744" s="105"/>
      <c r="V744" s="105"/>
    </row>
    <row r="745" spans="1:28" hidden="1" outlineLevel="2" x14ac:dyDescent="0.2">
      <c r="F745" s="357">
        <v>2</v>
      </c>
      <c r="G745" s="357">
        <v>3</v>
      </c>
      <c r="H745" s="357">
        <v>4</v>
      </c>
      <c r="I745" s="357">
        <v>5</v>
      </c>
      <c r="J745" s="357">
        <v>6</v>
      </c>
      <c r="K745" s="357">
        <v>7</v>
      </c>
      <c r="L745" s="357"/>
    </row>
    <row r="746" spans="1:28" ht="15" hidden="1" outlineLevel="2" x14ac:dyDescent="0.2">
      <c r="D746" s="462" t="s">
        <v>0</v>
      </c>
      <c r="E746" s="462"/>
      <c r="F746" s="74">
        <f>FirstYear</f>
        <v>2026</v>
      </c>
      <c r="G746" s="74">
        <f>F746+1</f>
        <v>2027</v>
      </c>
      <c r="H746" s="74">
        <f>G746+1</f>
        <v>2028</v>
      </c>
      <c r="I746" s="74">
        <f>H746+1</f>
        <v>2029</v>
      </c>
      <c r="J746" s="74">
        <f>I746+1</f>
        <v>2030</v>
      </c>
      <c r="K746" s="74">
        <f>J746+1</f>
        <v>2031</v>
      </c>
      <c r="N746" s="470"/>
      <c r="O746" s="470"/>
      <c r="P746" s="470"/>
      <c r="Q746" s="223"/>
      <c r="R746" s="223"/>
      <c r="S746" s="223"/>
      <c r="T746" s="223"/>
      <c r="U746" s="223"/>
      <c r="V746" s="223"/>
      <c r="X746" s="223"/>
      <c r="Y746" s="223"/>
      <c r="Z746" s="223"/>
      <c r="AA746" s="223"/>
    </row>
    <row r="747" spans="1:28" hidden="1" outlineLevel="2" collapsed="1" x14ac:dyDescent="0.2">
      <c r="E747" s="82" t="s">
        <v>938</v>
      </c>
      <c r="F747" s="239">
        <f t="shared" ref="F747:K747" si="540">F748*INDEX(MBSDecCalc,$C744,3)</f>
        <v>0</v>
      </c>
      <c r="G747" s="239">
        <f t="shared" si="540"/>
        <v>0</v>
      </c>
      <c r="H747" s="239">
        <f t="shared" si="540"/>
        <v>0</v>
      </c>
      <c r="I747" s="239">
        <f t="shared" si="540"/>
        <v>0</v>
      </c>
      <c r="J747" s="239">
        <f t="shared" si="540"/>
        <v>0</v>
      </c>
      <c r="K747" s="239">
        <f t="shared" si="540"/>
        <v>0</v>
      </c>
      <c r="M747" s="471"/>
      <c r="N747" s="463"/>
      <c r="O747" s="463"/>
      <c r="P747" s="463"/>
      <c r="Q747" s="472"/>
      <c r="R747" s="472"/>
      <c r="S747" s="472"/>
      <c r="T747" s="472"/>
      <c r="U747" s="472"/>
      <c r="V747" s="472"/>
      <c r="X747" s="402">
        <f>INDEX(MBSDecItems,C744,1)</f>
        <v>0</v>
      </c>
      <c r="Y747" s="402">
        <f>FirstYear</f>
        <v>2026</v>
      </c>
      <c r="Z747" s="401">
        <f>IF(F748&lt;&gt;0,F748-F750,0)</f>
        <v>0</v>
      </c>
      <c r="AA747" s="401">
        <f>IF(F756&lt;&gt;0,F756-F758,0)</f>
        <v>0</v>
      </c>
    </row>
    <row r="748" spans="1:28" hidden="1" outlineLevel="2" x14ac:dyDescent="0.2">
      <c r="B748" s="468"/>
      <c r="C748" s="209" t="str">
        <f>INDEX(MBSDecCalc,C744,2)</f>
        <v/>
      </c>
      <c r="E748" s="56" t="s">
        <v>1297</v>
      </c>
      <c r="F748" s="57">
        <f t="shared" ref="F748:K748" si="541">IF(INDEX(MBSDecRate,$C744,2)=2,IFERROR(INDEX(PBSScriptsChanged,$C748,F745),0),IFERROR(INDEX(MBSPBSDec,$C744,INDEX(MBSDecRate,$C744,3)*7+F745),0) * IFERROR(INDEX(MBSDecPopSplit,$C744),0)) * INDEX(MBSDecRate,$C744,1) * INDEX(MBSDecRate,$C744,4)</f>
        <v>0</v>
      </c>
      <c r="G748" s="57">
        <f t="shared" si="541"/>
        <v>0</v>
      </c>
      <c r="H748" s="57">
        <f t="shared" si="541"/>
        <v>0</v>
      </c>
      <c r="I748" s="57">
        <f t="shared" si="541"/>
        <v>0</v>
      </c>
      <c r="J748" s="57">
        <f t="shared" si="541"/>
        <v>0</v>
      </c>
      <c r="K748" s="57">
        <f t="shared" si="541"/>
        <v>0</v>
      </c>
      <c r="O748" s="463"/>
      <c r="P748" s="463"/>
      <c r="Q748" s="472"/>
      <c r="R748" s="472"/>
      <c r="S748" s="472"/>
      <c r="T748" s="472"/>
      <c r="U748" s="472"/>
      <c r="V748" s="472"/>
      <c r="X748" s="402">
        <f>X747</f>
        <v>0</v>
      </c>
      <c r="Y748" s="402">
        <f>Y747+1</f>
        <v>2027</v>
      </c>
      <c r="Z748" s="401">
        <f>IF(G748&lt;&gt;0,G748-G750,0)</f>
        <v>0</v>
      </c>
      <c r="AA748" s="401">
        <f>IF(G756&lt;&gt;0,G756-G758,0)</f>
        <v>0</v>
      </c>
    </row>
    <row r="749" spans="1:28" hidden="1" outlineLevel="2" x14ac:dyDescent="0.2">
      <c r="B749" s="209">
        <v>5</v>
      </c>
      <c r="C749" s="209">
        <v>6</v>
      </c>
      <c r="E749" s="358" t="s">
        <v>1294</v>
      </c>
      <c r="F749" s="57" t="str">
        <f t="shared" ref="F749:K749" si="542">IFERROR(F748*INDEX(MBSDecItems,$C744,$B749)*INDEX(MBSDecItems,$C744,$C749),"")</f>
        <v/>
      </c>
      <c r="G749" s="57" t="str">
        <f t="shared" si="542"/>
        <v/>
      </c>
      <c r="H749" s="57" t="str">
        <f t="shared" si="542"/>
        <v/>
      </c>
      <c r="I749" s="57" t="str">
        <f t="shared" si="542"/>
        <v/>
      </c>
      <c r="J749" s="57" t="str">
        <f t="shared" si="542"/>
        <v/>
      </c>
      <c r="K749" s="57" t="str">
        <f t="shared" si="542"/>
        <v/>
      </c>
      <c r="O749" s="473"/>
      <c r="P749" s="514"/>
      <c r="Q749" s="472"/>
      <c r="R749" s="472"/>
      <c r="S749" s="472"/>
      <c r="T749" s="472"/>
      <c r="U749" s="472"/>
      <c r="V749" s="472"/>
      <c r="X749" s="402">
        <f t="shared" ref="X749:X752" si="543">X748</f>
        <v>0</v>
      </c>
      <c r="Y749" s="402">
        <f>Y748+1</f>
        <v>2028</v>
      </c>
      <c r="Z749" s="401">
        <f>IF(H748&lt;&gt;0,H748-H750,0)</f>
        <v>0</v>
      </c>
      <c r="AA749" s="401">
        <f>IF(H756&lt;&gt;0,H756-H758,0)</f>
        <v>0</v>
      </c>
    </row>
    <row r="750" spans="1:28" hidden="1" outlineLevel="2" x14ac:dyDescent="0.2">
      <c r="A750"/>
      <c r="B750" s="209">
        <v>4</v>
      </c>
      <c r="C750" s="209">
        <v>6</v>
      </c>
      <c r="E750" s="358" t="s">
        <v>1293</v>
      </c>
      <c r="F750" s="57" t="str">
        <f t="shared" ref="F750:K750" si="544">IFERROR(F748*INDEX(MBSDecItems,$C744,$B750)*INDEX(MBSDecItems,$C744,$C750),"")</f>
        <v/>
      </c>
      <c r="G750" s="57" t="str">
        <f t="shared" si="544"/>
        <v/>
      </c>
      <c r="H750" s="57" t="str">
        <f t="shared" si="544"/>
        <v/>
      </c>
      <c r="I750" s="57" t="str">
        <f t="shared" si="544"/>
        <v/>
      </c>
      <c r="J750" s="57" t="str">
        <f t="shared" si="544"/>
        <v/>
      </c>
      <c r="K750" s="57" t="str">
        <f t="shared" si="544"/>
        <v/>
      </c>
      <c r="L750"/>
      <c r="M750"/>
      <c r="N750"/>
      <c r="O750"/>
      <c r="P750"/>
      <c r="Q750"/>
      <c r="R750"/>
      <c r="S750"/>
      <c r="T750"/>
      <c r="U750"/>
      <c r="V750"/>
      <c r="X750" s="402">
        <f t="shared" si="543"/>
        <v>0</v>
      </c>
      <c r="Y750" s="402">
        <f>Y749+1</f>
        <v>2029</v>
      </c>
      <c r="Z750" s="401">
        <f>IF(I748&lt;&gt;0,I748-I750,0)</f>
        <v>0</v>
      </c>
      <c r="AA750" s="401">
        <f>IF(I756&lt;&gt;0,I756-I758,0)</f>
        <v>0</v>
      </c>
      <c r="AB750" s="223"/>
    </row>
    <row r="751" spans="1:28" hidden="1" outlineLevel="2" x14ac:dyDescent="0.2">
      <c r="B751" s="209"/>
      <c r="C751" s="209">
        <v>7</v>
      </c>
      <c r="E751" s="359" t="s">
        <v>1295</v>
      </c>
      <c r="F751" s="57" t="str">
        <f t="shared" ref="F751:K751" si="545">IFERROR(F748*INDEX(MBSDecItems,$C744,$C751),"")</f>
        <v/>
      </c>
      <c r="G751" s="57" t="str">
        <f t="shared" si="545"/>
        <v/>
      </c>
      <c r="H751" s="57" t="str">
        <f t="shared" si="545"/>
        <v/>
      </c>
      <c r="I751" s="57" t="str">
        <f t="shared" si="545"/>
        <v/>
      </c>
      <c r="J751" s="57" t="str">
        <f t="shared" si="545"/>
        <v/>
      </c>
      <c r="K751" s="57" t="str">
        <f t="shared" si="545"/>
        <v/>
      </c>
      <c r="O751" s="473"/>
      <c r="P751" s="514"/>
      <c r="Q751" s="472"/>
      <c r="R751" s="472"/>
      <c r="S751" s="472"/>
      <c r="T751" s="472"/>
      <c r="U751" s="472"/>
      <c r="V751" s="472"/>
      <c r="X751" s="402">
        <f t="shared" si="543"/>
        <v>0</v>
      </c>
      <c r="Y751" s="402">
        <f>Y750+1</f>
        <v>2030</v>
      </c>
      <c r="Z751" s="401">
        <f>IF(J748&lt;&gt;0,J748-J750,0)</f>
        <v>0</v>
      </c>
      <c r="AA751" s="401">
        <f>IF(J756&lt;&gt;0,J756-J758,0)</f>
        <v>0</v>
      </c>
      <c r="AB751" s="223"/>
    </row>
    <row r="752" spans="1:28" hidden="1" outlineLevel="2" x14ac:dyDescent="0.2">
      <c r="O752" s="473"/>
      <c r="P752" s="473"/>
      <c r="Q752" s="472"/>
      <c r="R752" s="472"/>
      <c r="S752" s="472"/>
      <c r="T752" s="472"/>
      <c r="U752" s="472"/>
      <c r="V752" s="472"/>
      <c r="X752" s="402">
        <f t="shared" si="543"/>
        <v>0</v>
      </c>
      <c r="Y752" s="402">
        <f>Y751+1</f>
        <v>2031</v>
      </c>
      <c r="Z752" s="401">
        <f>IF(K748&lt;&gt;0,K748-K750,0)</f>
        <v>0</v>
      </c>
      <c r="AA752" s="401">
        <f>IF(K756&lt;&gt;0,K756-K758,0)</f>
        <v>0</v>
      </c>
      <c r="AB752" s="469"/>
    </row>
    <row r="753" spans="1:28" hidden="1" outlineLevel="2" x14ac:dyDescent="0.2">
      <c r="D753" s="360"/>
      <c r="E753" s="360"/>
      <c r="F753" s="357">
        <v>2</v>
      </c>
      <c r="G753" s="357">
        <v>3</v>
      </c>
      <c r="H753" s="357">
        <v>4</v>
      </c>
      <c r="I753" s="357">
        <v>5</v>
      </c>
      <c r="J753" s="357">
        <v>6</v>
      </c>
      <c r="K753" s="357">
        <v>7</v>
      </c>
      <c r="N753" s="360"/>
      <c r="O753" s="360"/>
      <c r="P753" s="360"/>
      <c r="AB753" s="469"/>
    </row>
    <row r="754" spans="1:28" ht="15.75" hidden="1" outlineLevel="2" x14ac:dyDescent="0.2">
      <c r="D754" s="462" t="s">
        <v>1</v>
      </c>
      <c r="E754" s="462"/>
      <c r="F754" s="74">
        <f>FirstYear</f>
        <v>2026</v>
      </c>
      <c r="G754" s="74">
        <f>F754+1</f>
        <v>2027</v>
      </c>
      <c r="H754" s="74">
        <f>G754+1</f>
        <v>2028</v>
      </c>
      <c r="I754" s="74">
        <f>H754+1</f>
        <v>2029</v>
      </c>
      <c r="J754" s="74">
        <f>I754+1</f>
        <v>2030</v>
      </c>
      <c r="K754" s="74">
        <f>J754+1</f>
        <v>2031</v>
      </c>
      <c r="N754" s="466"/>
      <c r="O754" s="466"/>
      <c r="P754" s="466"/>
      <c r="AB754" s="469"/>
    </row>
    <row r="755" spans="1:28" hidden="1" outlineLevel="2" x14ac:dyDescent="0.2">
      <c r="E755" s="82" t="s">
        <v>938</v>
      </c>
      <c r="F755" s="239">
        <f t="shared" ref="F755:K755" si="546">F756*INDEX(MBSDecCalc,$C744,3)</f>
        <v>0</v>
      </c>
      <c r="G755" s="239">
        <f t="shared" si="546"/>
        <v>0</v>
      </c>
      <c r="H755" s="239">
        <f t="shared" si="546"/>
        <v>0</v>
      </c>
      <c r="I755" s="239">
        <f t="shared" si="546"/>
        <v>0</v>
      </c>
      <c r="J755" s="239">
        <f t="shared" si="546"/>
        <v>0</v>
      </c>
      <c r="K755" s="239">
        <f t="shared" si="546"/>
        <v>0</v>
      </c>
      <c r="M755"/>
      <c r="N755"/>
      <c r="O755" s="360"/>
      <c r="P755" s="360"/>
      <c r="AB755" s="469"/>
    </row>
    <row r="756" spans="1:28" hidden="1" outlineLevel="2" x14ac:dyDescent="0.2">
      <c r="B756" s="468"/>
      <c r="C756" s="209" t="str">
        <f>C748</f>
        <v/>
      </c>
      <c r="E756" s="56" t="s">
        <v>1297</v>
      </c>
      <c r="F756" s="57">
        <f t="shared" ref="F756:K756" si="547">IF(INDEX(MBSDecRate,$C744,2)=2,IFERROR(INDEX(RPBSScriptsChanged,$C756,F753),0),IFERROR(INDEX(MBSRPBSDec,$C744,INDEX(MBSDecRate,$C744,3)*7+F753),0) * IFERROR(INDEX(MBSDecPopSplit,$C744),0)) * INDEX(MBSDecRate,$C744,1) * INDEX(MBSDecRate,$C744,4)</f>
        <v>0</v>
      </c>
      <c r="G756" s="57">
        <f t="shared" si="547"/>
        <v>0</v>
      </c>
      <c r="H756" s="57">
        <f t="shared" si="547"/>
        <v>0</v>
      </c>
      <c r="I756" s="57">
        <f t="shared" si="547"/>
        <v>0</v>
      </c>
      <c r="J756" s="57">
        <f t="shared" si="547"/>
        <v>0</v>
      </c>
      <c r="K756" s="57">
        <f t="shared" si="547"/>
        <v>0</v>
      </c>
      <c r="N756" s="344"/>
      <c r="O756" s="360"/>
      <c r="P756" s="360"/>
      <c r="AB756" s="469"/>
    </row>
    <row r="757" spans="1:28" hidden="1" outlineLevel="2" x14ac:dyDescent="0.2">
      <c r="B757" s="209">
        <v>5</v>
      </c>
      <c r="C757" s="209">
        <v>6</v>
      </c>
      <c r="E757" s="358" t="s">
        <v>1294</v>
      </c>
      <c r="F757" s="57" t="str">
        <f t="shared" ref="F757:K757" si="548">IFERROR(F756*INDEX(MBSDecItems,$C744,$B757)*INDEX(MBSDecItems,$C744,$C757),"")</f>
        <v/>
      </c>
      <c r="G757" s="57" t="str">
        <f t="shared" si="548"/>
        <v/>
      </c>
      <c r="H757" s="57" t="str">
        <f t="shared" si="548"/>
        <v/>
      </c>
      <c r="I757" s="57" t="str">
        <f t="shared" si="548"/>
        <v/>
      </c>
      <c r="J757" s="57" t="str">
        <f t="shared" si="548"/>
        <v/>
      </c>
      <c r="K757" s="57" t="str">
        <f t="shared" si="548"/>
        <v/>
      </c>
      <c r="M757" s="474"/>
      <c r="N757" s="344"/>
      <c r="O757" s="360"/>
      <c r="P757" s="360"/>
    </row>
    <row r="758" spans="1:28" hidden="1" outlineLevel="2" x14ac:dyDescent="0.2">
      <c r="B758" s="209">
        <v>4</v>
      </c>
      <c r="C758" s="209">
        <v>6</v>
      </c>
      <c r="E758" s="358" t="s">
        <v>1293</v>
      </c>
      <c r="F758" s="57" t="str">
        <f t="shared" ref="F758:K758" si="549">IFERROR(F756*INDEX(MBSDecItems,$C744,$B758)*INDEX(MBSDecItems,$C744,$C758),"")</f>
        <v/>
      </c>
      <c r="G758" s="57" t="str">
        <f t="shared" si="549"/>
        <v/>
      </c>
      <c r="H758" s="57" t="str">
        <f t="shared" si="549"/>
        <v/>
      </c>
      <c r="I758" s="57" t="str">
        <f t="shared" si="549"/>
        <v/>
      </c>
      <c r="J758" s="57" t="str">
        <f t="shared" si="549"/>
        <v/>
      </c>
      <c r="K758" s="57" t="str">
        <f t="shared" si="549"/>
        <v/>
      </c>
      <c r="M758" s="475"/>
      <c r="N758" s="473"/>
      <c r="O758" s="360"/>
      <c r="P758" s="360"/>
    </row>
    <row r="759" spans="1:28" hidden="1" outlineLevel="2" x14ac:dyDescent="0.2">
      <c r="B759" s="209"/>
      <c r="C759" s="209">
        <v>7</v>
      </c>
      <c r="E759" s="359" t="s">
        <v>1295</v>
      </c>
      <c r="F759" s="57" t="str">
        <f t="shared" ref="F759:K759" si="550">IFERROR(F756*INDEX(MBSDecItems,$C744,$C759),"")</f>
        <v/>
      </c>
      <c r="G759" s="57" t="str">
        <f t="shared" si="550"/>
        <v/>
      </c>
      <c r="H759" s="57" t="str">
        <f t="shared" si="550"/>
        <v/>
      </c>
      <c r="I759" s="57" t="str">
        <f t="shared" si="550"/>
        <v/>
      </c>
      <c r="J759" s="57" t="str">
        <f t="shared" si="550"/>
        <v/>
      </c>
      <c r="K759" s="57" t="str">
        <f t="shared" si="550"/>
        <v/>
      </c>
      <c r="M759" s="475"/>
      <c r="N759" s="473"/>
      <c r="O759" s="360"/>
      <c r="P759" s="360"/>
    </row>
    <row r="760" spans="1:28" outlineLevel="1" collapsed="1" x14ac:dyDescent="0.2">
      <c r="D760" s="360"/>
      <c r="E760" s="360"/>
      <c r="N760" s="360"/>
      <c r="O760" s="360"/>
      <c r="P760" s="360"/>
    </row>
    <row r="761" spans="1:28" ht="15.75" outlineLevel="1" x14ac:dyDescent="0.2">
      <c r="C761" s="209">
        <v>16</v>
      </c>
      <c r="D761" s="72" t="str">
        <f>INDEX(MBSDecNames,C761)</f>
        <v>** NOT USED **</v>
      </c>
      <c r="E761" s="72"/>
      <c r="F761" s="105"/>
      <c r="G761" s="105"/>
      <c r="H761" s="105"/>
      <c r="I761" s="105"/>
      <c r="J761" s="588" t="str">
        <f>IF(D761&lt;&gt;MsgNotUsed,"Co-payment group " &amp; K590,"")</f>
        <v/>
      </c>
      <c r="K761" s="588"/>
      <c r="L761" s="105"/>
      <c r="M761" s="105"/>
      <c r="N761" s="105"/>
      <c r="O761" s="105"/>
      <c r="P761" s="105"/>
      <c r="Q761" s="105"/>
      <c r="R761" s="105"/>
      <c r="S761" s="105"/>
      <c r="T761" s="105"/>
      <c r="U761" s="105"/>
      <c r="V761" s="105"/>
    </row>
    <row r="762" spans="1:28" hidden="1" outlineLevel="2" x14ac:dyDescent="0.2">
      <c r="F762" s="357">
        <v>2</v>
      </c>
      <c r="G762" s="357">
        <v>3</v>
      </c>
      <c r="H762" s="357">
        <v>4</v>
      </c>
      <c r="I762" s="357">
        <v>5</v>
      </c>
      <c r="J762" s="357">
        <v>6</v>
      </c>
      <c r="K762" s="357">
        <v>7</v>
      </c>
      <c r="L762" s="357"/>
    </row>
    <row r="763" spans="1:28" ht="15" hidden="1" outlineLevel="2" x14ac:dyDescent="0.2">
      <c r="D763" s="462" t="s">
        <v>0</v>
      </c>
      <c r="E763" s="462"/>
      <c r="F763" s="74">
        <f>FirstYear</f>
        <v>2026</v>
      </c>
      <c r="G763" s="74">
        <f>F763+1</f>
        <v>2027</v>
      </c>
      <c r="H763" s="74">
        <f>G763+1</f>
        <v>2028</v>
      </c>
      <c r="I763" s="74">
        <f>H763+1</f>
        <v>2029</v>
      </c>
      <c r="J763" s="74">
        <f>I763+1</f>
        <v>2030</v>
      </c>
      <c r="K763" s="74">
        <f>J763+1</f>
        <v>2031</v>
      </c>
      <c r="N763" s="470"/>
      <c r="O763" s="470"/>
      <c r="P763" s="470"/>
      <c r="Q763" s="223"/>
      <c r="R763" s="223"/>
      <c r="S763" s="223"/>
      <c r="T763" s="223"/>
      <c r="U763" s="223"/>
      <c r="V763" s="223"/>
      <c r="X763" s="223"/>
      <c r="Y763" s="223"/>
      <c r="Z763" s="223"/>
      <c r="AA763" s="223"/>
    </row>
    <row r="764" spans="1:28" hidden="1" outlineLevel="2" collapsed="1" x14ac:dyDescent="0.2">
      <c r="E764" s="82" t="s">
        <v>938</v>
      </c>
      <c r="F764" s="239">
        <f t="shared" ref="F764:K764" si="551">F765*INDEX(MBSDecCalc,$C761,3)</f>
        <v>0</v>
      </c>
      <c r="G764" s="239">
        <f t="shared" si="551"/>
        <v>0</v>
      </c>
      <c r="H764" s="239">
        <f t="shared" si="551"/>
        <v>0</v>
      </c>
      <c r="I764" s="239">
        <f t="shared" si="551"/>
        <v>0</v>
      </c>
      <c r="J764" s="239">
        <f t="shared" si="551"/>
        <v>0</v>
      </c>
      <c r="K764" s="239">
        <f t="shared" si="551"/>
        <v>0</v>
      </c>
      <c r="M764" s="471"/>
      <c r="N764" s="463"/>
      <c r="O764" s="463"/>
      <c r="P764" s="463"/>
      <c r="Q764" s="472"/>
      <c r="R764" s="472"/>
      <c r="S764" s="472"/>
      <c r="T764" s="472"/>
      <c r="U764" s="472"/>
      <c r="V764" s="472"/>
      <c r="X764" s="402">
        <f>INDEX(MBSDecItems,C761,1)</f>
        <v>0</v>
      </c>
      <c r="Y764" s="402">
        <f>FirstYear</f>
        <v>2026</v>
      </c>
      <c r="Z764" s="401">
        <f>IF(F765&lt;&gt;0,F765-F767,0)</f>
        <v>0</v>
      </c>
      <c r="AA764" s="401">
        <f>IF(F773&lt;&gt;0,F773-F775,0)</f>
        <v>0</v>
      </c>
    </row>
    <row r="765" spans="1:28" hidden="1" outlineLevel="2" x14ac:dyDescent="0.2">
      <c r="B765" s="468"/>
      <c r="C765" s="209" t="str">
        <f>INDEX(MBSDecCalc,C761,2)</f>
        <v/>
      </c>
      <c r="E765" s="56" t="s">
        <v>1297</v>
      </c>
      <c r="F765" s="57">
        <f t="shared" ref="F765:K765" si="552">IF(INDEX(MBSDecRate,$C761,2)=2,IFERROR(INDEX(PBSScriptsChanged,$C765,F762),0),IFERROR(INDEX(MBSPBSDec,$C761,INDEX(MBSDecRate,$C761,3)*7+F762),0) * IFERROR(INDEX(MBSDecPopSplit,$C761),0)) * INDEX(MBSDecRate,$C761,1) * INDEX(MBSDecRate,$C761,4)</f>
        <v>0</v>
      </c>
      <c r="G765" s="57">
        <f t="shared" si="552"/>
        <v>0</v>
      </c>
      <c r="H765" s="57">
        <f t="shared" si="552"/>
        <v>0</v>
      </c>
      <c r="I765" s="57">
        <f t="shared" si="552"/>
        <v>0</v>
      </c>
      <c r="J765" s="57">
        <f t="shared" si="552"/>
        <v>0</v>
      </c>
      <c r="K765" s="57">
        <f t="shared" si="552"/>
        <v>0</v>
      </c>
      <c r="O765" s="463"/>
      <c r="P765" s="463"/>
      <c r="Q765" s="472"/>
      <c r="R765" s="472"/>
      <c r="S765" s="472"/>
      <c r="T765" s="472"/>
      <c r="U765" s="472"/>
      <c r="V765" s="472"/>
      <c r="X765" s="402">
        <f>X764</f>
        <v>0</v>
      </c>
      <c r="Y765" s="402">
        <f>Y764+1</f>
        <v>2027</v>
      </c>
      <c r="Z765" s="401">
        <f>IF(G765&lt;&gt;0,G765-G767,0)</f>
        <v>0</v>
      </c>
      <c r="AA765" s="401">
        <f>IF(G773&lt;&gt;0,G773-G775,0)</f>
        <v>0</v>
      </c>
    </row>
    <row r="766" spans="1:28" hidden="1" outlineLevel="2" x14ac:dyDescent="0.2">
      <c r="B766" s="209">
        <v>5</v>
      </c>
      <c r="C766" s="209">
        <v>6</v>
      </c>
      <c r="E766" s="358" t="s">
        <v>1294</v>
      </c>
      <c r="F766" s="57" t="str">
        <f t="shared" ref="F766:K766" si="553">IFERROR(F765*INDEX(MBSDecItems,$C761,$B766)*INDEX(MBSDecItems,$C761,$C766),"")</f>
        <v/>
      </c>
      <c r="G766" s="57" t="str">
        <f t="shared" si="553"/>
        <v/>
      </c>
      <c r="H766" s="57" t="str">
        <f t="shared" si="553"/>
        <v/>
      </c>
      <c r="I766" s="57" t="str">
        <f t="shared" si="553"/>
        <v/>
      </c>
      <c r="J766" s="57" t="str">
        <f t="shared" si="553"/>
        <v/>
      </c>
      <c r="K766" s="57" t="str">
        <f t="shared" si="553"/>
        <v/>
      </c>
      <c r="O766" s="473"/>
      <c r="P766" s="514"/>
      <c r="Q766" s="472"/>
      <c r="R766" s="472"/>
      <c r="S766" s="472"/>
      <c r="T766" s="472"/>
      <c r="U766" s="472"/>
      <c r="V766" s="472"/>
      <c r="X766" s="402">
        <f t="shared" ref="X766:X769" si="554">X765</f>
        <v>0</v>
      </c>
      <c r="Y766" s="402">
        <f>Y765+1</f>
        <v>2028</v>
      </c>
      <c r="Z766" s="401">
        <f>IF(H765&lt;&gt;0,H765-H767,0)</f>
        <v>0</v>
      </c>
      <c r="AA766" s="401">
        <f>IF(H773&lt;&gt;0,H773-H775,0)</f>
        <v>0</v>
      </c>
    </row>
    <row r="767" spans="1:28" hidden="1" outlineLevel="2" x14ac:dyDescent="0.2">
      <c r="A767"/>
      <c r="B767" s="209">
        <v>4</v>
      </c>
      <c r="C767" s="209">
        <v>6</v>
      </c>
      <c r="E767" s="358" t="s">
        <v>1293</v>
      </c>
      <c r="F767" s="57" t="str">
        <f t="shared" ref="F767:K767" si="555">IFERROR(F765*INDEX(MBSDecItems,$C761,$B767)*INDEX(MBSDecItems,$C761,$C767),"")</f>
        <v/>
      </c>
      <c r="G767" s="57" t="str">
        <f t="shared" si="555"/>
        <v/>
      </c>
      <c r="H767" s="57" t="str">
        <f t="shared" si="555"/>
        <v/>
      </c>
      <c r="I767" s="57" t="str">
        <f t="shared" si="555"/>
        <v/>
      </c>
      <c r="J767" s="57" t="str">
        <f t="shared" si="555"/>
        <v/>
      </c>
      <c r="K767" s="57" t="str">
        <f t="shared" si="555"/>
        <v/>
      </c>
      <c r="L767"/>
      <c r="M767"/>
      <c r="N767"/>
      <c r="O767"/>
      <c r="P767"/>
      <c r="Q767"/>
      <c r="R767"/>
      <c r="S767"/>
      <c r="T767"/>
      <c r="U767"/>
      <c r="V767"/>
      <c r="X767" s="402">
        <f t="shared" si="554"/>
        <v>0</v>
      </c>
      <c r="Y767" s="402">
        <f>Y766+1</f>
        <v>2029</v>
      </c>
      <c r="Z767" s="401">
        <f>IF(I765&lt;&gt;0,I765-I767,0)</f>
        <v>0</v>
      </c>
      <c r="AA767" s="401">
        <f>IF(I773&lt;&gt;0,I773-I775,0)</f>
        <v>0</v>
      </c>
      <c r="AB767" s="223"/>
    </row>
    <row r="768" spans="1:28" hidden="1" outlineLevel="2" x14ac:dyDescent="0.2">
      <c r="B768" s="209"/>
      <c r="C768" s="209">
        <v>7</v>
      </c>
      <c r="E768" s="359" t="s">
        <v>1295</v>
      </c>
      <c r="F768" s="57" t="str">
        <f t="shared" ref="F768:K768" si="556">IFERROR(F765*INDEX(MBSDecItems,$C761,$C768),"")</f>
        <v/>
      </c>
      <c r="G768" s="57" t="str">
        <f t="shared" si="556"/>
        <v/>
      </c>
      <c r="H768" s="57" t="str">
        <f t="shared" si="556"/>
        <v/>
      </c>
      <c r="I768" s="57" t="str">
        <f t="shared" si="556"/>
        <v/>
      </c>
      <c r="J768" s="57" t="str">
        <f t="shared" si="556"/>
        <v/>
      </c>
      <c r="K768" s="57" t="str">
        <f t="shared" si="556"/>
        <v/>
      </c>
      <c r="O768" s="473"/>
      <c r="P768" s="514"/>
      <c r="Q768" s="472"/>
      <c r="R768" s="472"/>
      <c r="S768" s="472"/>
      <c r="T768" s="472"/>
      <c r="U768" s="472"/>
      <c r="V768" s="472"/>
      <c r="X768" s="402">
        <f t="shared" si="554"/>
        <v>0</v>
      </c>
      <c r="Y768" s="402">
        <f>Y767+1</f>
        <v>2030</v>
      </c>
      <c r="Z768" s="401">
        <f>IF(J765&lt;&gt;0,J765-J767,0)</f>
        <v>0</v>
      </c>
      <c r="AA768" s="401">
        <f>IF(J773&lt;&gt;0,J773-J775,0)</f>
        <v>0</v>
      </c>
      <c r="AB768" s="223"/>
    </row>
    <row r="769" spans="1:28" hidden="1" outlineLevel="2" x14ac:dyDescent="0.2">
      <c r="O769" s="473"/>
      <c r="P769" s="473"/>
      <c r="Q769" s="472"/>
      <c r="R769" s="472"/>
      <c r="S769" s="472"/>
      <c r="T769" s="472"/>
      <c r="U769" s="472"/>
      <c r="V769" s="472"/>
      <c r="X769" s="402">
        <f t="shared" si="554"/>
        <v>0</v>
      </c>
      <c r="Y769" s="402">
        <f>Y768+1</f>
        <v>2031</v>
      </c>
      <c r="Z769" s="401">
        <f>IF(K765&lt;&gt;0,K765-K767,0)</f>
        <v>0</v>
      </c>
      <c r="AA769" s="401">
        <f>IF(K773&lt;&gt;0,K773-K775,0)</f>
        <v>0</v>
      </c>
      <c r="AB769" s="469"/>
    </row>
    <row r="770" spans="1:28" hidden="1" outlineLevel="2" x14ac:dyDescent="0.2">
      <c r="D770" s="360"/>
      <c r="E770" s="360"/>
      <c r="F770" s="357">
        <v>2</v>
      </c>
      <c r="G770" s="357">
        <v>3</v>
      </c>
      <c r="H770" s="357">
        <v>4</v>
      </c>
      <c r="I770" s="357">
        <v>5</v>
      </c>
      <c r="J770" s="357">
        <v>6</v>
      </c>
      <c r="K770" s="357">
        <v>7</v>
      </c>
      <c r="N770" s="360"/>
      <c r="O770" s="360"/>
      <c r="P770" s="360"/>
      <c r="AB770" s="469"/>
    </row>
    <row r="771" spans="1:28" ht="15.75" hidden="1" outlineLevel="2" x14ac:dyDescent="0.2">
      <c r="D771" s="462" t="s">
        <v>1</v>
      </c>
      <c r="E771" s="462"/>
      <c r="F771" s="74">
        <f>FirstYear</f>
        <v>2026</v>
      </c>
      <c r="G771" s="74">
        <f>F771+1</f>
        <v>2027</v>
      </c>
      <c r="H771" s="74">
        <f>G771+1</f>
        <v>2028</v>
      </c>
      <c r="I771" s="74">
        <f>H771+1</f>
        <v>2029</v>
      </c>
      <c r="J771" s="74">
        <f>I771+1</f>
        <v>2030</v>
      </c>
      <c r="K771" s="74">
        <f>J771+1</f>
        <v>2031</v>
      </c>
      <c r="N771" s="466"/>
      <c r="O771" s="466"/>
      <c r="P771" s="466"/>
      <c r="AB771" s="469"/>
    </row>
    <row r="772" spans="1:28" hidden="1" outlineLevel="2" x14ac:dyDescent="0.2">
      <c r="E772" s="82" t="s">
        <v>938</v>
      </c>
      <c r="F772" s="239">
        <f t="shared" ref="F772:K772" si="557">F773*INDEX(MBSDecCalc,$C761,3)</f>
        <v>0</v>
      </c>
      <c r="G772" s="239">
        <f t="shared" si="557"/>
        <v>0</v>
      </c>
      <c r="H772" s="239">
        <f t="shared" si="557"/>
        <v>0</v>
      </c>
      <c r="I772" s="239">
        <f t="shared" si="557"/>
        <v>0</v>
      </c>
      <c r="J772" s="239">
        <f t="shared" si="557"/>
        <v>0</v>
      </c>
      <c r="K772" s="239">
        <f t="shared" si="557"/>
        <v>0</v>
      </c>
      <c r="M772"/>
      <c r="N772"/>
      <c r="O772" s="360"/>
      <c r="P772" s="360"/>
      <c r="AB772" s="469"/>
    </row>
    <row r="773" spans="1:28" hidden="1" outlineLevel="2" x14ac:dyDescent="0.2">
      <c r="B773" s="468"/>
      <c r="C773" s="209" t="str">
        <f>C765</f>
        <v/>
      </c>
      <c r="E773" s="56" t="s">
        <v>1297</v>
      </c>
      <c r="F773" s="57">
        <f t="shared" ref="F773:K773" si="558">IF(INDEX(MBSDecRate,$C761,2)=2,IFERROR(INDEX(RPBSScriptsChanged,$C773,F770),0),IFERROR(INDEX(MBSRPBSDec,$C761,INDEX(MBSDecRate,$C761,3)*7+F770),0) * IFERROR(INDEX(MBSDecPopSplit,$C761),0)) * INDEX(MBSDecRate,$C761,1) * INDEX(MBSDecRate,$C761,4)</f>
        <v>0</v>
      </c>
      <c r="G773" s="57">
        <f t="shared" si="558"/>
        <v>0</v>
      </c>
      <c r="H773" s="57">
        <f t="shared" si="558"/>
        <v>0</v>
      </c>
      <c r="I773" s="57">
        <f t="shared" si="558"/>
        <v>0</v>
      </c>
      <c r="J773" s="57">
        <f t="shared" si="558"/>
        <v>0</v>
      </c>
      <c r="K773" s="57">
        <f t="shared" si="558"/>
        <v>0</v>
      </c>
      <c r="N773" s="344"/>
      <c r="O773" s="360"/>
      <c r="P773" s="360"/>
      <c r="AB773" s="469"/>
    </row>
    <row r="774" spans="1:28" hidden="1" outlineLevel="2" x14ac:dyDescent="0.2">
      <c r="B774" s="209">
        <v>5</v>
      </c>
      <c r="C774" s="209">
        <v>6</v>
      </c>
      <c r="E774" s="358" t="s">
        <v>1294</v>
      </c>
      <c r="F774" s="57" t="str">
        <f t="shared" ref="F774:K774" si="559">IFERROR(F773*INDEX(MBSDecItems,$C761,$B774)*INDEX(MBSDecItems,$C761,$C774),"")</f>
        <v/>
      </c>
      <c r="G774" s="57" t="str">
        <f t="shared" si="559"/>
        <v/>
      </c>
      <c r="H774" s="57" t="str">
        <f t="shared" si="559"/>
        <v/>
      </c>
      <c r="I774" s="57" t="str">
        <f t="shared" si="559"/>
        <v/>
      </c>
      <c r="J774" s="57" t="str">
        <f t="shared" si="559"/>
        <v/>
      </c>
      <c r="K774" s="57" t="str">
        <f t="shared" si="559"/>
        <v/>
      </c>
      <c r="M774" s="474"/>
      <c r="N774" s="344"/>
      <c r="O774" s="360"/>
      <c r="P774" s="360"/>
    </row>
    <row r="775" spans="1:28" hidden="1" outlineLevel="2" x14ac:dyDescent="0.2">
      <c r="B775" s="209">
        <v>4</v>
      </c>
      <c r="C775" s="209">
        <v>6</v>
      </c>
      <c r="E775" s="358" t="s">
        <v>1293</v>
      </c>
      <c r="F775" s="57" t="str">
        <f t="shared" ref="F775:K775" si="560">IFERROR(F773*INDEX(MBSDecItems,$C761,$B775)*INDEX(MBSDecItems,$C761,$C775),"")</f>
        <v/>
      </c>
      <c r="G775" s="57" t="str">
        <f t="shared" si="560"/>
        <v/>
      </c>
      <c r="H775" s="57" t="str">
        <f t="shared" si="560"/>
        <v/>
      </c>
      <c r="I775" s="57" t="str">
        <f t="shared" si="560"/>
        <v/>
      </c>
      <c r="J775" s="57" t="str">
        <f t="shared" si="560"/>
        <v/>
      </c>
      <c r="K775" s="57" t="str">
        <f t="shared" si="560"/>
        <v/>
      </c>
      <c r="M775" s="475"/>
      <c r="N775" s="473"/>
      <c r="O775" s="360"/>
      <c r="P775" s="360"/>
    </row>
    <row r="776" spans="1:28" hidden="1" outlineLevel="2" x14ac:dyDescent="0.2">
      <c r="B776" s="209"/>
      <c r="C776" s="209">
        <v>7</v>
      </c>
      <c r="E776" s="359" t="s">
        <v>1295</v>
      </c>
      <c r="F776" s="57" t="str">
        <f t="shared" ref="F776:K776" si="561">IFERROR(F773*INDEX(MBSDecItems,$C761,$C776),"")</f>
        <v/>
      </c>
      <c r="G776" s="57" t="str">
        <f t="shared" si="561"/>
        <v/>
      </c>
      <c r="H776" s="57" t="str">
        <f t="shared" si="561"/>
        <v/>
      </c>
      <c r="I776" s="57" t="str">
        <f t="shared" si="561"/>
        <v/>
      </c>
      <c r="J776" s="57" t="str">
        <f t="shared" si="561"/>
        <v/>
      </c>
      <c r="K776" s="57" t="str">
        <f t="shared" si="561"/>
        <v/>
      </c>
      <c r="M776" s="475"/>
      <c r="N776" s="473"/>
      <c r="O776" s="360"/>
      <c r="P776" s="360"/>
    </row>
    <row r="777" spans="1:28" outlineLevel="1" collapsed="1" x14ac:dyDescent="0.2">
      <c r="D777" s="360"/>
      <c r="E777" s="360"/>
      <c r="N777" s="360"/>
      <c r="O777" s="360"/>
      <c r="P777" s="360"/>
    </row>
    <row r="778" spans="1:28" ht="15.75" outlineLevel="1" x14ac:dyDescent="0.2">
      <c r="C778" s="209">
        <v>17</v>
      </c>
      <c r="D778" s="72" t="str">
        <f>INDEX(MBSDecNames,C778)</f>
        <v>** NOT USED **</v>
      </c>
      <c r="E778" s="72"/>
      <c r="F778" s="105"/>
      <c r="G778" s="105"/>
      <c r="H778" s="105"/>
      <c r="I778" s="105"/>
      <c r="J778" s="588" t="str">
        <f>IF(D778&lt;&gt;MsgNotUsed,"Co-payment group " &amp; K607,"")</f>
        <v/>
      </c>
      <c r="K778" s="588"/>
      <c r="L778" s="105"/>
      <c r="M778" s="105"/>
      <c r="N778" s="105"/>
      <c r="O778" s="105"/>
      <c r="P778" s="105"/>
      <c r="Q778" s="105"/>
      <c r="R778" s="105"/>
      <c r="S778" s="105"/>
      <c r="T778" s="105"/>
      <c r="U778" s="105"/>
      <c r="V778" s="105"/>
    </row>
    <row r="779" spans="1:28" hidden="1" outlineLevel="2" x14ac:dyDescent="0.2">
      <c r="F779" s="357">
        <v>2</v>
      </c>
      <c r="G779" s="357">
        <v>3</v>
      </c>
      <c r="H779" s="357">
        <v>4</v>
      </c>
      <c r="I779" s="357">
        <v>5</v>
      </c>
      <c r="J779" s="357">
        <v>6</v>
      </c>
      <c r="K779" s="357">
        <v>7</v>
      </c>
      <c r="L779" s="357"/>
    </row>
    <row r="780" spans="1:28" ht="15" hidden="1" outlineLevel="2" x14ac:dyDescent="0.2">
      <c r="D780" s="462" t="s">
        <v>0</v>
      </c>
      <c r="E780" s="462"/>
      <c r="F780" s="74">
        <f>FirstYear</f>
        <v>2026</v>
      </c>
      <c r="G780" s="74">
        <f>F780+1</f>
        <v>2027</v>
      </c>
      <c r="H780" s="74">
        <f>G780+1</f>
        <v>2028</v>
      </c>
      <c r="I780" s="74">
        <f>H780+1</f>
        <v>2029</v>
      </c>
      <c r="J780" s="74">
        <f>I780+1</f>
        <v>2030</v>
      </c>
      <c r="K780" s="74">
        <f>J780+1</f>
        <v>2031</v>
      </c>
      <c r="N780" s="470"/>
      <c r="O780" s="470"/>
      <c r="P780" s="470"/>
      <c r="Q780" s="223"/>
      <c r="R780" s="223"/>
      <c r="S780" s="223"/>
      <c r="T780" s="223"/>
      <c r="U780" s="223"/>
      <c r="V780" s="223"/>
      <c r="X780" s="223"/>
      <c r="Y780" s="223"/>
      <c r="Z780" s="223"/>
      <c r="AA780" s="223"/>
    </row>
    <row r="781" spans="1:28" hidden="1" outlineLevel="2" collapsed="1" x14ac:dyDescent="0.2">
      <c r="E781" s="82" t="s">
        <v>938</v>
      </c>
      <c r="F781" s="239">
        <f t="shared" ref="F781:K781" si="562">F782*INDEX(MBSDecCalc,$C778,3)</f>
        <v>0</v>
      </c>
      <c r="G781" s="239">
        <f t="shared" si="562"/>
        <v>0</v>
      </c>
      <c r="H781" s="239">
        <f t="shared" si="562"/>
        <v>0</v>
      </c>
      <c r="I781" s="239">
        <f t="shared" si="562"/>
        <v>0</v>
      </c>
      <c r="J781" s="239">
        <f t="shared" si="562"/>
        <v>0</v>
      </c>
      <c r="K781" s="239">
        <f t="shared" si="562"/>
        <v>0</v>
      </c>
      <c r="M781" s="471"/>
      <c r="N781" s="463"/>
      <c r="O781" s="463"/>
      <c r="P781" s="463"/>
      <c r="Q781" s="472"/>
      <c r="R781" s="472"/>
      <c r="S781" s="472"/>
      <c r="T781" s="472"/>
      <c r="U781" s="472"/>
      <c r="V781" s="472"/>
      <c r="X781" s="402">
        <f>INDEX(MBSDecItems,C778,1)</f>
        <v>0</v>
      </c>
      <c r="Y781" s="402">
        <f>FirstYear</f>
        <v>2026</v>
      </c>
      <c r="Z781" s="401">
        <f>IF(F782&lt;&gt;0,F782-F784,0)</f>
        <v>0</v>
      </c>
      <c r="AA781" s="401">
        <f>IF(F790&lt;&gt;0,F790-F792,0)</f>
        <v>0</v>
      </c>
    </row>
    <row r="782" spans="1:28" hidden="1" outlineLevel="2" x14ac:dyDescent="0.2">
      <c r="B782" s="468"/>
      <c r="C782" s="209" t="str">
        <f>INDEX(MBSDecCalc,C778,2)</f>
        <v/>
      </c>
      <c r="E782" s="56" t="s">
        <v>1297</v>
      </c>
      <c r="F782" s="57">
        <f t="shared" ref="F782:K782" si="563">IF(INDEX(MBSDecRate,$C778,2)=2,IFERROR(INDEX(PBSScriptsChanged,$C782,F779),0),IFERROR(INDEX(MBSPBSDec,$C778,INDEX(MBSDecRate,$C778,3)*7+F779),0) * IFERROR(INDEX(MBSDecPopSplit,$C778),0)) * INDEX(MBSDecRate,$C778,1) * INDEX(MBSDecRate,$C778,4)</f>
        <v>0</v>
      </c>
      <c r="G782" s="57">
        <f t="shared" si="563"/>
        <v>0</v>
      </c>
      <c r="H782" s="57">
        <f t="shared" si="563"/>
        <v>0</v>
      </c>
      <c r="I782" s="57">
        <f t="shared" si="563"/>
        <v>0</v>
      </c>
      <c r="J782" s="57">
        <f t="shared" si="563"/>
        <v>0</v>
      </c>
      <c r="K782" s="57">
        <f t="shared" si="563"/>
        <v>0</v>
      </c>
      <c r="O782" s="463"/>
      <c r="P782" s="463"/>
      <c r="Q782" s="472"/>
      <c r="R782" s="472"/>
      <c r="S782" s="472"/>
      <c r="T782" s="472"/>
      <c r="U782" s="472"/>
      <c r="V782" s="472"/>
      <c r="X782" s="402">
        <f>X781</f>
        <v>0</v>
      </c>
      <c r="Y782" s="402">
        <f>Y781+1</f>
        <v>2027</v>
      </c>
      <c r="Z782" s="401">
        <f>IF(G782&lt;&gt;0,G782-G784,0)</f>
        <v>0</v>
      </c>
      <c r="AA782" s="401">
        <f>IF(G790&lt;&gt;0,G790-G792,0)</f>
        <v>0</v>
      </c>
    </row>
    <row r="783" spans="1:28" hidden="1" outlineLevel="2" x14ac:dyDescent="0.2">
      <c r="B783" s="209">
        <v>5</v>
      </c>
      <c r="C783" s="209">
        <v>6</v>
      </c>
      <c r="E783" s="358" t="s">
        <v>1294</v>
      </c>
      <c r="F783" s="57" t="str">
        <f t="shared" ref="F783:K783" si="564">IFERROR(F782*INDEX(MBSDecItems,$C778,$B783)*INDEX(MBSDecItems,$C778,$C783),"")</f>
        <v/>
      </c>
      <c r="G783" s="57" t="str">
        <f t="shared" si="564"/>
        <v/>
      </c>
      <c r="H783" s="57" t="str">
        <f t="shared" si="564"/>
        <v/>
      </c>
      <c r="I783" s="57" t="str">
        <f t="shared" si="564"/>
        <v/>
      </c>
      <c r="J783" s="57" t="str">
        <f t="shared" si="564"/>
        <v/>
      </c>
      <c r="K783" s="57" t="str">
        <f t="shared" si="564"/>
        <v/>
      </c>
      <c r="O783" s="473"/>
      <c r="P783" s="514"/>
      <c r="Q783" s="472"/>
      <c r="R783" s="472"/>
      <c r="S783" s="472"/>
      <c r="T783" s="472"/>
      <c r="U783" s="472"/>
      <c r="V783" s="472"/>
      <c r="X783" s="402">
        <f t="shared" ref="X783:X786" si="565">X782</f>
        <v>0</v>
      </c>
      <c r="Y783" s="402">
        <f>Y782+1</f>
        <v>2028</v>
      </c>
      <c r="Z783" s="401">
        <f>IF(H782&lt;&gt;0,H782-H784,0)</f>
        <v>0</v>
      </c>
      <c r="AA783" s="401">
        <f>IF(H790&lt;&gt;0,H790-H792,0)</f>
        <v>0</v>
      </c>
    </row>
    <row r="784" spans="1:28" hidden="1" outlineLevel="2" x14ac:dyDescent="0.2">
      <c r="A784"/>
      <c r="B784" s="209">
        <v>4</v>
      </c>
      <c r="C784" s="209">
        <v>6</v>
      </c>
      <c r="E784" s="358" t="s">
        <v>1293</v>
      </c>
      <c r="F784" s="57" t="str">
        <f t="shared" ref="F784:K784" si="566">IFERROR(F782*INDEX(MBSDecItems,$C778,$B784)*INDEX(MBSDecItems,$C778,$C784),"")</f>
        <v/>
      </c>
      <c r="G784" s="57" t="str">
        <f t="shared" si="566"/>
        <v/>
      </c>
      <c r="H784" s="57" t="str">
        <f t="shared" si="566"/>
        <v/>
      </c>
      <c r="I784" s="57" t="str">
        <f t="shared" si="566"/>
        <v/>
      </c>
      <c r="J784" s="57" t="str">
        <f t="shared" si="566"/>
        <v/>
      </c>
      <c r="K784" s="57" t="str">
        <f t="shared" si="566"/>
        <v/>
      </c>
      <c r="L784"/>
      <c r="M784"/>
      <c r="N784"/>
      <c r="O784"/>
      <c r="P784"/>
      <c r="Q784"/>
      <c r="R784"/>
      <c r="S784"/>
      <c r="T784"/>
      <c r="U784"/>
      <c r="V784"/>
      <c r="X784" s="402">
        <f t="shared" si="565"/>
        <v>0</v>
      </c>
      <c r="Y784" s="402">
        <f>Y783+1</f>
        <v>2029</v>
      </c>
      <c r="Z784" s="401">
        <f>IF(I782&lt;&gt;0,I782-I784,0)</f>
        <v>0</v>
      </c>
      <c r="AA784" s="401">
        <f>IF(I790&lt;&gt;0,I790-I792,0)</f>
        <v>0</v>
      </c>
      <c r="AB784" s="223"/>
    </row>
    <row r="785" spans="2:28" hidden="1" outlineLevel="2" x14ac:dyDescent="0.2">
      <c r="B785" s="209"/>
      <c r="C785" s="209">
        <v>7</v>
      </c>
      <c r="E785" s="359" t="s">
        <v>1295</v>
      </c>
      <c r="F785" s="57" t="str">
        <f t="shared" ref="F785:K785" si="567">IFERROR(F782*INDEX(MBSDecItems,$C778,$C785),"")</f>
        <v/>
      </c>
      <c r="G785" s="57" t="str">
        <f t="shared" si="567"/>
        <v/>
      </c>
      <c r="H785" s="57" t="str">
        <f t="shared" si="567"/>
        <v/>
      </c>
      <c r="I785" s="57" t="str">
        <f t="shared" si="567"/>
        <v/>
      </c>
      <c r="J785" s="57" t="str">
        <f t="shared" si="567"/>
        <v/>
      </c>
      <c r="K785" s="57" t="str">
        <f t="shared" si="567"/>
        <v/>
      </c>
      <c r="O785" s="473"/>
      <c r="P785" s="514"/>
      <c r="Q785" s="472"/>
      <c r="R785" s="472"/>
      <c r="S785" s="472"/>
      <c r="T785" s="472"/>
      <c r="U785" s="472"/>
      <c r="V785" s="472"/>
      <c r="X785" s="402">
        <f t="shared" si="565"/>
        <v>0</v>
      </c>
      <c r="Y785" s="402">
        <f>Y784+1</f>
        <v>2030</v>
      </c>
      <c r="Z785" s="401">
        <f>IF(J782&lt;&gt;0,J782-J784,0)</f>
        <v>0</v>
      </c>
      <c r="AA785" s="401">
        <f>IF(J790&lt;&gt;0,J790-J792,0)</f>
        <v>0</v>
      </c>
      <c r="AB785" s="223"/>
    </row>
    <row r="786" spans="2:28" hidden="1" outlineLevel="2" x14ac:dyDescent="0.2">
      <c r="O786" s="473"/>
      <c r="P786" s="473"/>
      <c r="Q786" s="472"/>
      <c r="R786" s="472"/>
      <c r="S786" s="472"/>
      <c r="T786" s="472"/>
      <c r="U786" s="472"/>
      <c r="V786" s="472"/>
      <c r="X786" s="402">
        <f t="shared" si="565"/>
        <v>0</v>
      </c>
      <c r="Y786" s="402">
        <f>Y785+1</f>
        <v>2031</v>
      </c>
      <c r="Z786" s="401">
        <f>IF(K782&lt;&gt;0,K782-K784,0)</f>
        <v>0</v>
      </c>
      <c r="AA786" s="401">
        <f>IF(K790&lt;&gt;0,K790-K792,0)</f>
        <v>0</v>
      </c>
      <c r="AB786" s="469"/>
    </row>
    <row r="787" spans="2:28" hidden="1" outlineLevel="2" x14ac:dyDescent="0.2">
      <c r="D787" s="360"/>
      <c r="E787" s="360"/>
      <c r="F787" s="357">
        <v>2</v>
      </c>
      <c r="G787" s="357">
        <v>3</v>
      </c>
      <c r="H787" s="357">
        <v>4</v>
      </c>
      <c r="I787" s="357">
        <v>5</v>
      </c>
      <c r="J787" s="357">
        <v>6</v>
      </c>
      <c r="K787" s="357">
        <v>7</v>
      </c>
      <c r="N787" s="360"/>
      <c r="O787" s="360"/>
      <c r="P787" s="360"/>
      <c r="AB787" s="469"/>
    </row>
    <row r="788" spans="2:28" ht="15.75" hidden="1" outlineLevel="2" x14ac:dyDescent="0.2">
      <c r="D788" s="462" t="s">
        <v>1</v>
      </c>
      <c r="E788" s="462"/>
      <c r="F788" s="74">
        <f>FirstYear</f>
        <v>2026</v>
      </c>
      <c r="G788" s="74">
        <f>F788+1</f>
        <v>2027</v>
      </c>
      <c r="H788" s="74">
        <f>G788+1</f>
        <v>2028</v>
      </c>
      <c r="I788" s="74">
        <f>H788+1</f>
        <v>2029</v>
      </c>
      <c r="J788" s="74">
        <f>I788+1</f>
        <v>2030</v>
      </c>
      <c r="K788" s="74">
        <f>J788+1</f>
        <v>2031</v>
      </c>
      <c r="N788" s="466"/>
      <c r="O788" s="466"/>
      <c r="P788" s="466"/>
      <c r="AB788" s="469"/>
    </row>
    <row r="789" spans="2:28" hidden="1" outlineLevel="2" x14ac:dyDescent="0.2">
      <c r="E789" s="82" t="s">
        <v>938</v>
      </c>
      <c r="F789" s="239">
        <f t="shared" ref="F789:K789" si="568">F790*INDEX(MBSDecCalc,$C778,3)</f>
        <v>0</v>
      </c>
      <c r="G789" s="239">
        <f t="shared" si="568"/>
        <v>0</v>
      </c>
      <c r="H789" s="239">
        <f t="shared" si="568"/>
        <v>0</v>
      </c>
      <c r="I789" s="239">
        <f t="shared" si="568"/>
        <v>0</v>
      </c>
      <c r="J789" s="239">
        <f t="shared" si="568"/>
        <v>0</v>
      </c>
      <c r="K789" s="239">
        <f t="shared" si="568"/>
        <v>0</v>
      </c>
      <c r="M789"/>
      <c r="N789"/>
      <c r="O789" s="360"/>
      <c r="P789" s="360"/>
      <c r="AB789" s="469"/>
    </row>
    <row r="790" spans="2:28" hidden="1" outlineLevel="2" x14ac:dyDescent="0.2">
      <c r="B790" s="468"/>
      <c r="C790" s="209" t="str">
        <f>C782</f>
        <v/>
      </c>
      <c r="E790" s="56" t="s">
        <v>1297</v>
      </c>
      <c r="F790" s="57">
        <f t="shared" ref="F790:K790" si="569">IF(INDEX(MBSDecRate,$C778,2)=2,IFERROR(INDEX(RPBSScriptsChanged,$C790,F787),0),IFERROR(INDEX(MBSRPBSDec,$C778,INDEX(MBSDecRate,$C778,3)*7+F787),0) * IFERROR(INDEX(MBSDecPopSplit,$C778),0)) * INDEX(MBSDecRate,$C778,1) * INDEX(MBSDecRate,$C778,4)</f>
        <v>0</v>
      </c>
      <c r="G790" s="57">
        <f t="shared" si="569"/>
        <v>0</v>
      </c>
      <c r="H790" s="57">
        <f t="shared" si="569"/>
        <v>0</v>
      </c>
      <c r="I790" s="57">
        <f t="shared" si="569"/>
        <v>0</v>
      </c>
      <c r="J790" s="57">
        <f t="shared" si="569"/>
        <v>0</v>
      </c>
      <c r="K790" s="57">
        <f t="shared" si="569"/>
        <v>0</v>
      </c>
      <c r="N790" s="344"/>
      <c r="O790" s="360"/>
      <c r="P790" s="360"/>
      <c r="AB790" s="469"/>
    </row>
    <row r="791" spans="2:28" hidden="1" outlineLevel="2" x14ac:dyDescent="0.2">
      <c r="B791" s="209">
        <v>5</v>
      </c>
      <c r="C791" s="209">
        <v>6</v>
      </c>
      <c r="E791" s="358" t="s">
        <v>1294</v>
      </c>
      <c r="F791" s="57" t="str">
        <f t="shared" ref="F791:K791" si="570">IFERROR(F790*INDEX(MBSDecItems,$C778,$B791)*INDEX(MBSDecItems,$C778,$C791),"")</f>
        <v/>
      </c>
      <c r="G791" s="57" t="str">
        <f t="shared" si="570"/>
        <v/>
      </c>
      <c r="H791" s="57" t="str">
        <f t="shared" si="570"/>
        <v/>
      </c>
      <c r="I791" s="57" t="str">
        <f t="shared" si="570"/>
        <v/>
      </c>
      <c r="J791" s="57" t="str">
        <f t="shared" si="570"/>
        <v/>
      </c>
      <c r="K791" s="57" t="str">
        <f t="shared" si="570"/>
        <v/>
      </c>
      <c r="M791" s="474"/>
      <c r="N791" s="344"/>
      <c r="O791" s="360"/>
      <c r="P791" s="360"/>
    </row>
    <row r="792" spans="2:28" hidden="1" outlineLevel="2" x14ac:dyDescent="0.2">
      <c r="B792" s="209">
        <v>4</v>
      </c>
      <c r="C792" s="209">
        <v>6</v>
      </c>
      <c r="E792" s="358" t="s">
        <v>1293</v>
      </c>
      <c r="F792" s="57" t="str">
        <f t="shared" ref="F792:K792" si="571">IFERROR(F790*INDEX(MBSDecItems,$C778,$B792)*INDEX(MBSDecItems,$C778,$C792),"")</f>
        <v/>
      </c>
      <c r="G792" s="57" t="str">
        <f t="shared" si="571"/>
        <v/>
      </c>
      <c r="H792" s="57" t="str">
        <f t="shared" si="571"/>
        <v/>
      </c>
      <c r="I792" s="57" t="str">
        <f t="shared" si="571"/>
        <v/>
      </c>
      <c r="J792" s="57" t="str">
        <f t="shared" si="571"/>
        <v/>
      </c>
      <c r="K792" s="57" t="str">
        <f t="shared" si="571"/>
        <v/>
      </c>
      <c r="M792" s="475"/>
      <c r="N792" s="473"/>
      <c r="O792" s="360"/>
      <c r="P792" s="360"/>
    </row>
    <row r="793" spans="2:28" hidden="1" outlineLevel="2" x14ac:dyDescent="0.2">
      <c r="B793" s="209"/>
      <c r="C793" s="209">
        <v>7</v>
      </c>
      <c r="E793" s="359" t="s">
        <v>1295</v>
      </c>
      <c r="F793" s="57" t="str">
        <f t="shared" ref="F793:K793" si="572">IFERROR(F790*INDEX(MBSDecItems,$C778,$C793),"")</f>
        <v/>
      </c>
      <c r="G793" s="57" t="str">
        <f t="shared" si="572"/>
        <v/>
      </c>
      <c r="H793" s="57" t="str">
        <f t="shared" si="572"/>
        <v/>
      </c>
      <c r="I793" s="57" t="str">
        <f t="shared" si="572"/>
        <v/>
      </c>
      <c r="J793" s="57" t="str">
        <f t="shared" si="572"/>
        <v/>
      </c>
      <c r="K793" s="57" t="str">
        <f t="shared" si="572"/>
        <v/>
      </c>
      <c r="M793" s="475"/>
      <c r="N793" s="473"/>
      <c r="O793" s="360"/>
      <c r="P793" s="360"/>
    </row>
    <row r="794" spans="2:28" outlineLevel="1" collapsed="1" x14ac:dyDescent="0.2">
      <c r="D794" s="360"/>
      <c r="E794" s="360"/>
      <c r="N794" s="360"/>
      <c r="O794" s="360"/>
      <c r="P794" s="360"/>
    </row>
    <row r="795" spans="2:28" ht="15.75" outlineLevel="1" x14ac:dyDescent="0.2">
      <c r="C795" s="209">
        <v>18</v>
      </c>
      <c r="D795" s="72" t="str">
        <f>INDEX(MBSDecNames,C795)</f>
        <v>** NOT USED **</v>
      </c>
      <c r="E795" s="72"/>
      <c r="F795" s="105"/>
      <c r="G795" s="105"/>
      <c r="H795" s="105"/>
      <c r="I795" s="105"/>
      <c r="J795" s="588" t="str">
        <f>IF(D795&lt;&gt;MsgNotUsed,"Co-payment group " &amp; K624,"")</f>
        <v/>
      </c>
      <c r="K795" s="588"/>
      <c r="L795" s="105"/>
      <c r="M795" s="105"/>
      <c r="N795" s="105"/>
      <c r="O795" s="105"/>
      <c r="P795" s="105"/>
      <c r="Q795" s="105"/>
      <c r="R795" s="105"/>
      <c r="S795" s="105"/>
      <c r="T795" s="105"/>
      <c r="U795" s="105"/>
      <c r="V795" s="105"/>
    </row>
    <row r="796" spans="2:28" hidden="1" outlineLevel="2" x14ac:dyDescent="0.2">
      <c r="F796" s="357">
        <v>2</v>
      </c>
      <c r="G796" s="357">
        <v>3</v>
      </c>
      <c r="H796" s="357">
        <v>4</v>
      </c>
      <c r="I796" s="357">
        <v>5</v>
      </c>
      <c r="J796" s="357">
        <v>6</v>
      </c>
      <c r="K796" s="357">
        <v>7</v>
      </c>
      <c r="L796" s="357"/>
    </row>
    <row r="797" spans="2:28" ht="15" hidden="1" outlineLevel="2" x14ac:dyDescent="0.2">
      <c r="D797" s="462" t="s">
        <v>0</v>
      </c>
      <c r="E797" s="462"/>
      <c r="F797" s="74">
        <f>FirstYear</f>
        <v>2026</v>
      </c>
      <c r="G797" s="74">
        <f>F797+1</f>
        <v>2027</v>
      </c>
      <c r="H797" s="74">
        <f>G797+1</f>
        <v>2028</v>
      </c>
      <c r="I797" s="74">
        <f>H797+1</f>
        <v>2029</v>
      </c>
      <c r="J797" s="74">
        <f>I797+1</f>
        <v>2030</v>
      </c>
      <c r="K797" s="74">
        <f>J797+1</f>
        <v>2031</v>
      </c>
      <c r="N797" s="470"/>
      <c r="O797" s="470"/>
      <c r="P797" s="470"/>
      <c r="Q797" s="223"/>
      <c r="R797" s="223"/>
      <c r="S797" s="223"/>
      <c r="T797" s="223"/>
      <c r="U797" s="223"/>
      <c r="V797" s="223"/>
      <c r="X797" s="223"/>
      <c r="Y797" s="223"/>
      <c r="Z797" s="223"/>
      <c r="AA797" s="223"/>
    </row>
    <row r="798" spans="2:28" hidden="1" outlineLevel="2" collapsed="1" x14ac:dyDescent="0.2">
      <c r="E798" s="82" t="s">
        <v>938</v>
      </c>
      <c r="F798" s="239">
        <f t="shared" ref="F798:K798" si="573">F799*INDEX(MBSDecCalc,$C795,3)</f>
        <v>0</v>
      </c>
      <c r="G798" s="239">
        <f t="shared" si="573"/>
        <v>0</v>
      </c>
      <c r="H798" s="239">
        <f t="shared" si="573"/>
        <v>0</v>
      </c>
      <c r="I798" s="239">
        <f t="shared" si="573"/>
        <v>0</v>
      </c>
      <c r="J798" s="239">
        <f t="shared" si="573"/>
        <v>0</v>
      </c>
      <c r="K798" s="239">
        <f t="shared" si="573"/>
        <v>0</v>
      </c>
      <c r="M798" s="471"/>
      <c r="N798" s="463"/>
      <c r="O798" s="463"/>
      <c r="P798" s="463"/>
      <c r="Q798" s="472"/>
      <c r="R798" s="472"/>
      <c r="S798" s="472"/>
      <c r="T798" s="472"/>
      <c r="U798" s="472"/>
      <c r="V798" s="472"/>
      <c r="X798" s="402">
        <f>INDEX(MBSDecItems,C795,1)</f>
        <v>0</v>
      </c>
      <c r="Y798" s="402">
        <f>FirstYear</f>
        <v>2026</v>
      </c>
      <c r="Z798" s="401">
        <f>IF(F799&lt;&gt;0,F799-F801,0)</f>
        <v>0</v>
      </c>
      <c r="AA798" s="401">
        <f>IF(F807&lt;&gt;0,F807-F809,0)</f>
        <v>0</v>
      </c>
    </row>
    <row r="799" spans="2:28" hidden="1" outlineLevel="2" x14ac:dyDescent="0.2">
      <c r="B799" s="468"/>
      <c r="C799" s="209" t="str">
        <f>INDEX(MBSDecCalc,C795,2)</f>
        <v/>
      </c>
      <c r="E799" s="56" t="s">
        <v>1297</v>
      </c>
      <c r="F799" s="57">
        <f t="shared" ref="F799:K799" si="574">IF(INDEX(MBSDecRate,$C795,2)=2,IFERROR(INDEX(PBSScriptsChanged,$C799,F796),0),IFERROR(INDEX(MBSPBSDec,$C795,INDEX(MBSDecRate,$C795,3)*7+F796),0) * IFERROR(INDEX(MBSDecPopSplit,$C795),0)) * INDEX(MBSDecRate,$C795,1) * INDEX(MBSDecRate,$C795,4)</f>
        <v>0</v>
      </c>
      <c r="G799" s="57">
        <f t="shared" si="574"/>
        <v>0</v>
      </c>
      <c r="H799" s="57">
        <f t="shared" si="574"/>
        <v>0</v>
      </c>
      <c r="I799" s="57">
        <f t="shared" si="574"/>
        <v>0</v>
      </c>
      <c r="J799" s="57">
        <f t="shared" si="574"/>
        <v>0</v>
      </c>
      <c r="K799" s="57">
        <f t="shared" si="574"/>
        <v>0</v>
      </c>
      <c r="O799" s="463"/>
      <c r="P799" s="463"/>
      <c r="Q799" s="472"/>
      <c r="R799" s="472"/>
      <c r="S799" s="472"/>
      <c r="T799" s="472"/>
      <c r="U799" s="472"/>
      <c r="V799" s="472"/>
      <c r="X799" s="402">
        <f>X798</f>
        <v>0</v>
      </c>
      <c r="Y799" s="402">
        <f>Y798+1</f>
        <v>2027</v>
      </c>
      <c r="Z799" s="401">
        <f>IF(G799&lt;&gt;0,G799-G801,0)</f>
        <v>0</v>
      </c>
      <c r="AA799" s="401">
        <f>IF(G807&lt;&gt;0,G807-G809,0)</f>
        <v>0</v>
      </c>
    </row>
    <row r="800" spans="2:28" hidden="1" outlineLevel="2" x14ac:dyDescent="0.2">
      <c r="B800" s="209">
        <v>5</v>
      </c>
      <c r="C800" s="209">
        <v>6</v>
      </c>
      <c r="E800" s="358" t="s">
        <v>1294</v>
      </c>
      <c r="F800" s="57" t="str">
        <f t="shared" ref="F800:K800" si="575">IFERROR(F799*INDEX(MBSDecItems,$C795,$B800)*INDEX(MBSDecItems,$C795,$C800),"")</f>
        <v/>
      </c>
      <c r="G800" s="57" t="str">
        <f t="shared" si="575"/>
        <v/>
      </c>
      <c r="H800" s="57" t="str">
        <f t="shared" si="575"/>
        <v/>
      </c>
      <c r="I800" s="57" t="str">
        <f t="shared" si="575"/>
        <v/>
      </c>
      <c r="J800" s="57" t="str">
        <f t="shared" si="575"/>
        <v/>
      </c>
      <c r="K800" s="57" t="str">
        <f t="shared" si="575"/>
        <v/>
      </c>
      <c r="O800" s="473"/>
      <c r="P800" s="514"/>
      <c r="Q800" s="472"/>
      <c r="R800" s="472"/>
      <c r="S800" s="472"/>
      <c r="T800" s="472"/>
      <c r="U800" s="472"/>
      <c r="V800" s="472"/>
      <c r="X800" s="402">
        <f t="shared" ref="X800:X803" si="576">X799</f>
        <v>0</v>
      </c>
      <c r="Y800" s="402">
        <f>Y799+1</f>
        <v>2028</v>
      </c>
      <c r="Z800" s="401">
        <f>IF(H799&lt;&gt;0,H799-H801,0)</f>
        <v>0</v>
      </c>
      <c r="AA800" s="401">
        <f>IF(H807&lt;&gt;0,H807-H809,0)</f>
        <v>0</v>
      </c>
    </row>
    <row r="801" spans="1:28" hidden="1" outlineLevel="2" x14ac:dyDescent="0.2">
      <c r="A801"/>
      <c r="B801" s="209">
        <v>4</v>
      </c>
      <c r="C801" s="209">
        <v>6</v>
      </c>
      <c r="E801" s="358" t="s">
        <v>1293</v>
      </c>
      <c r="F801" s="57" t="str">
        <f t="shared" ref="F801:K801" si="577">IFERROR(F799*INDEX(MBSDecItems,$C795,$B801)*INDEX(MBSDecItems,$C795,$C801),"")</f>
        <v/>
      </c>
      <c r="G801" s="57" t="str">
        <f t="shared" si="577"/>
        <v/>
      </c>
      <c r="H801" s="57" t="str">
        <f t="shared" si="577"/>
        <v/>
      </c>
      <c r="I801" s="57" t="str">
        <f t="shared" si="577"/>
        <v/>
      </c>
      <c r="J801" s="57" t="str">
        <f t="shared" si="577"/>
        <v/>
      </c>
      <c r="K801" s="57" t="str">
        <f t="shared" si="577"/>
        <v/>
      </c>
      <c r="L801"/>
      <c r="M801"/>
      <c r="N801"/>
      <c r="O801"/>
      <c r="P801"/>
      <c r="Q801"/>
      <c r="R801"/>
      <c r="S801"/>
      <c r="T801"/>
      <c r="U801"/>
      <c r="V801"/>
      <c r="X801" s="402">
        <f t="shared" si="576"/>
        <v>0</v>
      </c>
      <c r="Y801" s="402">
        <f>Y800+1</f>
        <v>2029</v>
      </c>
      <c r="Z801" s="401">
        <f>IF(I799&lt;&gt;0,I799-I801,0)</f>
        <v>0</v>
      </c>
      <c r="AA801" s="401">
        <f>IF(I807&lt;&gt;0,I807-I809,0)</f>
        <v>0</v>
      </c>
      <c r="AB801" s="223"/>
    </row>
    <row r="802" spans="1:28" hidden="1" outlineLevel="2" x14ac:dyDescent="0.2">
      <c r="B802" s="209"/>
      <c r="C802" s="209">
        <v>7</v>
      </c>
      <c r="E802" s="359" t="s">
        <v>1295</v>
      </c>
      <c r="F802" s="57" t="str">
        <f t="shared" ref="F802:K802" si="578">IFERROR(F799*INDEX(MBSDecItems,$C795,$C802),"")</f>
        <v/>
      </c>
      <c r="G802" s="57" t="str">
        <f t="shared" si="578"/>
        <v/>
      </c>
      <c r="H802" s="57" t="str">
        <f t="shared" si="578"/>
        <v/>
      </c>
      <c r="I802" s="57" t="str">
        <f t="shared" si="578"/>
        <v/>
      </c>
      <c r="J802" s="57" t="str">
        <f t="shared" si="578"/>
        <v/>
      </c>
      <c r="K802" s="57" t="str">
        <f t="shared" si="578"/>
        <v/>
      </c>
      <c r="O802" s="473"/>
      <c r="P802" s="514"/>
      <c r="Q802" s="472"/>
      <c r="R802" s="472"/>
      <c r="S802" s="472"/>
      <c r="T802" s="472"/>
      <c r="U802" s="472"/>
      <c r="V802" s="472"/>
      <c r="X802" s="402">
        <f t="shared" si="576"/>
        <v>0</v>
      </c>
      <c r="Y802" s="402">
        <f>Y801+1</f>
        <v>2030</v>
      </c>
      <c r="Z802" s="401">
        <f>IF(J799&lt;&gt;0,J799-J801,0)</f>
        <v>0</v>
      </c>
      <c r="AA802" s="401">
        <f>IF(J807&lt;&gt;0,J807-J809,0)</f>
        <v>0</v>
      </c>
      <c r="AB802" s="223"/>
    </row>
    <row r="803" spans="1:28" hidden="1" outlineLevel="2" x14ac:dyDescent="0.2">
      <c r="O803" s="473"/>
      <c r="P803" s="473"/>
      <c r="Q803" s="472"/>
      <c r="R803" s="472"/>
      <c r="S803" s="472"/>
      <c r="T803" s="472"/>
      <c r="U803" s="472"/>
      <c r="V803" s="472"/>
      <c r="X803" s="402">
        <f t="shared" si="576"/>
        <v>0</v>
      </c>
      <c r="Y803" s="402">
        <f>Y802+1</f>
        <v>2031</v>
      </c>
      <c r="Z803" s="401">
        <f>IF(K799&lt;&gt;0,K799-K801,0)</f>
        <v>0</v>
      </c>
      <c r="AA803" s="401">
        <f>IF(K807&lt;&gt;0,K807-K809,0)</f>
        <v>0</v>
      </c>
      <c r="AB803" s="469"/>
    </row>
    <row r="804" spans="1:28" hidden="1" outlineLevel="2" x14ac:dyDescent="0.2">
      <c r="D804" s="360"/>
      <c r="E804" s="360"/>
      <c r="F804" s="357">
        <v>2</v>
      </c>
      <c r="G804" s="357">
        <v>3</v>
      </c>
      <c r="H804" s="357">
        <v>4</v>
      </c>
      <c r="I804" s="357">
        <v>5</v>
      </c>
      <c r="J804" s="357">
        <v>6</v>
      </c>
      <c r="K804" s="357">
        <v>7</v>
      </c>
      <c r="N804" s="360"/>
      <c r="O804" s="360"/>
      <c r="P804" s="360"/>
      <c r="AB804" s="469"/>
    </row>
    <row r="805" spans="1:28" ht="15.75" hidden="1" outlineLevel="2" x14ac:dyDescent="0.2">
      <c r="D805" s="462" t="s">
        <v>1</v>
      </c>
      <c r="E805" s="462"/>
      <c r="F805" s="74">
        <f>FirstYear</f>
        <v>2026</v>
      </c>
      <c r="G805" s="74">
        <f>F805+1</f>
        <v>2027</v>
      </c>
      <c r="H805" s="74">
        <f>G805+1</f>
        <v>2028</v>
      </c>
      <c r="I805" s="74">
        <f>H805+1</f>
        <v>2029</v>
      </c>
      <c r="J805" s="74">
        <f>I805+1</f>
        <v>2030</v>
      </c>
      <c r="K805" s="74">
        <f>J805+1</f>
        <v>2031</v>
      </c>
      <c r="N805" s="466"/>
      <c r="O805" s="466"/>
      <c r="P805" s="466"/>
      <c r="AB805" s="469"/>
    </row>
    <row r="806" spans="1:28" hidden="1" outlineLevel="2" x14ac:dyDescent="0.2">
      <c r="E806" s="82" t="s">
        <v>938</v>
      </c>
      <c r="F806" s="239">
        <f t="shared" ref="F806:K806" si="579">F807*INDEX(MBSDecCalc,$C795,3)</f>
        <v>0</v>
      </c>
      <c r="G806" s="239">
        <f t="shared" si="579"/>
        <v>0</v>
      </c>
      <c r="H806" s="239">
        <f t="shared" si="579"/>
        <v>0</v>
      </c>
      <c r="I806" s="239">
        <f t="shared" si="579"/>
        <v>0</v>
      </c>
      <c r="J806" s="239">
        <f t="shared" si="579"/>
        <v>0</v>
      </c>
      <c r="K806" s="239">
        <f t="shared" si="579"/>
        <v>0</v>
      </c>
      <c r="M806"/>
      <c r="N806"/>
      <c r="O806" s="360"/>
      <c r="P806" s="360"/>
      <c r="AB806" s="469"/>
    </row>
    <row r="807" spans="1:28" hidden="1" outlineLevel="2" x14ac:dyDescent="0.2">
      <c r="B807" s="468"/>
      <c r="C807" s="209" t="str">
        <f>C799</f>
        <v/>
      </c>
      <c r="E807" s="56" t="s">
        <v>1297</v>
      </c>
      <c r="F807" s="57">
        <f t="shared" ref="F807:K807" si="580">IF(INDEX(MBSDecRate,$C795,2)=2,IFERROR(INDEX(RPBSScriptsChanged,$C807,F804),0),IFERROR(INDEX(MBSRPBSDec,$C795,INDEX(MBSDecRate,$C795,3)*7+F804),0) * IFERROR(INDEX(MBSDecPopSplit,$C795),0)) * INDEX(MBSDecRate,$C795,1) * INDEX(MBSDecRate,$C795,4)</f>
        <v>0</v>
      </c>
      <c r="G807" s="57">
        <f t="shared" si="580"/>
        <v>0</v>
      </c>
      <c r="H807" s="57">
        <f t="shared" si="580"/>
        <v>0</v>
      </c>
      <c r="I807" s="57">
        <f t="shared" si="580"/>
        <v>0</v>
      </c>
      <c r="J807" s="57">
        <f t="shared" si="580"/>
        <v>0</v>
      </c>
      <c r="K807" s="57">
        <f t="shared" si="580"/>
        <v>0</v>
      </c>
      <c r="N807" s="344"/>
      <c r="O807" s="360"/>
      <c r="P807" s="360"/>
      <c r="AB807" s="469"/>
    </row>
    <row r="808" spans="1:28" hidden="1" outlineLevel="2" x14ac:dyDescent="0.2">
      <c r="B808" s="209">
        <v>5</v>
      </c>
      <c r="C808" s="209">
        <v>6</v>
      </c>
      <c r="E808" s="358" t="s">
        <v>1294</v>
      </c>
      <c r="F808" s="57" t="str">
        <f t="shared" ref="F808:K808" si="581">IFERROR(F807*INDEX(MBSDecItems,$C795,$B808)*INDEX(MBSDecItems,$C795,$C808),"")</f>
        <v/>
      </c>
      <c r="G808" s="57" t="str">
        <f t="shared" si="581"/>
        <v/>
      </c>
      <c r="H808" s="57" t="str">
        <f t="shared" si="581"/>
        <v/>
      </c>
      <c r="I808" s="57" t="str">
        <f t="shared" si="581"/>
        <v/>
      </c>
      <c r="J808" s="57" t="str">
        <f t="shared" si="581"/>
        <v/>
      </c>
      <c r="K808" s="57" t="str">
        <f t="shared" si="581"/>
        <v/>
      </c>
      <c r="M808" s="474"/>
      <c r="N808" s="344"/>
      <c r="O808" s="360"/>
      <c r="P808" s="360"/>
    </row>
    <row r="809" spans="1:28" hidden="1" outlineLevel="2" x14ac:dyDescent="0.2">
      <c r="B809" s="209">
        <v>4</v>
      </c>
      <c r="C809" s="209">
        <v>6</v>
      </c>
      <c r="E809" s="358" t="s">
        <v>1293</v>
      </c>
      <c r="F809" s="57" t="str">
        <f t="shared" ref="F809:K809" si="582">IFERROR(F807*INDEX(MBSDecItems,$C795,$B809)*INDEX(MBSDecItems,$C795,$C809),"")</f>
        <v/>
      </c>
      <c r="G809" s="57" t="str">
        <f t="shared" si="582"/>
        <v/>
      </c>
      <c r="H809" s="57" t="str">
        <f t="shared" si="582"/>
        <v/>
      </c>
      <c r="I809" s="57" t="str">
        <f t="shared" si="582"/>
        <v/>
      </c>
      <c r="J809" s="57" t="str">
        <f t="shared" si="582"/>
        <v/>
      </c>
      <c r="K809" s="57" t="str">
        <f t="shared" si="582"/>
        <v/>
      </c>
      <c r="M809" s="475"/>
      <c r="N809" s="473"/>
      <c r="O809" s="360"/>
      <c r="P809" s="360"/>
    </row>
    <row r="810" spans="1:28" hidden="1" outlineLevel="2" x14ac:dyDescent="0.2">
      <c r="B810" s="209"/>
      <c r="C810" s="209">
        <v>7</v>
      </c>
      <c r="E810" s="359" t="s">
        <v>1295</v>
      </c>
      <c r="F810" s="57" t="str">
        <f t="shared" ref="F810:K810" si="583">IFERROR(F807*INDEX(MBSDecItems,$C795,$C810),"")</f>
        <v/>
      </c>
      <c r="G810" s="57" t="str">
        <f t="shared" si="583"/>
        <v/>
      </c>
      <c r="H810" s="57" t="str">
        <f t="shared" si="583"/>
        <v/>
      </c>
      <c r="I810" s="57" t="str">
        <f t="shared" si="583"/>
        <v/>
      </c>
      <c r="J810" s="57" t="str">
        <f t="shared" si="583"/>
        <v/>
      </c>
      <c r="K810" s="57" t="str">
        <f t="shared" si="583"/>
        <v/>
      </c>
      <c r="M810" s="475"/>
      <c r="N810" s="473"/>
      <c r="O810" s="360"/>
      <c r="P810" s="360"/>
    </row>
    <row r="811" spans="1:28" outlineLevel="1" collapsed="1" x14ac:dyDescent="0.2">
      <c r="D811" s="360"/>
      <c r="E811" s="360"/>
      <c r="N811" s="360"/>
      <c r="O811" s="360"/>
      <c r="P811" s="360"/>
    </row>
    <row r="812" spans="1:28" ht="15.75" outlineLevel="1" x14ac:dyDescent="0.2">
      <c r="C812" s="209">
        <v>19</v>
      </c>
      <c r="D812" s="72" t="str">
        <f>INDEX(MBSDecNames,C812)</f>
        <v>** NOT USED **</v>
      </c>
      <c r="E812" s="72"/>
      <c r="F812" s="105"/>
      <c r="G812" s="105"/>
      <c r="H812" s="105"/>
      <c r="I812" s="105"/>
      <c r="J812" s="588" t="str">
        <f>IF(D812&lt;&gt;MsgNotUsed,"Co-payment group " &amp; K641,"")</f>
        <v/>
      </c>
      <c r="K812" s="588"/>
      <c r="L812" s="105"/>
      <c r="M812" s="105"/>
      <c r="N812" s="105"/>
      <c r="O812" s="105"/>
      <c r="P812" s="105"/>
      <c r="Q812" s="105"/>
      <c r="R812" s="105"/>
      <c r="S812" s="105"/>
      <c r="T812" s="105"/>
      <c r="U812" s="105"/>
      <c r="V812" s="105"/>
    </row>
    <row r="813" spans="1:28" hidden="1" outlineLevel="2" x14ac:dyDescent="0.2">
      <c r="F813" s="357">
        <v>2</v>
      </c>
      <c r="G813" s="357">
        <v>3</v>
      </c>
      <c r="H813" s="357">
        <v>4</v>
      </c>
      <c r="I813" s="357">
        <v>5</v>
      </c>
      <c r="J813" s="357">
        <v>6</v>
      </c>
      <c r="K813" s="357">
        <v>7</v>
      </c>
      <c r="L813" s="357"/>
    </row>
    <row r="814" spans="1:28" ht="15" hidden="1" outlineLevel="2" x14ac:dyDescent="0.2">
      <c r="D814" s="462" t="s">
        <v>0</v>
      </c>
      <c r="E814" s="462"/>
      <c r="F814" s="74">
        <f>FirstYear</f>
        <v>2026</v>
      </c>
      <c r="G814" s="74">
        <f>F814+1</f>
        <v>2027</v>
      </c>
      <c r="H814" s="74">
        <f>G814+1</f>
        <v>2028</v>
      </c>
      <c r="I814" s="74">
        <f>H814+1</f>
        <v>2029</v>
      </c>
      <c r="J814" s="74">
        <f>I814+1</f>
        <v>2030</v>
      </c>
      <c r="K814" s="74">
        <f>J814+1</f>
        <v>2031</v>
      </c>
      <c r="N814" s="470"/>
      <c r="O814" s="470"/>
      <c r="P814" s="470"/>
      <c r="Q814" s="223"/>
      <c r="R814" s="223"/>
      <c r="S814" s="223"/>
      <c r="T814" s="223"/>
      <c r="U814" s="223"/>
      <c r="V814" s="223"/>
      <c r="X814" s="223"/>
      <c r="Y814" s="223"/>
      <c r="Z814" s="223"/>
      <c r="AA814" s="223"/>
    </row>
    <row r="815" spans="1:28" hidden="1" outlineLevel="2" collapsed="1" x14ac:dyDescent="0.2">
      <c r="E815" s="82" t="s">
        <v>938</v>
      </c>
      <c r="F815" s="239">
        <f t="shared" ref="F815:K815" si="584">F816*INDEX(MBSDecCalc,$C812,3)</f>
        <v>0</v>
      </c>
      <c r="G815" s="239">
        <f t="shared" si="584"/>
        <v>0</v>
      </c>
      <c r="H815" s="239">
        <f t="shared" si="584"/>
        <v>0</v>
      </c>
      <c r="I815" s="239">
        <f t="shared" si="584"/>
        <v>0</v>
      </c>
      <c r="J815" s="239">
        <f t="shared" si="584"/>
        <v>0</v>
      </c>
      <c r="K815" s="239">
        <f t="shared" si="584"/>
        <v>0</v>
      </c>
      <c r="M815" s="471"/>
      <c r="N815" s="463"/>
      <c r="O815" s="463"/>
      <c r="P815" s="463"/>
      <c r="Q815" s="472"/>
      <c r="R815" s="472"/>
      <c r="S815" s="472"/>
      <c r="T815" s="472"/>
      <c r="U815" s="472"/>
      <c r="V815" s="472"/>
      <c r="X815" s="402">
        <f>INDEX(MBSDecItems,C812,1)</f>
        <v>0</v>
      </c>
      <c r="Y815" s="402">
        <f>FirstYear</f>
        <v>2026</v>
      </c>
      <c r="Z815" s="401">
        <f>IF(F816&lt;&gt;0,F816-F818,0)</f>
        <v>0</v>
      </c>
      <c r="AA815" s="401">
        <f>IF(F824&lt;&gt;0,F824-F826,0)</f>
        <v>0</v>
      </c>
    </row>
    <row r="816" spans="1:28" hidden="1" outlineLevel="2" x14ac:dyDescent="0.2">
      <c r="B816" s="468"/>
      <c r="C816" s="209" t="str">
        <f>INDEX(MBSDecCalc,C812,2)</f>
        <v/>
      </c>
      <c r="E816" s="56" t="s">
        <v>1297</v>
      </c>
      <c r="F816" s="57">
        <f t="shared" ref="F816:K816" si="585">IF(INDEX(MBSDecRate,$C812,2)=2,IFERROR(INDEX(PBSScriptsChanged,$C816,F813),0),IFERROR(INDEX(MBSPBSDec,$C812,INDEX(MBSDecRate,$C812,3)*7+F813),0) * IFERROR(INDEX(MBSDecPopSplit,$C812),0)) * INDEX(MBSDecRate,$C812,1) * INDEX(MBSDecRate,$C812,4)</f>
        <v>0</v>
      </c>
      <c r="G816" s="57">
        <f t="shared" si="585"/>
        <v>0</v>
      </c>
      <c r="H816" s="57">
        <f t="shared" si="585"/>
        <v>0</v>
      </c>
      <c r="I816" s="57">
        <f t="shared" si="585"/>
        <v>0</v>
      </c>
      <c r="J816" s="57">
        <f t="shared" si="585"/>
        <v>0</v>
      </c>
      <c r="K816" s="57">
        <f t="shared" si="585"/>
        <v>0</v>
      </c>
      <c r="O816" s="463"/>
      <c r="P816" s="463"/>
      <c r="Q816" s="472"/>
      <c r="R816" s="472"/>
      <c r="S816" s="472"/>
      <c r="T816" s="472"/>
      <c r="U816" s="472"/>
      <c r="V816" s="472"/>
      <c r="X816" s="402">
        <f>X815</f>
        <v>0</v>
      </c>
      <c r="Y816" s="402">
        <f>Y815+1</f>
        <v>2027</v>
      </c>
      <c r="Z816" s="401">
        <f>IF(G816&lt;&gt;0,G816-G818,0)</f>
        <v>0</v>
      </c>
      <c r="AA816" s="401">
        <f>IF(G824&lt;&gt;0,G824-G826,0)</f>
        <v>0</v>
      </c>
    </row>
    <row r="817" spans="1:28" hidden="1" outlineLevel="2" x14ac:dyDescent="0.2">
      <c r="B817" s="209">
        <v>5</v>
      </c>
      <c r="C817" s="209">
        <v>6</v>
      </c>
      <c r="E817" s="358" t="s">
        <v>1294</v>
      </c>
      <c r="F817" s="57" t="str">
        <f t="shared" ref="F817:K817" si="586">IFERROR(F816*INDEX(MBSDecItems,$C812,$B817)*INDEX(MBSDecItems,$C812,$C817),"")</f>
        <v/>
      </c>
      <c r="G817" s="57" t="str">
        <f t="shared" si="586"/>
        <v/>
      </c>
      <c r="H817" s="57" t="str">
        <f t="shared" si="586"/>
        <v/>
      </c>
      <c r="I817" s="57" t="str">
        <f t="shared" si="586"/>
        <v/>
      </c>
      <c r="J817" s="57" t="str">
        <f t="shared" si="586"/>
        <v/>
      </c>
      <c r="K817" s="57" t="str">
        <f t="shared" si="586"/>
        <v/>
      </c>
      <c r="O817" s="473"/>
      <c r="P817" s="514"/>
      <c r="Q817" s="472"/>
      <c r="R817" s="472"/>
      <c r="S817" s="472"/>
      <c r="T817" s="472"/>
      <c r="U817" s="472"/>
      <c r="V817" s="472"/>
      <c r="X817" s="402">
        <f t="shared" ref="X817:X820" si="587">X816</f>
        <v>0</v>
      </c>
      <c r="Y817" s="402">
        <f>Y816+1</f>
        <v>2028</v>
      </c>
      <c r="Z817" s="401">
        <f>IF(H816&lt;&gt;0,H816-H818,0)</f>
        <v>0</v>
      </c>
      <c r="AA817" s="401">
        <f>IF(H824&lt;&gt;0,H824-H826,0)</f>
        <v>0</v>
      </c>
    </row>
    <row r="818" spans="1:28" hidden="1" outlineLevel="2" x14ac:dyDescent="0.2">
      <c r="A818"/>
      <c r="B818" s="209">
        <v>4</v>
      </c>
      <c r="C818" s="209">
        <v>6</v>
      </c>
      <c r="E818" s="358" t="s">
        <v>1293</v>
      </c>
      <c r="F818" s="57" t="str">
        <f t="shared" ref="F818:K818" si="588">IFERROR(F816*INDEX(MBSDecItems,$C812,$B818)*INDEX(MBSDecItems,$C812,$C818),"")</f>
        <v/>
      </c>
      <c r="G818" s="57" t="str">
        <f t="shared" si="588"/>
        <v/>
      </c>
      <c r="H818" s="57" t="str">
        <f t="shared" si="588"/>
        <v/>
      </c>
      <c r="I818" s="57" t="str">
        <f t="shared" si="588"/>
        <v/>
      </c>
      <c r="J818" s="57" t="str">
        <f t="shared" si="588"/>
        <v/>
      </c>
      <c r="K818" s="57" t="str">
        <f t="shared" si="588"/>
        <v/>
      </c>
      <c r="L818"/>
      <c r="M818"/>
      <c r="N818"/>
      <c r="O818"/>
      <c r="P818"/>
      <c r="Q818"/>
      <c r="R818"/>
      <c r="S818"/>
      <c r="T818"/>
      <c r="U818"/>
      <c r="V818"/>
      <c r="X818" s="402">
        <f t="shared" si="587"/>
        <v>0</v>
      </c>
      <c r="Y818" s="402">
        <f>Y817+1</f>
        <v>2029</v>
      </c>
      <c r="Z818" s="401">
        <f>IF(I816&lt;&gt;0,I816-I818,0)</f>
        <v>0</v>
      </c>
      <c r="AA818" s="401">
        <f>IF(I824&lt;&gt;0,I824-I826,0)</f>
        <v>0</v>
      </c>
      <c r="AB818" s="223"/>
    </row>
    <row r="819" spans="1:28" hidden="1" outlineLevel="2" x14ac:dyDescent="0.2">
      <c r="B819" s="209"/>
      <c r="C819" s="209">
        <v>7</v>
      </c>
      <c r="E819" s="359" t="s">
        <v>1295</v>
      </c>
      <c r="F819" s="57" t="str">
        <f t="shared" ref="F819:K819" si="589">IFERROR(F816*INDEX(MBSDecItems,$C812,$C819),"")</f>
        <v/>
      </c>
      <c r="G819" s="57" t="str">
        <f t="shared" si="589"/>
        <v/>
      </c>
      <c r="H819" s="57" t="str">
        <f t="shared" si="589"/>
        <v/>
      </c>
      <c r="I819" s="57" t="str">
        <f t="shared" si="589"/>
        <v/>
      </c>
      <c r="J819" s="57" t="str">
        <f t="shared" si="589"/>
        <v/>
      </c>
      <c r="K819" s="57" t="str">
        <f t="shared" si="589"/>
        <v/>
      </c>
      <c r="O819" s="473"/>
      <c r="P819" s="514"/>
      <c r="Q819" s="472"/>
      <c r="R819" s="472"/>
      <c r="S819" s="472"/>
      <c r="T819" s="472"/>
      <c r="U819" s="472"/>
      <c r="V819" s="472"/>
      <c r="X819" s="402">
        <f t="shared" si="587"/>
        <v>0</v>
      </c>
      <c r="Y819" s="402">
        <f>Y818+1</f>
        <v>2030</v>
      </c>
      <c r="Z819" s="401">
        <f>IF(J816&lt;&gt;0,J816-J818,0)</f>
        <v>0</v>
      </c>
      <c r="AA819" s="401">
        <f>IF(J824&lt;&gt;0,J824-J826,0)</f>
        <v>0</v>
      </c>
      <c r="AB819" s="223"/>
    </row>
    <row r="820" spans="1:28" hidden="1" outlineLevel="2" x14ac:dyDescent="0.2">
      <c r="O820" s="473"/>
      <c r="P820" s="473"/>
      <c r="Q820" s="472"/>
      <c r="R820" s="472"/>
      <c r="S820" s="472"/>
      <c r="T820" s="472"/>
      <c r="U820" s="472"/>
      <c r="V820" s="472"/>
      <c r="X820" s="402">
        <f t="shared" si="587"/>
        <v>0</v>
      </c>
      <c r="Y820" s="402">
        <f>Y819+1</f>
        <v>2031</v>
      </c>
      <c r="Z820" s="401">
        <f>IF(K816&lt;&gt;0,K816-K818,0)</f>
        <v>0</v>
      </c>
      <c r="AA820" s="401">
        <f>IF(K824&lt;&gt;0,K824-K826,0)</f>
        <v>0</v>
      </c>
      <c r="AB820" s="469"/>
    </row>
    <row r="821" spans="1:28" hidden="1" outlineLevel="2" x14ac:dyDescent="0.2">
      <c r="D821" s="360"/>
      <c r="E821" s="360"/>
      <c r="F821" s="357">
        <v>2</v>
      </c>
      <c r="G821" s="357">
        <v>3</v>
      </c>
      <c r="H821" s="357">
        <v>4</v>
      </c>
      <c r="I821" s="357">
        <v>5</v>
      </c>
      <c r="J821" s="357">
        <v>6</v>
      </c>
      <c r="K821" s="357">
        <v>7</v>
      </c>
      <c r="N821" s="360"/>
      <c r="O821" s="360"/>
      <c r="P821" s="360"/>
      <c r="AB821" s="469"/>
    </row>
    <row r="822" spans="1:28" ht="15.75" hidden="1" outlineLevel="2" x14ac:dyDescent="0.2">
      <c r="D822" s="462" t="s">
        <v>1</v>
      </c>
      <c r="E822" s="462"/>
      <c r="F822" s="74">
        <f>FirstYear</f>
        <v>2026</v>
      </c>
      <c r="G822" s="74">
        <f>F822+1</f>
        <v>2027</v>
      </c>
      <c r="H822" s="74">
        <f>G822+1</f>
        <v>2028</v>
      </c>
      <c r="I822" s="74">
        <f>H822+1</f>
        <v>2029</v>
      </c>
      <c r="J822" s="74">
        <f>I822+1</f>
        <v>2030</v>
      </c>
      <c r="K822" s="74">
        <f>J822+1</f>
        <v>2031</v>
      </c>
      <c r="N822" s="466"/>
      <c r="O822" s="466"/>
      <c r="P822" s="466"/>
      <c r="AB822" s="469"/>
    </row>
    <row r="823" spans="1:28" hidden="1" outlineLevel="2" x14ac:dyDescent="0.2">
      <c r="E823" s="82" t="s">
        <v>938</v>
      </c>
      <c r="F823" s="239">
        <f t="shared" ref="F823:K823" si="590">F824*INDEX(MBSDecCalc,$C812,3)</f>
        <v>0</v>
      </c>
      <c r="G823" s="239">
        <f t="shared" si="590"/>
        <v>0</v>
      </c>
      <c r="H823" s="239">
        <f t="shared" si="590"/>
        <v>0</v>
      </c>
      <c r="I823" s="239">
        <f t="shared" si="590"/>
        <v>0</v>
      </c>
      <c r="J823" s="239">
        <f t="shared" si="590"/>
        <v>0</v>
      </c>
      <c r="K823" s="239">
        <f t="shared" si="590"/>
        <v>0</v>
      </c>
      <c r="M823"/>
      <c r="N823"/>
      <c r="O823" s="360"/>
      <c r="P823" s="360"/>
      <c r="AB823" s="469"/>
    </row>
    <row r="824" spans="1:28" hidden="1" outlineLevel="2" x14ac:dyDescent="0.2">
      <c r="B824" s="468"/>
      <c r="C824" s="209" t="str">
        <f>C816</f>
        <v/>
      </c>
      <c r="E824" s="56" t="s">
        <v>1297</v>
      </c>
      <c r="F824" s="57">
        <f t="shared" ref="F824:K824" si="591">IF(INDEX(MBSDecRate,$C812,2)=2,IFERROR(INDEX(RPBSScriptsChanged,$C824,F821),0),IFERROR(INDEX(MBSRPBSDec,$C812,INDEX(MBSDecRate,$C812,3)*7+F821),0) * IFERROR(INDEX(MBSDecPopSplit,$C812),0)) * INDEX(MBSDecRate,$C812,1) * INDEX(MBSDecRate,$C812,4)</f>
        <v>0</v>
      </c>
      <c r="G824" s="57">
        <f t="shared" si="591"/>
        <v>0</v>
      </c>
      <c r="H824" s="57">
        <f t="shared" si="591"/>
        <v>0</v>
      </c>
      <c r="I824" s="57">
        <f t="shared" si="591"/>
        <v>0</v>
      </c>
      <c r="J824" s="57">
        <f t="shared" si="591"/>
        <v>0</v>
      </c>
      <c r="K824" s="57">
        <f t="shared" si="591"/>
        <v>0</v>
      </c>
      <c r="N824" s="344"/>
      <c r="O824" s="360"/>
      <c r="P824" s="360"/>
      <c r="AB824" s="469"/>
    </row>
    <row r="825" spans="1:28" hidden="1" outlineLevel="2" x14ac:dyDescent="0.2">
      <c r="B825" s="209">
        <v>5</v>
      </c>
      <c r="C825" s="209">
        <v>6</v>
      </c>
      <c r="E825" s="358" t="s">
        <v>1294</v>
      </c>
      <c r="F825" s="57" t="str">
        <f t="shared" ref="F825:K825" si="592">IFERROR(F824*INDEX(MBSDecItems,$C812,$B825)*INDEX(MBSDecItems,$C812,$C825),"")</f>
        <v/>
      </c>
      <c r="G825" s="57" t="str">
        <f t="shared" si="592"/>
        <v/>
      </c>
      <c r="H825" s="57" t="str">
        <f t="shared" si="592"/>
        <v/>
      </c>
      <c r="I825" s="57" t="str">
        <f t="shared" si="592"/>
        <v/>
      </c>
      <c r="J825" s="57" t="str">
        <f t="shared" si="592"/>
        <v/>
      </c>
      <c r="K825" s="57" t="str">
        <f t="shared" si="592"/>
        <v/>
      </c>
      <c r="M825" s="474"/>
      <c r="N825" s="344"/>
      <c r="O825" s="360"/>
      <c r="P825" s="360"/>
    </row>
    <row r="826" spans="1:28" hidden="1" outlineLevel="2" x14ac:dyDescent="0.2">
      <c r="B826" s="209">
        <v>4</v>
      </c>
      <c r="C826" s="209">
        <v>6</v>
      </c>
      <c r="E826" s="358" t="s">
        <v>1293</v>
      </c>
      <c r="F826" s="57" t="str">
        <f t="shared" ref="F826:K826" si="593">IFERROR(F824*INDEX(MBSDecItems,$C812,$B826)*INDEX(MBSDecItems,$C812,$C826),"")</f>
        <v/>
      </c>
      <c r="G826" s="57" t="str">
        <f t="shared" si="593"/>
        <v/>
      </c>
      <c r="H826" s="57" t="str">
        <f t="shared" si="593"/>
        <v/>
      </c>
      <c r="I826" s="57" t="str">
        <f t="shared" si="593"/>
        <v/>
      </c>
      <c r="J826" s="57" t="str">
        <f t="shared" si="593"/>
        <v/>
      </c>
      <c r="K826" s="57" t="str">
        <f t="shared" si="593"/>
        <v/>
      </c>
      <c r="M826" s="475"/>
      <c r="N826" s="473"/>
      <c r="O826" s="360"/>
      <c r="P826" s="360"/>
    </row>
    <row r="827" spans="1:28" hidden="1" outlineLevel="2" x14ac:dyDescent="0.2">
      <c r="B827" s="209"/>
      <c r="C827" s="209">
        <v>7</v>
      </c>
      <c r="E827" s="359" t="s">
        <v>1295</v>
      </c>
      <c r="F827" s="57" t="str">
        <f t="shared" ref="F827:K827" si="594">IFERROR(F824*INDEX(MBSDecItems,$C812,$C827),"")</f>
        <v/>
      </c>
      <c r="G827" s="57" t="str">
        <f t="shared" si="594"/>
        <v/>
      </c>
      <c r="H827" s="57" t="str">
        <f t="shared" si="594"/>
        <v/>
      </c>
      <c r="I827" s="57" t="str">
        <f t="shared" si="594"/>
        <v/>
      </c>
      <c r="J827" s="57" t="str">
        <f t="shared" si="594"/>
        <v/>
      </c>
      <c r="K827" s="57" t="str">
        <f t="shared" si="594"/>
        <v/>
      </c>
      <c r="M827" s="475"/>
      <c r="N827" s="473"/>
      <c r="O827" s="360"/>
      <c r="P827" s="360"/>
    </row>
    <row r="828" spans="1:28" outlineLevel="1" collapsed="1" x14ac:dyDescent="0.2">
      <c r="D828" s="360"/>
      <c r="E828" s="360"/>
      <c r="N828" s="360"/>
      <c r="O828" s="360"/>
      <c r="P828" s="360"/>
    </row>
    <row r="829" spans="1:28" ht="15.75" outlineLevel="1" x14ac:dyDescent="0.2">
      <c r="C829" s="209">
        <v>20</v>
      </c>
      <c r="D829" s="72" t="str">
        <f>INDEX(MBSDecNames,C829)</f>
        <v>** NOT USED **</v>
      </c>
      <c r="E829" s="72"/>
      <c r="F829" s="105"/>
      <c r="G829" s="105"/>
      <c r="H829" s="105"/>
      <c r="I829" s="105"/>
      <c r="J829" s="588" t="str">
        <f>IF(D829&lt;&gt;MsgNotUsed,"Co-payment group " &amp; K658,"")</f>
        <v/>
      </c>
      <c r="K829" s="588"/>
      <c r="L829" s="105"/>
      <c r="M829" s="105"/>
      <c r="N829" s="105"/>
      <c r="O829" s="105"/>
      <c r="P829" s="105"/>
      <c r="Q829" s="105"/>
      <c r="R829" s="105"/>
      <c r="S829" s="105"/>
      <c r="T829" s="105"/>
      <c r="U829" s="105"/>
      <c r="V829" s="105"/>
    </row>
    <row r="830" spans="1:28" hidden="1" outlineLevel="2" x14ac:dyDescent="0.2">
      <c r="F830" s="357">
        <v>2</v>
      </c>
      <c r="G830" s="357">
        <v>3</v>
      </c>
      <c r="H830" s="357">
        <v>4</v>
      </c>
      <c r="I830" s="357">
        <v>5</v>
      </c>
      <c r="J830" s="357">
        <v>6</v>
      </c>
      <c r="K830" s="357">
        <v>7</v>
      </c>
      <c r="L830" s="357"/>
    </row>
    <row r="831" spans="1:28" ht="15" hidden="1" outlineLevel="2" x14ac:dyDescent="0.2">
      <c r="D831" s="462" t="s">
        <v>0</v>
      </c>
      <c r="E831" s="462"/>
      <c r="F831" s="74">
        <f>FirstYear</f>
        <v>2026</v>
      </c>
      <c r="G831" s="74">
        <f>F831+1</f>
        <v>2027</v>
      </c>
      <c r="H831" s="74">
        <f>G831+1</f>
        <v>2028</v>
      </c>
      <c r="I831" s="74">
        <f>H831+1</f>
        <v>2029</v>
      </c>
      <c r="J831" s="74">
        <f>I831+1</f>
        <v>2030</v>
      </c>
      <c r="K831" s="74">
        <f>J831+1</f>
        <v>2031</v>
      </c>
      <c r="N831" s="470"/>
      <c r="O831" s="470"/>
      <c r="P831" s="470"/>
      <c r="Q831" s="223"/>
      <c r="R831" s="223"/>
      <c r="S831" s="223"/>
      <c r="T831" s="223"/>
      <c r="U831" s="223"/>
      <c r="V831" s="223"/>
      <c r="X831" s="223"/>
      <c r="Y831" s="223"/>
      <c r="Z831" s="223"/>
      <c r="AA831" s="223"/>
    </row>
    <row r="832" spans="1:28" hidden="1" outlineLevel="2" collapsed="1" x14ac:dyDescent="0.2">
      <c r="E832" s="82" t="s">
        <v>938</v>
      </c>
      <c r="F832" s="239">
        <f t="shared" ref="F832:K832" si="595">F833*INDEX(MBSDecCalc,$C829,3)</f>
        <v>0</v>
      </c>
      <c r="G832" s="239">
        <f t="shared" si="595"/>
        <v>0</v>
      </c>
      <c r="H832" s="239">
        <f t="shared" si="595"/>
        <v>0</v>
      </c>
      <c r="I832" s="239">
        <f t="shared" si="595"/>
        <v>0</v>
      </c>
      <c r="J832" s="239">
        <f t="shared" si="595"/>
        <v>0</v>
      </c>
      <c r="K832" s="239">
        <f t="shared" si="595"/>
        <v>0</v>
      </c>
      <c r="M832" s="471"/>
      <c r="N832" s="463"/>
      <c r="O832" s="463"/>
      <c r="P832" s="463"/>
      <c r="Q832" s="472"/>
      <c r="R832" s="472"/>
      <c r="S832" s="472"/>
      <c r="T832" s="472"/>
      <c r="U832" s="472"/>
      <c r="V832" s="472"/>
      <c r="X832" s="402">
        <f>INDEX(MBSDecItems,C829,1)</f>
        <v>0</v>
      </c>
      <c r="Y832" s="402">
        <f>FirstYear</f>
        <v>2026</v>
      </c>
      <c r="Z832" s="401">
        <f>IF(F833&lt;&gt;0,F833-F835,0)</f>
        <v>0</v>
      </c>
      <c r="AA832" s="401">
        <f>IF(F841&lt;&gt;0,F841-F843,0)</f>
        <v>0</v>
      </c>
    </row>
    <row r="833" spans="1:28" hidden="1" outlineLevel="2" x14ac:dyDescent="0.2">
      <c r="B833" s="468"/>
      <c r="C833" s="209" t="str">
        <f>INDEX(MBSDecCalc,C829,2)</f>
        <v/>
      </c>
      <c r="E833" s="56" t="s">
        <v>1297</v>
      </c>
      <c r="F833" s="57">
        <f t="shared" ref="F833:K833" si="596">IF(INDEX(MBSDecRate,$C829,2)=2,IFERROR(INDEX(PBSScriptsChanged,$C833,F830),0),IFERROR(INDEX(MBSPBSDec,$C829,INDEX(MBSDecRate,$C829,3)*7+F830),0) * IFERROR(INDEX(MBSDecPopSplit,$C829),0)) * INDEX(MBSDecRate,$C829,1) * INDEX(MBSDecRate,$C829,4)</f>
        <v>0</v>
      </c>
      <c r="G833" s="57">
        <f t="shared" si="596"/>
        <v>0</v>
      </c>
      <c r="H833" s="57">
        <f t="shared" si="596"/>
        <v>0</v>
      </c>
      <c r="I833" s="57">
        <f t="shared" si="596"/>
        <v>0</v>
      </c>
      <c r="J833" s="57">
        <f t="shared" si="596"/>
        <v>0</v>
      </c>
      <c r="K833" s="57">
        <f t="shared" si="596"/>
        <v>0</v>
      </c>
      <c r="O833" s="463"/>
      <c r="P833" s="463"/>
      <c r="Q833" s="472"/>
      <c r="R833" s="472"/>
      <c r="S833" s="472"/>
      <c r="T833" s="472"/>
      <c r="U833" s="472"/>
      <c r="V833" s="472"/>
      <c r="X833" s="402">
        <f>X832</f>
        <v>0</v>
      </c>
      <c r="Y833" s="402">
        <f>Y832+1</f>
        <v>2027</v>
      </c>
      <c r="Z833" s="401">
        <f>IF(G833&lt;&gt;0,G833-G835,0)</f>
        <v>0</v>
      </c>
      <c r="AA833" s="401">
        <f>IF(G841&lt;&gt;0,G841-G843,0)</f>
        <v>0</v>
      </c>
    </row>
    <row r="834" spans="1:28" hidden="1" outlineLevel="2" x14ac:dyDescent="0.2">
      <c r="B834" s="209">
        <v>5</v>
      </c>
      <c r="C834" s="209">
        <v>6</v>
      </c>
      <c r="E834" s="358" t="s">
        <v>1294</v>
      </c>
      <c r="F834" s="57" t="str">
        <f t="shared" ref="F834:K834" si="597">IFERROR(F833*INDEX(MBSDecItems,$C829,$B834)*INDEX(MBSDecItems,$C829,$C834),"")</f>
        <v/>
      </c>
      <c r="G834" s="57" t="str">
        <f t="shared" si="597"/>
        <v/>
      </c>
      <c r="H834" s="57" t="str">
        <f t="shared" si="597"/>
        <v/>
      </c>
      <c r="I834" s="57" t="str">
        <f t="shared" si="597"/>
        <v/>
      </c>
      <c r="J834" s="57" t="str">
        <f t="shared" si="597"/>
        <v/>
      </c>
      <c r="K834" s="57" t="str">
        <f t="shared" si="597"/>
        <v/>
      </c>
      <c r="O834" s="473"/>
      <c r="P834" s="514"/>
      <c r="Q834" s="472"/>
      <c r="R834" s="472"/>
      <c r="S834" s="472"/>
      <c r="T834" s="472"/>
      <c r="U834" s="472"/>
      <c r="V834" s="472"/>
      <c r="X834" s="402">
        <f t="shared" ref="X834:X837" si="598">X833</f>
        <v>0</v>
      </c>
      <c r="Y834" s="402">
        <f>Y833+1</f>
        <v>2028</v>
      </c>
      <c r="Z834" s="401">
        <f>IF(H833&lt;&gt;0,H833-H835,0)</f>
        <v>0</v>
      </c>
      <c r="AA834" s="401">
        <f>IF(H841&lt;&gt;0,H841-H843,0)</f>
        <v>0</v>
      </c>
    </row>
    <row r="835" spans="1:28" hidden="1" outlineLevel="2" x14ac:dyDescent="0.2">
      <c r="A835"/>
      <c r="B835" s="209">
        <v>4</v>
      </c>
      <c r="C835" s="209">
        <v>6</v>
      </c>
      <c r="E835" s="358" t="s">
        <v>1293</v>
      </c>
      <c r="F835" s="57" t="str">
        <f t="shared" ref="F835:K835" si="599">IFERROR(F833*INDEX(MBSDecItems,$C829,$B835)*INDEX(MBSDecItems,$C829,$C835),"")</f>
        <v/>
      </c>
      <c r="G835" s="57" t="str">
        <f t="shared" si="599"/>
        <v/>
      </c>
      <c r="H835" s="57" t="str">
        <f t="shared" si="599"/>
        <v/>
      </c>
      <c r="I835" s="57" t="str">
        <f t="shared" si="599"/>
        <v/>
      </c>
      <c r="J835" s="57" t="str">
        <f t="shared" si="599"/>
        <v/>
      </c>
      <c r="K835" s="57" t="str">
        <f t="shared" si="599"/>
        <v/>
      </c>
      <c r="L835"/>
      <c r="M835"/>
      <c r="N835"/>
      <c r="O835"/>
      <c r="P835"/>
      <c r="Q835"/>
      <c r="R835"/>
      <c r="S835"/>
      <c r="T835"/>
      <c r="U835"/>
      <c r="V835"/>
      <c r="X835" s="402">
        <f t="shared" si="598"/>
        <v>0</v>
      </c>
      <c r="Y835" s="402">
        <f>Y834+1</f>
        <v>2029</v>
      </c>
      <c r="Z835" s="401">
        <f>IF(I833&lt;&gt;0,I833-I835,0)</f>
        <v>0</v>
      </c>
      <c r="AA835" s="401">
        <f>IF(I841&lt;&gt;0,I841-I843,0)</f>
        <v>0</v>
      </c>
      <c r="AB835" s="223"/>
    </row>
    <row r="836" spans="1:28" hidden="1" outlineLevel="2" x14ac:dyDescent="0.2">
      <c r="B836" s="209"/>
      <c r="C836" s="209">
        <v>7</v>
      </c>
      <c r="E836" s="359" t="s">
        <v>1295</v>
      </c>
      <c r="F836" s="57" t="str">
        <f t="shared" ref="F836:K836" si="600">IFERROR(F833*INDEX(MBSDecItems,$C829,$C836),"")</f>
        <v/>
      </c>
      <c r="G836" s="57" t="str">
        <f t="shared" si="600"/>
        <v/>
      </c>
      <c r="H836" s="57" t="str">
        <f t="shared" si="600"/>
        <v/>
      </c>
      <c r="I836" s="57" t="str">
        <f t="shared" si="600"/>
        <v/>
      </c>
      <c r="J836" s="57" t="str">
        <f t="shared" si="600"/>
        <v/>
      </c>
      <c r="K836" s="57" t="str">
        <f t="shared" si="600"/>
        <v/>
      </c>
      <c r="O836" s="473"/>
      <c r="P836" s="514"/>
      <c r="Q836" s="472"/>
      <c r="R836" s="472"/>
      <c r="S836" s="472"/>
      <c r="T836" s="472"/>
      <c r="U836" s="472"/>
      <c r="V836" s="472"/>
      <c r="X836" s="402">
        <f t="shared" si="598"/>
        <v>0</v>
      </c>
      <c r="Y836" s="402">
        <f>Y835+1</f>
        <v>2030</v>
      </c>
      <c r="Z836" s="401">
        <f>IF(J833&lt;&gt;0,J833-J835,0)</f>
        <v>0</v>
      </c>
      <c r="AA836" s="401">
        <f>IF(J841&lt;&gt;0,J841-J843,0)</f>
        <v>0</v>
      </c>
      <c r="AB836" s="223"/>
    </row>
    <row r="837" spans="1:28" hidden="1" outlineLevel="2" x14ac:dyDescent="0.2">
      <c r="O837" s="473"/>
      <c r="P837" s="473"/>
      <c r="Q837" s="472"/>
      <c r="R837" s="472"/>
      <c r="S837" s="472"/>
      <c r="T837" s="472"/>
      <c r="U837" s="472"/>
      <c r="V837" s="472"/>
      <c r="X837" s="402">
        <f t="shared" si="598"/>
        <v>0</v>
      </c>
      <c r="Y837" s="402">
        <f>Y836+1</f>
        <v>2031</v>
      </c>
      <c r="Z837" s="401">
        <f>IF(K833&lt;&gt;0,K833-K835,0)</f>
        <v>0</v>
      </c>
      <c r="AA837" s="401">
        <f>IF(K841&lt;&gt;0,K841-K843,0)</f>
        <v>0</v>
      </c>
      <c r="AB837" s="469"/>
    </row>
    <row r="838" spans="1:28" hidden="1" outlineLevel="2" x14ac:dyDescent="0.2">
      <c r="D838" s="360"/>
      <c r="E838" s="360"/>
      <c r="F838" s="357">
        <v>2</v>
      </c>
      <c r="G838" s="357">
        <v>3</v>
      </c>
      <c r="H838" s="357">
        <v>4</v>
      </c>
      <c r="I838" s="357">
        <v>5</v>
      </c>
      <c r="J838" s="357">
        <v>6</v>
      </c>
      <c r="K838" s="357">
        <v>7</v>
      </c>
      <c r="N838" s="360"/>
      <c r="O838" s="360"/>
      <c r="P838" s="360"/>
      <c r="AB838" s="469"/>
    </row>
    <row r="839" spans="1:28" ht="15.75" hidden="1" outlineLevel="2" x14ac:dyDescent="0.2">
      <c r="D839" s="462" t="s">
        <v>1</v>
      </c>
      <c r="E839" s="462"/>
      <c r="F839" s="74">
        <f>FirstYear</f>
        <v>2026</v>
      </c>
      <c r="G839" s="74">
        <f>F839+1</f>
        <v>2027</v>
      </c>
      <c r="H839" s="74">
        <f>G839+1</f>
        <v>2028</v>
      </c>
      <c r="I839" s="74">
        <f>H839+1</f>
        <v>2029</v>
      </c>
      <c r="J839" s="74">
        <f>I839+1</f>
        <v>2030</v>
      </c>
      <c r="K839" s="74">
        <f>J839+1</f>
        <v>2031</v>
      </c>
      <c r="N839" s="466"/>
      <c r="O839" s="466"/>
      <c r="P839" s="466"/>
      <c r="AB839" s="469"/>
    </row>
    <row r="840" spans="1:28" hidden="1" outlineLevel="2" x14ac:dyDescent="0.2">
      <c r="E840" s="82" t="s">
        <v>938</v>
      </c>
      <c r="F840" s="239">
        <f t="shared" ref="F840:K840" si="601">F841*INDEX(MBSDecCalc,$C829,3)</f>
        <v>0</v>
      </c>
      <c r="G840" s="239">
        <f t="shared" si="601"/>
        <v>0</v>
      </c>
      <c r="H840" s="239">
        <f t="shared" si="601"/>
        <v>0</v>
      </c>
      <c r="I840" s="239">
        <f t="shared" si="601"/>
        <v>0</v>
      </c>
      <c r="J840" s="239">
        <f t="shared" si="601"/>
        <v>0</v>
      </c>
      <c r="K840" s="239">
        <f t="shared" si="601"/>
        <v>0</v>
      </c>
      <c r="M840"/>
      <c r="N840"/>
      <c r="O840" s="360"/>
      <c r="P840" s="360"/>
      <c r="AB840" s="469"/>
    </row>
    <row r="841" spans="1:28" hidden="1" outlineLevel="2" x14ac:dyDescent="0.2">
      <c r="B841" s="468"/>
      <c r="C841" s="209" t="str">
        <f>C833</f>
        <v/>
      </c>
      <c r="E841" s="56" t="s">
        <v>1297</v>
      </c>
      <c r="F841" s="57">
        <f t="shared" ref="F841:K841" si="602">IF(INDEX(MBSDecRate,$C829,2)=2,IFERROR(INDEX(RPBSScriptsChanged,$C841,F838),0),IFERROR(INDEX(MBSRPBSDec,$C829,INDEX(MBSDecRate,$C829,3)*7+F838),0) * IFERROR(INDEX(MBSDecPopSplit,$C829),0)) * INDEX(MBSDecRate,$C829,1) * INDEX(MBSDecRate,$C829,4)</f>
        <v>0</v>
      </c>
      <c r="G841" s="57">
        <f t="shared" si="602"/>
        <v>0</v>
      </c>
      <c r="H841" s="57">
        <f t="shared" si="602"/>
        <v>0</v>
      </c>
      <c r="I841" s="57">
        <f t="shared" si="602"/>
        <v>0</v>
      </c>
      <c r="J841" s="57">
        <f t="shared" si="602"/>
        <v>0</v>
      </c>
      <c r="K841" s="57">
        <f t="shared" si="602"/>
        <v>0</v>
      </c>
      <c r="N841" s="344"/>
      <c r="O841" s="360"/>
      <c r="P841" s="360"/>
      <c r="AB841" s="469"/>
    </row>
    <row r="842" spans="1:28" hidden="1" outlineLevel="2" x14ac:dyDescent="0.2">
      <c r="B842" s="209">
        <v>5</v>
      </c>
      <c r="C842" s="209">
        <v>6</v>
      </c>
      <c r="E842" s="358" t="s">
        <v>1294</v>
      </c>
      <c r="F842" s="57" t="str">
        <f t="shared" ref="F842:K842" si="603">IFERROR(F841*INDEX(MBSDecItems,$C829,$B842)*INDEX(MBSDecItems,$C829,$C842),"")</f>
        <v/>
      </c>
      <c r="G842" s="57" t="str">
        <f t="shared" si="603"/>
        <v/>
      </c>
      <c r="H842" s="57" t="str">
        <f t="shared" si="603"/>
        <v/>
      </c>
      <c r="I842" s="57" t="str">
        <f t="shared" si="603"/>
        <v/>
      </c>
      <c r="J842" s="57" t="str">
        <f t="shared" si="603"/>
        <v/>
      </c>
      <c r="K842" s="57" t="str">
        <f t="shared" si="603"/>
        <v/>
      </c>
      <c r="M842" s="474"/>
      <c r="N842" s="344"/>
      <c r="O842" s="360"/>
      <c r="P842" s="360"/>
    </row>
    <row r="843" spans="1:28" hidden="1" outlineLevel="2" x14ac:dyDescent="0.2">
      <c r="B843" s="209">
        <v>4</v>
      </c>
      <c r="C843" s="209">
        <v>6</v>
      </c>
      <c r="E843" s="358" t="s">
        <v>1293</v>
      </c>
      <c r="F843" s="57" t="str">
        <f t="shared" ref="F843:K843" si="604">IFERROR(F841*INDEX(MBSDecItems,$C829,$B843)*INDEX(MBSDecItems,$C829,$C843),"")</f>
        <v/>
      </c>
      <c r="G843" s="57" t="str">
        <f t="shared" si="604"/>
        <v/>
      </c>
      <c r="H843" s="57" t="str">
        <f t="shared" si="604"/>
        <v/>
      </c>
      <c r="I843" s="57" t="str">
        <f t="shared" si="604"/>
        <v/>
      </c>
      <c r="J843" s="57" t="str">
        <f t="shared" si="604"/>
        <v/>
      </c>
      <c r="K843" s="57" t="str">
        <f t="shared" si="604"/>
        <v/>
      </c>
      <c r="M843" s="475"/>
      <c r="N843" s="473"/>
      <c r="O843" s="360"/>
      <c r="P843" s="360"/>
    </row>
    <row r="844" spans="1:28" hidden="1" outlineLevel="2" x14ac:dyDescent="0.2">
      <c r="B844" s="209"/>
      <c r="C844" s="209">
        <v>7</v>
      </c>
      <c r="E844" s="359" t="s">
        <v>1295</v>
      </c>
      <c r="F844" s="57" t="str">
        <f t="shared" ref="F844:K844" si="605">IFERROR(F841*INDEX(MBSDecItems,$C829,$C844),"")</f>
        <v/>
      </c>
      <c r="G844" s="57" t="str">
        <f t="shared" si="605"/>
        <v/>
      </c>
      <c r="H844" s="57" t="str">
        <f t="shared" si="605"/>
        <v/>
      </c>
      <c r="I844" s="57" t="str">
        <f t="shared" si="605"/>
        <v/>
      </c>
      <c r="J844" s="57" t="str">
        <f t="shared" si="605"/>
        <v/>
      </c>
      <c r="K844" s="57" t="str">
        <f t="shared" si="605"/>
        <v/>
      </c>
      <c r="M844" s="475"/>
      <c r="N844" s="473"/>
      <c r="O844" s="360"/>
      <c r="P844" s="360"/>
    </row>
    <row r="845" spans="1:28" outlineLevel="1" collapsed="1" x14ac:dyDescent="0.2">
      <c r="D845" s="360"/>
      <c r="E845" s="360"/>
      <c r="N845" s="360"/>
      <c r="O845" s="360"/>
      <c r="P845" s="360"/>
    </row>
    <row r="847" spans="1:28" ht="15.75" x14ac:dyDescent="0.2">
      <c r="C847" s="72"/>
      <c r="D847" s="72" t="s">
        <v>855</v>
      </c>
      <c r="E847" s="105"/>
      <c r="F847" s="105"/>
      <c r="G847" s="105"/>
      <c r="H847" s="105"/>
      <c r="I847" s="105"/>
      <c r="J847" s="105"/>
      <c r="K847" s="105"/>
      <c r="L847" s="105"/>
      <c r="M847" s="105"/>
      <c r="N847" s="105"/>
      <c r="O847" s="105"/>
      <c r="P847" s="105"/>
      <c r="Q847" s="105"/>
      <c r="R847" s="105"/>
      <c r="S847" s="105"/>
      <c r="T847" s="105"/>
      <c r="U847" s="105"/>
      <c r="V847" s="105"/>
      <c r="X847" s="360"/>
      <c r="Y847" s="360"/>
      <c r="Z847" s="360"/>
      <c r="AA847" s="360"/>
    </row>
    <row r="848" spans="1:28" collapsed="1" x14ac:dyDescent="0.2"/>
    <row r="849" spans="4:28" x14ac:dyDescent="0.2">
      <c r="D849" s="103" t="s">
        <v>303</v>
      </c>
    </row>
    <row r="851" spans="4:28" x14ac:dyDescent="0.2">
      <c r="AB851" s="360"/>
    </row>
  </sheetData>
  <sheetProtection selectLockedCells="1"/>
  <dataConsolidate link="1"/>
  <mergeCells count="228">
    <mergeCell ref="J829:K829"/>
    <mergeCell ref="D493:F493"/>
    <mergeCell ref="G493:I493"/>
    <mergeCell ref="D494:F494"/>
    <mergeCell ref="G494:I494"/>
    <mergeCell ref="D495:F495"/>
    <mergeCell ref="G495:I495"/>
    <mergeCell ref="D496:F496"/>
    <mergeCell ref="G496:I496"/>
    <mergeCell ref="D497:F497"/>
    <mergeCell ref="G497:I497"/>
    <mergeCell ref="D498:F498"/>
    <mergeCell ref="G498:I498"/>
    <mergeCell ref="D499:F499"/>
    <mergeCell ref="G499:I499"/>
    <mergeCell ref="D500:F500"/>
    <mergeCell ref="G500:I500"/>
    <mergeCell ref="D501:F501"/>
    <mergeCell ref="G501:I501"/>
    <mergeCell ref="D502:F502"/>
    <mergeCell ref="G502:I502"/>
    <mergeCell ref="J676:K676"/>
    <mergeCell ref="J693:K693"/>
    <mergeCell ref="J710:K710"/>
    <mergeCell ref="J727:K727"/>
    <mergeCell ref="J744:K744"/>
    <mergeCell ref="J761:K761"/>
    <mergeCell ref="J778:K778"/>
    <mergeCell ref="J795:K795"/>
    <mergeCell ref="J812:K812"/>
    <mergeCell ref="AH88:AN88"/>
    <mergeCell ref="AH87:BB87"/>
    <mergeCell ref="AV88:BB88"/>
    <mergeCell ref="AO88:AU88"/>
    <mergeCell ref="J196:K196"/>
    <mergeCell ref="J213:K213"/>
    <mergeCell ref="J230:K230"/>
    <mergeCell ref="J247:K247"/>
    <mergeCell ref="J264:K264"/>
    <mergeCell ref="J111:K111"/>
    <mergeCell ref="J128:K128"/>
    <mergeCell ref="J145:K145"/>
    <mergeCell ref="J162:K162"/>
    <mergeCell ref="J179:K179"/>
    <mergeCell ref="J591:K591"/>
    <mergeCell ref="J608:K608"/>
    <mergeCell ref="J625:K625"/>
    <mergeCell ref="J642:K642"/>
    <mergeCell ref="G492:I492"/>
    <mergeCell ref="D490:F490"/>
    <mergeCell ref="D491:F491"/>
    <mergeCell ref="D492:F492"/>
    <mergeCell ref="AH111:BB111"/>
    <mergeCell ref="AH112:AN112"/>
    <mergeCell ref="AO112:AU112"/>
    <mergeCell ref="AV112:BB112"/>
    <mergeCell ref="AI61:AN61"/>
    <mergeCell ref="AP61:AU61"/>
    <mergeCell ref="G486:I486"/>
    <mergeCell ref="G487:I487"/>
    <mergeCell ref="G488:I488"/>
    <mergeCell ref="G489:I489"/>
    <mergeCell ref="D487:F487"/>
    <mergeCell ref="D488:F488"/>
    <mergeCell ref="R474:V474"/>
    <mergeCell ref="E475:F475"/>
    <mergeCell ref="R475:V475"/>
    <mergeCell ref="E476:F476"/>
    <mergeCell ref="R476:V476"/>
    <mergeCell ref="E477:F477"/>
    <mergeCell ref="R477:V477"/>
    <mergeCell ref="R469:V469"/>
    <mergeCell ref="D489:F489"/>
    <mergeCell ref="G490:I490"/>
    <mergeCell ref="E62:F62"/>
    <mergeCell ref="E63:F63"/>
    <mergeCell ref="E64:F64"/>
    <mergeCell ref="E65:F65"/>
    <mergeCell ref="E66:F66"/>
    <mergeCell ref="G87:I87"/>
    <mergeCell ref="G88:I88"/>
    <mergeCell ref="G89:I89"/>
    <mergeCell ref="G90:I90"/>
    <mergeCell ref="E67:F67"/>
    <mergeCell ref="E68:F68"/>
    <mergeCell ref="E69:F69"/>
    <mergeCell ref="E70:F70"/>
    <mergeCell ref="E71:F71"/>
    <mergeCell ref="E72:F72"/>
    <mergeCell ref="D87:F87"/>
    <mergeCell ref="D88:F88"/>
    <mergeCell ref="D89:F89"/>
    <mergeCell ref="D90:F90"/>
    <mergeCell ref="D484:F484"/>
    <mergeCell ref="D485:F485"/>
    <mergeCell ref="D486:F486"/>
    <mergeCell ref="G491:I491"/>
    <mergeCell ref="G91:I91"/>
    <mergeCell ref="D92:F92"/>
    <mergeCell ref="D91:F91"/>
    <mergeCell ref="G92:I92"/>
    <mergeCell ref="D93:F93"/>
    <mergeCell ref="D94:F94"/>
    <mergeCell ref="D95:F95"/>
    <mergeCell ref="D96:F96"/>
    <mergeCell ref="D97:F97"/>
    <mergeCell ref="G97:I97"/>
    <mergeCell ref="G93:I93"/>
    <mergeCell ref="G94:I94"/>
    <mergeCell ref="G95:I95"/>
    <mergeCell ref="G96:I96"/>
    <mergeCell ref="G484:I484"/>
    <mergeCell ref="G485:I485"/>
    <mergeCell ref="G482:I482"/>
    <mergeCell ref="G483:I483"/>
    <mergeCell ref="E463:F463"/>
    <mergeCell ref="E464:F464"/>
    <mergeCell ref="E465:F465"/>
    <mergeCell ref="E466:F466"/>
    <mergeCell ref="E467:F467"/>
    <mergeCell ref="E457:F457"/>
    <mergeCell ref="E458:F458"/>
    <mergeCell ref="E459:F459"/>
    <mergeCell ref="E460:F460"/>
    <mergeCell ref="D483:F483"/>
    <mergeCell ref="E461:F461"/>
    <mergeCell ref="E462:F462"/>
    <mergeCell ref="D482:F482"/>
    <mergeCell ref="E468:F468"/>
    <mergeCell ref="E469:F469"/>
    <mergeCell ref="E474:F474"/>
    <mergeCell ref="E470:F470"/>
    <mergeCell ref="E471:F471"/>
    <mergeCell ref="E472:F472"/>
    <mergeCell ref="E473:F473"/>
    <mergeCell ref="J659:K659"/>
    <mergeCell ref="J506:K506"/>
    <mergeCell ref="J523:K523"/>
    <mergeCell ref="J540:K540"/>
    <mergeCell ref="J557:K557"/>
    <mergeCell ref="J574:K574"/>
    <mergeCell ref="R457:V457"/>
    <mergeCell ref="R458:V458"/>
    <mergeCell ref="R459:V459"/>
    <mergeCell ref="R460:V460"/>
    <mergeCell ref="R461:V461"/>
    <mergeCell ref="R462:V462"/>
    <mergeCell ref="R463:V463"/>
    <mergeCell ref="R464:V464"/>
    <mergeCell ref="R465:V465"/>
    <mergeCell ref="R466:V466"/>
    <mergeCell ref="R467:V467"/>
    <mergeCell ref="R468:V468"/>
    <mergeCell ref="R470:V470"/>
    <mergeCell ref="R471:V471"/>
    <mergeCell ref="R472:V472"/>
    <mergeCell ref="R473:V473"/>
    <mergeCell ref="R71:V71"/>
    <mergeCell ref="R72:V72"/>
    <mergeCell ref="AI456:AN456"/>
    <mergeCell ref="AP456:AU456"/>
    <mergeCell ref="R62:V62"/>
    <mergeCell ref="R63:V63"/>
    <mergeCell ref="R64:V64"/>
    <mergeCell ref="R65:V65"/>
    <mergeCell ref="R66:V66"/>
    <mergeCell ref="R67:V67"/>
    <mergeCell ref="R68:V68"/>
    <mergeCell ref="R69:V69"/>
    <mergeCell ref="R70:V70"/>
    <mergeCell ref="J332:K332"/>
    <mergeCell ref="J349:K349"/>
    <mergeCell ref="J366:K366"/>
    <mergeCell ref="J383:K383"/>
    <mergeCell ref="J400:K400"/>
    <mergeCell ref="J417:K417"/>
    <mergeCell ref="AH508:BB508"/>
    <mergeCell ref="AH509:AN509"/>
    <mergeCell ref="AO509:AU509"/>
    <mergeCell ref="AV509:BB509"/>
    <mergeCell ref="AH484:BB484"/>
    <mergeCell ref="AH485:AN485"/>
    <mergeCell ref="AO485:AU485"/>
    <mergeCell ref="AV485:BB485"/>
    <mergeCell ref="J434:K434"/>
    <mergeCell ref="E73:F73"/>
    <mergeCell ref="R73:V73"/>
    <mergeCell ref="E74:F74"/>
    <mergeCell ref="R74:V74"/>
    <mergeCell ref="E75:F75"/>
    <mergeCell ref="R75:V75"/>
    <mergeCell ref="E76:F76"/>
    <mergeCell ref="R76:V76"/>
    <mergeCell ref="E77:F77"/>
    <mergeCell ref="R77:V77"/>
    <mergeCell ref="E78:F78"/>
    <mergeCell ref="R78:V78"/>
    <mergeCell ref="E79:F79"/>
    <mergeCell ref="R79:V79"/>
    <mergeCell ref="E80:F80"/>
    <mergeCell ref="R80:V80"/>
    <mergeCell ref="E81:F81"/>
    <mergeCell ref="R81:V81"/>
    <mergeCell ref="E82:F82"/>
    <mergeCell ref="R82:V82"/>
    <mergeCell ref="D98:F98"/>
    <mergeCell ref="G98:I98"/>
    <mergeCell ref="D99:F99"/>
    <mergeCell ref="G99:I99"/>
    <mergeCell ref="D100:F100"/>
    <mergeCell ref="G100:I100"/>
    <mergeCell ref="D101:F101"/>
    <mergeCell ref="G101:I101"/>
    <mergeCell ref="D102:F102"/>
    <mergeCell ref="G102:I102"/>
    <mergeCell ref="J281:K281"/>
    <mergeCell ref="J298:K298"/>
    <mergeCell ref="J315:K315"/>
    <mergeCell ref="D103:F103"/>
    <mergeCell ref="G103:I103"/>
    <mergeCell ref="D104:F104"/>
    <mergeCell ref="G104:I104"/>
    <mergeCell ref="D105:F105"/>
    <mergeCell ref="G105:I105"/>
    <mergeCell ref="D106:F106"/>
    <mergeCell ref="G106:I106"/>
    <mergeCell ref="D107:F107"/>
    <mergeCell ref="G107:I107"/>
  </mergeCells>
  <conditionalFormatting sqref="G88:I107">
    <cfRule type="expression" dxfId="27" priority="8">
      <formula>$Y88=0</formula>
    </cfRule>
  </conditionalFormatting>
  <conditionalFormatting sqref="G483:I502">
    <cfRule type="expression" dxfId="26" priority="9">
      <formula>$Y483=0</formula>
    </cfRule>
  </conditionalFormatting>
  <conditionalFormatting sqref="G63:V82">
    <cfRule type="expression" dxfId="25" priority="10">
      <formula>$D63=""</formula>
    </cfRule>
  </conditionalFormatting>
  <conditionalFormatting sqref="G458:V477">
    <cfRule type="expression" dxfId="24" priority="3">
      <formula>$D458=""</formula>
    </cfRule>
  </conditionalFormatting>
  <conditionalFormatting sqref="M63:M82 P63:V82 P458:V477">
    <cfRule type="expression" dxfId="23" priority="6">
      <formula>$AD63&lt;&gt;1</formula>
    </cfRule>
  </conditionalFormatting>
  <conditionalFormatting sqref="M458:M477">
    <cfRule type="expression" dxfId="22" priority="1">
      <formula>$AD458&lt;&gt;1</formula>
    </cfRule>
  </conditionalFormatting>
  <conditionalFormatting sqref="N63:N82">
    <cfRule type="expression" dxfId="21" priority="5">
      <formula>$AD63&lt;&gt;2</formula>
    </cfRule>
  </conditionalFormatting>
  <conditionalFormatting sqref="N458:N477">
    <cfRule type="expression" dxfId="20" priority="2">
      <formula>$AD458&lt;&gt;2</formula>
    </cfRule>
  </conditionalFormatting>
  <dataValidations count="7">
    <dataValidation allowBlank="1" showErrorMessage="1" sqref="F22:K22 F16:K16" xr:uid="{00000000-0002-0000-0F00-000000000000}"/>
    <dataValidation type="list" allowBlank="1" showInputMessage="1" showErrorMessage="1" sqref="L63:L82 L458:L477" xr:uid="{00000000-0002-0000-0F00-000001000000}">
      <formula1>MBSBasis</formula1>
    </dataValidation>
    <dataValidation type="list" allowBlank="1" showInputMessage="1" showErrorMessage="1" sqref="G88:I107" xr:uid="{00000000-0002-0000-0F00-000002000000}">
      <formula1>NamesNewTx</formula1>
    </dataValidation>
    <dataValidation type="list" allowBlank="1" showInputMessage="1" showErrorMessage="1" sqref="G483:I502" xr:uid="{00000000-0002-0000-0F00-000003000000}">
      <formula1>NamesScriptsChangedTx</formula1>
    </dataValidation>
    <dataValidation type="list" allowBlank="1" showInputMessage="1" showErrorMessage="1" sqref="P458:P477 P63:P82" xr:uid="{00000000-0002-0000-0F00-000004000000}">
      <formula1>TPShort</formula1>
    </dataValidation>
    <dataValidation type="list" allowBlank="1" showInputMessage="1" showErrorMessage="1" sqref="K63:K82 K458:K477" xr:uid="{00000000-0002-0000-0F00-000005000000}">
      <formula1>CoPayBands</formula1>
    </dataValidation>
    <dataValidation type="list" allowBlank="1" showInputMessage="1" showErrorMessage="1" sqref="R63:V82 R458:V477" xr:uid="{00000000-0002-0000-0F00-000006000000}">
      <formula1>DTGPops</formula1>
    </dataValidation>
  </dataValidations>
  <pageMargins left="0.11811023622047245" right="0.11811023622047245" top="0.19685039370078741" bottom="0.15748031496062992" header="0.31496062992125984" footer="0.31496062992125984"/>
  <pageSetup paperSize="9" scale="46" orientation="landscape" horizontalDpi="300" verticalDpi="300" r:id="rId1"/>
  <headerFooter>
    <oddHeader>&amp;C&amp;"Calibri"&amp;12&amp;KFF0000 OFFICIAL&amp;1#_x000D_</oddHeader>
    <oddFooter>&amp;C_x000D_&amp;1#&amp;"Calibri"&amp;12&amp;KFF0000 OFFICIAL</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2">
    <tabColor theme="6"/>
  </sheetPr>
  <dimension ref="A1:DD271"/>
  <sheetViews>
    <sheetView showGridLines="0" zoomScaleNormal="100" workbookViewId="0"/>
  </sheetViews>
  <sheetFormatPr defaultColWidth="13" defaultRowHeight="12.75" customHeight="1" outlineLevelRow="1" x14ac:dyDescent="0.2"/>
  <cols>
    <col min="1" max="1" width="3.7109375" customWidth="1"/>
    <col min="2" max="3" width="3.7109375" hidden="1" customWidth="1"/>
    <col min="4" max="4" width="15.7109375" customWidth="1"/>
    <col min="5" max="108" width="10.7109375" customWidth="1"/>
  </cols>
  <sheetData>
    <row r="1" spans="1:108" ht="23.25" x14ac:dyDescent="0.2">
      <c r="A1" s="97">
        <f>IF((SUM(E29:J29)&lt;&gt;0),2,0)</f>
        <v>0</v>
      </c>
      <c r="B1" s="107"/>
      <c r="C1" s="107"/>
      <c r="D1" s="106" t="s">
        <v>920</v>
      </c>
      <c r="E1" s="107"/>
      <c r="F1" s="107"/>
      <c r="G1" s="107"/>
      <c r="H1" s="107"/>
      <c r="I1" s="107"/>
      <c r="J1" s="107"/>
      <c r="K1" s="107"/>
      <c r="L1" s="107"/>
      <c r="M1" s="107"/>
      <c r="N1" s="106" t="s">
        <v>1306</v>
      </c>
      <c r="O1" s="107"/>
      <c r="P1" s="107"/>
      <c r="Q1" s="107"/>
      <c r="R1" s="107"/>
      <c r="S1" s="107"/>
      <c r="T1" s="107"/>
      <c r="U1" s="107"/>
      <c r="V1" s="107"/>
      <c r="W1" s="107"/>
      <c r="X1" s="587" t="str">
        <f>IF(A1=0,MsgNotUsed,"")</f>
        <v>** NOT USED **</v>
      </c>
      <c r="Y1" s="587"/>
      <c r="Z1" s="587"/>
      <c r="AA1" s="107"/>
      <c r="AB1" s="107"/>
      <c r="AC1" s="107"/>
      <c r="AD1" s="107"/>
      <c r="AE1" s="107"/>
      <c r="AF1" s="107"/>
      <c r="AG1" s="107"/>
      <c r="AH1" s="107"/>
      <c r="AI1" s="107"/>
      <c r="AJ1" s="107"/>
      <c r="AK1" s="107"/>
      <c r="AL1" s="107"/>
      <c r="AM1" s="107"/>
      <c r="AN1" s="107"/>
      <c r="AO1" s="107"/>
      <c r="AP1" s="107"/>
      <c r="AQ1" s="107"/>
      <c r="AR1" s="107"/>
      <c r="AS1" s="107"/>
      <c r="AT1" s="107"/>
      <c r="AU1" s="107"/>
      <c r="AV1" s="107"/>
      <c r="AW1" s="107"/>
      <c r="AX1" s="107"/>
      <c r="AY1" s="107"/>
      <c r="AZ1" s="107"/>
      <c r="BA1" s="107"/>
      <c r="BB1" s="107"/>
      <c r="BC1" s="107"/>
      <c r="BD1" s="107"/>
      <c r="BE1" s="107"/>
      <c r="BF1" s="107"/>
      <c r="BG1" s="107"/>
      <c r="BH1" s="107"/>
      <c r="BI1" s="107"/>
      <c r="BJ1" s="107"/>
      <c r="BK1" s="107"/>
      <c r="BL1" s="107"/>
      <c r="BM1" s="107"/>
      <c r="BN1" s="107"/>
      <c r="BO1" s="107"/>
      <c r="BP1" s="107"/>
      <c r="BQ1" s="107"/>
      <c r="BR1" s="107"/>
      <c r="BS1" s="107"/>
      <c r="BT1" s="107"/>
      <c r="BU1" s="107"/>
      <c r="BV1" s="107"/>
      <c r="BW1" s="107"/>
      <c r="BX1" s="107"/>
      <c r="BY1" s="107"/>
      <c r="BZ1" s="107"/>
      <c r="CA1" s="107"/>
      <c r="CB1" s="107"/>
      <c r="CC1" s="107"/>
      <c r="CD1" s="107"/>
      <c r="CE1" s="107"/>
      <c r="CF1" s="107"/>
      <c r="CG1" s="107"/>
      <c r="CH1" s="107"/>
      <c r="CI1" s="107"/>
      <c r="CJ1" s="107"/>
      <c r="CK1" s="107"/>
      <c r="CL1" s="107"/>
      <c r="CM1" s="107"/>
      <c r="CN1" s="107"/>
      <c r="CO1" s="107"/>
      <c r="CP1" s="107"/>
      <c r="CQ1" s="107"/>
      <c r="CR1" s="107"/>
      <c r="CS1" s="107"/>
      <c r="CT1" s="107"/>
      <c r="CU1" s="107"/>
      <c r="CV1" s="107"/>
      <c r="CW1" s="107"/>
      <c r="CX1" s="107"/>
      <c r="CY1" s="107"/>
      <c r="CZ1" s="107"/>
      <c r="DA1" s="107"/>
      <c r="DB1" s="107"/>
      <c r="DC1" s="107"/>
      <c r="DD1" s="107"/>
    </row>
    <row r="2" spans="1:108" ht="15.75" x14ac:dyDescent="0.2">
      <c r="A2" s="107"/>
      <c r="B2" s="107"/>
      <c r="C2" s="107"/>
      <c r="D2" s="100" t="str">
        <f>CONCATENATE("Name of medicine: ", MedicineBrand)</f>
        <v xml:space="preserve">Name of medicine: </v>
      </c>
      <c r="E2" s="107"/>
      <c r="F2" s="107"/>
      <c r="G2" s="107"/>
      <c r="H2" s="107"/>
      <c r="I2" s="107"/>
      <c r="J2" s="107"/>
      <c r="K2" s="107"/>
      <c r="L2" s="107"/>
      <c r="M2" s="107"/>
      <c r="N2" s="107"/>
      <c r="O2" s="107"/>
      <c r="P2" s="107"/>
      <c r="Q2" s="107"/>
      <c r="R2" s="107"/>
      <c r="S2" s="107"/>
      <c r="T2" s="107"/>
      <c r="U2" s="107"/>
      <c r="V2" s="107"/>
      <c r="W2" s="107"/>
      <c r="X2" s="107"/>
      <c r="Y2" s="107"/>
      <c r="Z2" s="107"/>
      <c r="AA2" s="107"/>
      <c r="AB2" s="107"/>
      <c r="AC2" s="107"/>
      <c r="AD2" s="107"/>
      <c r="AE2" s="107"/>
      <c r="AF2" s="107"/>
      <c r="AG2" s="107"/>
      <c r="AH2" s="107"/>
      <c r="AI2" s="107"/>
      <c r="AJ2" s="107"/>
      <c r="AK2" s="107"/>
      <c r="AL2" s="107"/>
      <c r="AM2" s="107"/>
      <c r="AN2" s="107"/>
      <c r="AO2" s="107"/>
      <c r="AP2" s="107"/>
      <c r="AQ2" s="107"/>
      <c r="AR2" s="107"/>
      <c r="AS2" s="107"/>
      <c r="AT2" s="107"/>
      <c r="AU2" s="107"/>
      <c r="AV2" s="107"/>
      <c r="AW2" s="107"/>
      <c r="AX2" s="107"/>
      <c r="AY2" s="107"/>
      <c r="AZ2" s="107"/>
      <c r="BA2" s="107"/>
      <c r="BB2" s="107"/>
      <c r="BC2" s="107"/>
      <c r="BD2" s="107"/>
      <c r="BE2" s="107"/>
      <c r="BF2" s="107"/>
      <c r="BG2" s="107"/>
      <c r="BH2" s="107"/>
      <c r="BI2" s="107"/>
      <c r="BJ2" s="107"/>
      <c r="BK2" s="107"/>
      <c r="BL2" s="107"/>
      <c r="BM2" s="107"/>
      <c r="BN2" s="107"/>
      <c r="BO2" s="107"/>
      <c r="BP2" s="107"/>
      <c r="BQ2" s="107"/>
      <c r="BR2" s="107"/>
      <c r="BS2" s="107"/>
      <c r="BT2" s="107"/>
      <c r="BU2" s="107"/>
      <c r="BV2" s="107"/>
      <c r="BW2" s="107"/>
      <c r="BX2" s="107"/>
      <c r="BY2" s="107"/>
      <c r="BZ2" s="107"/>
      <c r="CA2" s="107"/>
      <c r="CB2" s="107"/>
      <c r="CC2" s="107"/>
      <c r="CD2" s="107"/>
      <c r="CE2" s="107"/>
      <c r="CF2" s="107"/>
      <c r="CG2" s="107"/>
      <c r="CH2" s="107"/>
      <c r="CI2" s="107"/>
      <c r="CJ2" s="107"/>
      <c r="CK2" s="107"/>
      <c r="CL2" s="107"/>
      <c r="CM2" s="107"/>
      <c r="CN2" s="107"/>
      <c r="CO2" s="107"/>
      <c r="CP2" s="107"/>
      <c r="CQ2" s="107"/>
      <c r="CR2" s="107"/>
      <c r="CS2" s="107"/>
      <c r="CT2" s="107"/>
      <c r="CU2" s="107"/>
      <c r="CV2" s="107"/>
      <c r="CW2" s="107"/>
      <c r="CX2" s="107"/>
      <c r="CY2" s="107"/>
      <c r="CZ2" s="107"/>
      <c r="DA2" s="107"/>
      <c r="DB2" s="107"/>
      <c r="DC2" s="107"/>
      <c r="DD2" s="107"/>
    </row>
    <row r="3" spans="1:108" ht="15.75" x14ac:dyDescent="0.2">
      <c r="A3" s="107"/>
      <c r="B3" s="107"/>
      <c r="C3" s="107"/>
      <c r="D3" s="100" t="str">
        <f>CONCATENATE("Indication: ",Indication)</f>
        <v xml:space="preserve">Indication: </v>
      </c>
      <c r="E3" s="107"/>
      <c r="F3" s="107"/>
      <c r="G3" s="107"/>
      <c r="H3" s="107"/>
      <c r="I3" s="107"/>
      <c r="J3" s="107"/>
      <c r="K3" s="107"/>
      <c r="L3" s="107"/>
      <c r="M3" s="107"/>
      <c r="N3" s="107"/>
      <c r="O3" s="107"/>
      <c r="P3" s="107"/>
      <c r="Q3" s="107"/>
      <c r="R3" s="107"/>
      <c r="S3" s="107"/>
      <c r="T3" s="107"/>
      <c r="U3" s="107"/>
      <c r="V3" s="107"/>
      <c r="W3" s="107"/>
      <c r="X3" s="107"/>
      <c r="Y3" s="107"/>
      <c r="Z3" s="107"/>
      <c r="AA3" s="107"/>
      <c r="AB3" s="107"/>
      <c r="AC3" s="107"/>
      <c r="AD3" s="107"/>
      <c r="AE3" s="107"/>
      <c r="AF3" s="107"/>
      <c r="AG3" s="107"/>
      <c r="AH3" s="107"/>
      <c r="AI3" s="107"/>
      <c r="AJ3" s="107"/>
      <c r="AK3" s="107"/>
      <c r="AL3" s="107"/>
      <c r="AM3" s="107"/>
      <c r="AN3" s="107"/>
      <c r="AO3" s="107"/>
      <c r="AP3" s="107"/>
      <c r="AQ3" s="107"/>
      <c r="AR3" s="107"/>
      <c r="AS3" s="107"/>
      <c r="AT3" s="107"/>
      <c r="AU3" s="107"/>
      <c r="AV3" s="107"/>
      <c r="AW3" s="107"/>
      <c r="AX3" s="107"/>
      <c r="AY3" s="107"/>
      <c r="AZ3" s="107"/>
      <c r="BA3" s="107"/>
      <c r="BB3" s="107"/>
      <c r="BC3" s="107"/>
      <c r="BD3" s="107"/>
      <c r="BE3" s="107"/>
      <c r="BF3" s="107"/>
      <c r="BG3" s="107"/>
      <c r="BH3" s="107"/>
      <c r="BI3" s="107"/>
      <c r="BJ3" s="107"/>
      <c r="BK3" s="107"/>
      <c r="BL3" s="107"/>
      <c r="BM3" s="107"/>
      <c r="BN3" s="107"/>
      <c r="BO3" s="107"/>
      <c r="BP3" s="107"/>
      <c r="BQ3" s="107"/>
      <c r="BR3" s="107"/>
      <c r="BS3" s="107"/>
      <c r="BT3" s="107"/>
      <c r="BU3" s="107"/>
      <c r="BV3" s="107"/>
      <c r="BW3" s="107"/>
      <c r="BX3" s="107"/>
      <c r="BY3" s="107"/>
      <c r="BZ3" s="107"/>
      <c r="CA3" s="107"/>
      <c r="CB3" s="107"/>
      <c r="CC3" s="107"/>
      <c r="CD3" s="107"/>
      <c r="CE3" s="107"/>
      <c r="CF3" s="107"/>
      <c r="CG3" s="107"/>
      <c r="CH3" s="107"/>
      <c r="CI3" s="107"/>
      <c r="CJ3" s="107"/>
      <c r="CK3" s="107"/>
      <c r="CL3" s="107"/>
      <c r="CM3" s="107"/>
      <c r="CN3" s="107"/>
      <c r="CO3" s="107"/>
      <c r="CP3" s="107"/>
      <c r="CQ3" s="107"/>
      <c r="CR3" s="107"/>
      <c r="CS3" s="107"/>
      <c r="CT3" s="107"/>
      <c r="CU3" s="107"/>
      <c r="CV3" s="107"/>
      <c r="CW3" s="107"/>
      <c r="CX3" s="107"/>
      <c r="CY3" s="107"/>
      <c r="CZ3" s="107"/>
      <c r="DA3" s="107"/>
      <c r="DB3" s="107"/>
      <c r="DC3" s="107"/>
      <c r="DD3" s="107"/>
    </row>
    <row r="4" spans="1:108" x14ac:dyDescent="0.2"/>
    <row r="5" spans="1:108" ht="15.75" x14ac:dyDescent="0.2">
      <c r="D5" s="111" t="s">
        <v>866</v>
      </c>
      <c r="E5" s="113"/>
      <c r="F5" s="113"/>
      <c r="G5" s="113"/>
      <c r="H5" s="113"/>
      <c r="I5" s="113"/>
      <c r="J5" s="113"/>
      <c r="K5" s="113"/>
      <c r="L5" s="113"/>
      <c r="M5" s="113"/>
      <c r="N5" s="113"/>
      <c r="O5" s="113"/>
      <c r="P5" s="113"/>
      <c r="Q5" s="113"/>
      <c r="R5" s="113"/>
      <c r="S5" s="113"/>
      <c r="T5" s="113"/>
      <c r="U5" s="113"/>
      <c r="V5" s="113"/>
      <c r="W5" s="113"/>
      <c r="X5" s="113"/>
      <c r="Y5" s="113"/>
      <c r="Z5" s="113"/>
      <c r="AA5" s="113"/>
      <c r="AB5" s="113"/>
      <c r="AC5" s="113"/>
      <c r="AD5" s="113"/>
      <c r="AE5" s="113"/>
      <c r="AF5" s="113"/>
      <c r="AG5" s="113"/>
      <c r="AH5" s="113"/>
      <c r="AI5" s="113"/>
      <c r="AJ5" s="113"/>
      <c r="AK5" s="113"/>
      <c r="AL5" s="113"/>
      <c r="AM5" s="113"/>
      <c r="AN5" s="113"/>
      <c r="AO5" s="113"/>
      <c r="AP5" s="113"/>
      <c r="AQ5" s="113"/>
      <c r="AR5" s="113"/>
      <c r="AS5" s="113"/>
      <c r="AT5" s="113"/>
      <c r="AU5" s="113"/>
      <c r="AV5" s="113"/>
      <c r="AW5" s="113"/>
      <c r="AX5" s="113"/>
      <c r="AY5" s="113"/>
      <c r="AZ5" s="113"/>
      <c r="BA5" s="113"/>
      <c r="BB5" s="113"/>
      <c r="BC5" s="113"/>
      <c r="BD5" s="113"/>
      <c r="BE5" s="113"/>
      <c r="BF5" s="113"/>
      <c r="BG5" s="113"/>
      <c r="BH5" s="113"/>
      <c r="BI5" s="113"/>
      <c r="BJ5" s="113"/>
      <c r="BK5" s="113"/>
      <c r="BL5" s="113"/>
      <c r="BM5" s="113"/>
      <c r="BN5" s="113"/>
      <c r="BO5" s="113"/>
      <c r="BP5" s="113"/>
      <c r="BQ5" s="113"/>
      <c r="BR5" s="113"/>
      <c r="BS5" s="113"/>
      <c r="BT5" s="113"/>
      <c r="BU5" s="113"/>
      <c r="BV5" s="113"/>
      <c r="BW5" s="113"/>
      <c r="BX5" s="113"/>
      <c r="BY5" s="113"/>
      <c r="BZ5" s="113"/>
      <c r="CA5" s="113"/>
      <c r="CB5" s="113"/>
      <c r="CC5" s="113"/>
      <c r="CD5" s="113"/>
      <c r="CE5" s="113"/>
      <c r="CF5" s="113"/>
      <c r="CG5" s="113"/>
      <c r="CH5" s="113"/>
      <c r="CI5" s="113"/>
      <c r="CJ5" s="113"/>
      <c r="CK5" s="113"/>
      <c r="CL5" s="113"/>
      <c r="CM5" s="113"/>
      <c r="CN5" s="113"/>
      <c r="CO5" s="113"/>
      <c r="CP5" s="113"/>
      <c r="CQ5" s="113"/>
      <c r="CR5" s="113"/>
      <c r="CS5" s="113"/>
      <c r="CT5" s="113"/>
      <c r="CU5" s="113"/>
      <c r="CV5" s="113"/>
      <c r="CW5" s="113"/>
      <c r="CX5" s="113"/>
      <c r="CY5" s="113"/>
      <c r="CZ5" s="113"/>
      <c r="DA5" s="113"/>
      <c r="DB5" s="113"/>
      <c r="DC5" s="113"/>
      <c r="DD5" s="113"/>
    </row>
    <row r="6" spans="1:108" hidden="1" x14ac:dyDescent="0.2">
      <c r="D6" s="450"/>
    </row>
    <row r="7" spans="1:108" hidden="1" x14ac:dyDescent="0.2">
      <c r="D7" s="450"/>
      <c r="E7" s="71">
        <f>FirstYear</f>
        <v>2026</v>
      </c>
      <c r="F7" s="74">
        <f>E7+1</f>
        <v>2027</v>
      </c>
      <c r="G7" s="74">
        <f>F7+1</f>
        <v>2028</v>
      </c>
      <c r="H7" s="74">
        <f>G7+1</f>
        <v>2029</v>
      </c>
      <c r="I7" s="74">
        <f>H7+1</f>
        <v>2030</v>
      </c>
      <c r="J7" s="74">
        <f>I7+1</f>
        <v>2031</v>
      </c>
    </row>
    <row r="8" spans="1:108" hidden="1" x14ac:dyDescent="0.2">
      <c r="D8" s="451">
        <v>1</v>
      </c>
      <c r="E8" s="153">
        <f t="shared" ref="E8:J8" si="0">E29</f>
        <v>0</v>
      </c>
      <c r="F8" s="153">
        <f t="shared" si="0"/>
        <v>0</v>
      </c>
      <c r="G8" s="153">
        <f t="shared" si="0"/>
        <v>0</v>
      </c>
      <c r="H8" s="153">
        <f t="shared" si="0"/>
        <v>0</v>
      </c>
      <c r="I8" s="153">
        <f t="shared" si="0"/>
        <v>0</v>
      </c>
      <c r="J8" s="153">
        <f t="shared" si="0"/>
        <v>0</v>
      </c>
    </row>
    <row r="9" spans="1:108" hidden="1" x14ac:dyDescent="0.2">
      <c r="D9" s="451">
        <v>2</v>
      </c>
      <c r="E9" s="153">
        <f t="shared" ref="E9:J9" si="1">E47</f>
        <v>0</v>
      </c>
      <c r="F9" s="153">
        <f t="shared" si="1"/>
        <v>0</v>
      </c>
      <c r="G9" s="153">
        <f t="shared" si="1"/>
        <v>0</v>
      </c>
      <c r="H9" s="153">
        <f t="shared" si="1"/>
        <v>0</v>
      </c>
      <c r="I9" s="153">
        <f t="shared" si="1"/>
        <v>0</v>
      </c>
      <c r="J9" s="153">
        <f t="shared" si="1"/>
        <v>0</v>
      </c>
    </row>
    <row r="10" spans="1:108" hidden="1" x14ac:dyDescent="0.2">
      <c r="D10" s="451">
        <v>3</v>
      </c>
      <c r="E10" s="153">
        <f t="shared" ref="E10:J10" si="2">E65</f>
        <v>0</v>
      </c>
      <c r="F10" s="153">
        <f t="shared" si="2"/>
        <v>0</v>
      </c>
      <c r="G10" s="153">
        <f t="shared" si="2"/>
        <v>0</v>
      </c>
      <c r="H10" s="153">
        <f t="shared" si="2"/>
        <v>0</v>
      </c>
      <c r="I10" s="153">
        <f t="shared" si="2"/>
        <v>0</v>
      </c>
      <c r="J10" s="153">
        <f t="shared" si="2"/>
        <v>0</v>
      </c>
    </row>
    <row r="11" spans="1:108" hidden="1" x14ac:dyDescent="0.2">
      <c r="D11" s="451">
        <v>4</v>
      </c>
      <c r="E11" s="153">
        <f t="shared" ref="E11:J11" si="3">E83</f>
        <v>0</v>
      </c>
      <c r="F11" s="153">
        <f t="shared" si="3"/>
        <v>0</v>
      </c>
      <c r="G11" s="153">
        <f t="shared" si="3"/>
        <v>0</v>
      </c>
      <c r="H11" s="153">
        <f t="shared" si="3"/>
        <v>0</v>
      </c>
      <c r="I11" s="153">
        <f t="shared" si="3"/>
        <v>0</v>
      </c>
      <c r="J11" s="153">
        <f t="shared" si="3"/>
        <v>0</v>
      </c>
    </row>
    <row r="12" spans="1:108" hidden="1" x14ac:dyDescent="0.2">
      <c r="D12" s="451">
        <v>5</v>
      </c>
      <c r="E12" s="153">
        <f t="shared" ref="E12:J12" si="4">E101</f>
        <v>0</v>
      </c>
      <c r="F12" s="153">
        <f t="shared" si="4"/>
        <v>0</v>
      </c>
      <c r="G12" s="153">
        <f t="shared" si="4"/>
        <v>0</v>
      </c>
      <c r="H12" s="153">
        <f t="shared" si="4"/>
        <v>0</v>
      </c>
      <c r="I12" s="153">
        <f t="shared" si="4"/>
        <v>0</v>
      </c>
      <c r="J12" s="153">
        <f t="shared" si="4"/>
        <v>0</v>
      </c>
    </row>
    <row r="13" spans="1:108" hidden="1" x14ac:dyDescent="0.2">
      <c r="D13" s="451">
        <v>6</v>
      </c>
      <c r="E13" s="153">
        <f t="shared" ref="E13:J13" si="5">E119</f>
        <v>0</v>
      </c>
      <c r="F13" s="153">
        <f t="shared" si="5"/>
        <v>0</v>
      </c>
      <c r="G13" s="153">
        <f t="shared" si="5"/>
        <v>0</v>
      </c>
      <c r="H13" s="153">
        <f t="shared" si="5"/>
        <v>0</v>
      </c>
      <c r="I13" s="153">
        <f t="shared" si="5"/>
        <v>0</v>
      </c>
      <c r="J13" s="153">
        <f t="shared" si="5"/>
        <v>0</v>
      </c>
    </row>
    <row r="14" spans="1:108" hidden="1" x14ac:dyDescent="0.2">
      <c r="D14" s="451">
        <v>7</v>
      </c>
      <c r="E14" s="153">
        <f t="shared" ref="E14:J14" si="6">E137</f>
        <v>0</v>
      </c>
      <c r="F14" s="153">
        <f t="shared" si="6"/>
        <v>0</v>
      </c>
      <c r="G14" s="153">
        <f t="shared" si="6"/>
        <v>0</v>
      </c>
      <c r="H14" s="153">
        <f t="shared" si="6"/>
        <v>0</v>
      </c>
      <c r="I14" s="153">
        <f t="shared" si="6"/>
        <v>0</v>
      </c>
      <c r="J14" s="153">
        <f t="shared" si="6"/>
        <v>0</v>
      </c>
    </row>
    <row r="15" spans="1:108" hidden="1" x14ac:dyDescent="0.2">
      <c r="D15" s="451">
        <v>8</v>
      </c>
      <c r="E15" s="153">
        <f t="shared" ref="E15:J15" si="7">E155</f>
        <v>0</v>
      </c>
      <c r="F15" s="153">
        <f t="shared" si="7"/>
        <v>0</v>
      </c>
      <c r="G15" s="153">
        <f t="shared" si="7"/>
        <v>0</v>
      </c>
      <c r="H15" s="153">
        <f t="shared" si="7"/>
        <v>0</v>
      </c>
      <c r="I15" s="153">
        <f t="shared" si="7"/>
        <v>0</v>
      </c>
      <c r="J15" s="153">
        <f t="shared" si="7"/>
        <v>0</v>
      </c>
    </row>
    <row r="16" spans="1:108" hidden="1" x14ac:dyDescent="0.2">
      <c r="D16" s="451">
        <v>9</v>
      </c>
      <c r="E16" s="153">
        <f t="shared" ref="E16:J16" si="8">E173</f>
        <v>0</v>
      </c>
      <c r="F16" s="153">
        <f t="shared" si="8"/>
        <v>0</v>
      </c>
      <c r="G16" s="153">
        <f t="shared" si="8"/>
        <v>0</v>
      </c>
      <c r="H16" s="153">
        <f t="shared" si="8"/>
        <v>0</v>
      </c>
      <c r="I16" s="153">
        <f t="shared" si="8"/>
        <v>0</v>
      </c>
      <c r="J16" s="153">
        <f t="shared" si="8"/>
        <v>0</v>
      </c>
    </row>
    <row r="17" spans="2:15" hidden="1" x14ac:dyDescent="0.2">
      <c r="D17" s="451">
        <v>10</v>
      </c>
      <c r="E17" s="153">
        <f t="shared" ref="E17:J17" si="9">E191</f>
        <v>0</v>
      </c>
      <c r="F17" s="153">
        <f t="shared" si="9"/>
        <v>0</v>
      </c>
      <c r="G17" s="153">
        <f t="shared" si="9"/>
        <v>0</v>
      </c>
      <c r="H17" s="153">
        <f t="shared" si="9"/>
        <v>0</v>
      </c>
      <c r="I17" s="153">
        <f t="shared" si="9"/>
        <v>0</v>
      </c>
      <c r="J17" s="153">
        <f t="shared" si="9"/>
        <v>0</v>
      </c>
    </row>
    <row r="18" spans="2:15" x14ac:dyDescent="0.2">
      <c r="D18" s="450"/>
    </row>
    <row r="19" spans="2:15" ht="15.75" x14ac:dyDescent="0.2">
      <c r="B19" s="209">
        <f>IF(H22&lt;&gt;"",VLOOKUP(H22,GenderCode,2,FALSE),0)</f>
        <v>0</v>
      </c>
      <c r="C19" s="52">
        <v>1</v>
      </c>
      <c r="D19" s="72" t="str">
        <f>IF(B19=0,MsgNotUsed, CONCATENATE("ABS ", C19, ": ", H22, " ", E23, " - ", F23, " yrs inclusive (", E28, "-", J28, ")") &amp; IF(E25&lt;&gt;"",CONCATENATE(" - (",D25,")"),""))</f>
        <v>** NOT USED **</v>
      </c>
      <c r="E19" s="113"/>
      <c r="F19" s="113"/>
      <c r="G19" s="113"/>
      <c r="H19" s="113"/>
      <c r="I19" s="154"/>
      <c r="J19" s="113"/>
      <c r="K19" s="113"/>
      <c r="L19" s="113"/>
      <c r="M19" s="113"/>
      <c r="N19" s="113"/>
      <c r="O19" s="113"/>
    </row>
    <row r="20" spans="2:15" ht="14.25" hidden="1" outlineLevel="1" x14ac:dyDescent="0.2">
      <c r="D20" s="449"/>
    </row>
    <row r="21" spans="2:15" hidden="1" outlineLevel="1" x14ac:dyDescent="0.2">
      <c r="E21" s="75" t="s">
        <v>236</v>
      </c>
      <c r="F21" s="75" t="s">
        <v>237</v>
      </c>
      <c r="H21" s="75" t="s">
        <v>51</v>
      </c>
      <c r="J21" s="75" t="s">
        <v>355</v>
      </c>
    </row>
    <row r="22" spans="2:15" hidden="1" outlineLevel="1" x14ac:dyDescent="0.2">
      <c r="D22" s="37" t="s">
        <v>233</v>
      </c>
      <c r="E22" s="42"/>
      <c r="F22" s="42"/>
      <c r="H22" s="70"/>
      <c r="J22" s="70"/>
    </row>
    <row r="23" spans="2:15" hidden="1" outlineLevel="1" x14ac:dyDescent="0.2">
      <c r="E23" s="357">
        <f>IF(E22="",0,E22)</f>
        <v>0</v>
      </c>
      <c r="F23" s="357">
        <f>IF(F22="",100,F22)</f>
        <v>100</v>
      </c>
    </row>
    <row r="24" spans="2:15" hidden="1" outlineLevel="1" x14ac:dyDescent="0.2">
      <c r="E24" s="75" t="s">
        <v>454</v>
      </c>
      <c r="F24" s="75" t="s">
        <v>455</v>
      </c>
    </row>
    <row r="25" spans="2:15" hidden="1" outlineLevel="1" x14ac:dyDescent="0.2">
      <c r="D25" s="217" t="s">
        <v>453</v>
      </c>
      <c r="E25" s="51"/>
      <c r="F25" s="42"/>
      <c r="G25" s="257">
        <f>IF(AND(E25&lt;&gt;"",F25&lt;&gt;""),E25/F25,1)</f>
        <v>1</v>
      </c>
      <c r="I25" s="37" t="s">
        <v>249</v>
      </c>
      <c r="J25" s="611"/>
      <c r="K25" s="668"/>
      <c r="L25" s="668"/>
      <c r="M25" s="668"/>
      <c r="N25" s="668"/>
      <c r="O25" s="668"/>
    </row>
    <row r="26" spans="2:15" hidden="1" outlineLevel="1" x14ac:dyDescent="0.2"/>
    <row r="27" spans="2:15" hidden="1" outlineLevel="1" x14ac:dyDescent="0.2">
      <c r="E27" s="260" t="s">
        <v>246</v>
      </c>
    </row>
    <row r="28" spans="2:15" hidden="1" outlineLevel="1" x14ac:dyDescent="0.2">
      <c r="E28" s="71">
        <f>IF(J22&lt;&gt;"",J22,FirstYear)</f>
        <v>2026</v>
      </c>
      <c r="F28" s="74">
        <f>E28+1</f>
        <v>2027</v>
      </c>
      <c r="G28" s="74">
        <f>F28+1</f>
        <v>2028</v>
      </c>
      <c r="H28" s="74">
        <f>G28+1</f>
        <v>2029</v>
      </c>
      <c r="I28" s="74">
        <f>H28+1</f>
        <v>2030</v>
      </c>
      <c r="J28" s="74">
        <f>I28+1</f>
        <v>2031</v>
      </c>
    </row>
    <row r="29" spans="2:15" hidden="1" outlineLevel="1" x14ac:dyDescent="0.2">
      <c r="E29" s="57">
        <f t="shared" ref="E29:J29" si="10">IF($B$19&lt;&gt;0,VLOOKUP($B$19,$C$32:$J$34,E30)*$G25,0)</f>
        <v>0</v>
      </c>
      <c r="F29" s="57">
        <f t="shared" si="10"/>
        <v>0</v>
      </c>
      <c r="G29" s="57">
        <f t="shared" si="10"/>
        <v>0</v>
      </c>
      <c r="H29" s="57">
        <f t="shared" si="10"/>
        <v>0</v>
      </c>
      <c r="I29" s="57">
        <f t="shared" si="10"/>
        <v>0</v>
      </c>
      <c r="J29" s="57">
        <f t="shared" si="10"/>
        <v>0</v>
      </c>
      <c r="K29" s="127"/>
    </row>
    <row r="30" spans="2:15" hidden="1" outlineLevel="1" x14ac:dyDescent="0.2">
      <c r="E30" s="319">
        <v>3</v>
      </c>
      <c r="F30" s="319">
        <v>4</v>
      </c>
      <c r="G30" s="319">
        <v>5</v>
      </c>
      <c r="H30" s="319">
        <v>6</v>
      </c>
      <c r="I30" s="319">
        <v>7</v>
      </c>
      <c r="J30" s="319">
        <v>8</v>
      </c>
    </row>
    <row r="31" spans="2:15" hidden="1" outlineLevel="1" x14ac:dyDescent="0.2">
      <c r="D31" s="26" t="s">
        <v>314</v>
      </c>
      <c r="E31" s="71">
        <f t="shared" ref="E31:J31" si="11">E28</f>
        <v>2026</v>
      </c>
      <c r="F31" s="71">
        <f t="shared" si="11"/>
        <v>2027</v>
      </c>
      <c r="G31" s="71">
        <f t="shared" si="11"/>
        <v>2028</v>
      </c>
      <c r="H31" s="71">
        <f t="shared" si="11"/>
        <v>2029</v>
      </c>
      <c r="I31" s="71">
        <f t="shared" si="11"/>
        <v>2030</v>
      </c>
      <c r="J31" s="71">
        <f t="shared" si="11"/>
        <v>2031</v>
      </c>
    </row>
    <row r="32" spans="2:15" hidden="1" outlineLevel="1" x14ac:dyDescent="0.2">
      <c r="C32" s="52">
        <v>1</v>
      </c>
      <c r="D32" s="156" t="s">
        <v>231</v>
      </c>
      <c r="E32" s="57">
        <f t="shared" ref="E32:J32" si="12">SUMPRODUCT(($D$203:$D$221=E31)*($E$202:$DA$202&gt;=$E$23)*($E$202:$DA$202&lt;=$F$23)*($E$203:$DA$221))</f>
        <v>27805684</v>
      </c>
      <c r="F32" s="57">
        <f t="shared" si="12"/>
        <v>28201094</v>
      </c>
      <c r="G32" s="57">
        <f t="shared" si="12"/>
        <v>28581272</v>
      </c>
      <c r="H32" s="57">
        <f t="shared" si="12"/>
        <v>28946317</v>
      </c>
      <c r="I32" s="57">
        <f t="shared" si="12"/>
        <v>29294970</v>
      </c>
      <c r="J32" s="57">
        <f t="shared" si="12"/>
        <v>29628141</v>
      </c>
    </row>
    <row r="33" spans="2:15" hidden="1" outlineLevel="1" x14ac:dyDescent="0.2">
      <c r="C33" s="52">
        <v>2</v>
      </c>
      <c r="D33" s="156" t="s">
        <v>234</v>
      </c>
      <c r="E33" s="57">
        <f t="shared" ref="E33:J33" si="13">SUMPRODUCT(($D$228:$D$246=E31)*($E$227:$DA$227&gt;=$E$23)*($E$227:$DA$227&lt;=$F$23)*($E$228:$DA$246))</f>
        <v>13779945</v>
      </c>
      <c r="F33" s="57">
        <f t="shared" si="13"/>
        <v>13971702</v>
      </c>
      <c r="G33" s="57">
        <f t="shared" si="13"/>
        <v>14155936</v>
      </c>
      <c r="H33" s="57">
        <f t="shared" si="13"/>
        <v>14332736</v>
      </c>
      <c r="I33" s="57">
        <f t="shared" si="13"/>
        <v>14501556</v>
      </c>
      <c r="J33" s="57">
        <f t="shared" si="13"/>
        <v>14662883</v>
      </c>
    </row>
    <row r="34" spans="2:15" hidden="1" outlineLevel="1" x14ac:dyDescent="0.2">
      <c r="C34" s="52">
        <v>3</v>
      </c>
      <c r="D34" s="156" t="s">
        <v>235</v>
      </c>
      <c r="E34" s="57">
        <f t="shared" ref="E34:J34" si="14">SUMPRODUCT(($D$253:$D$271=E31)*($E$252:$DA$252&gt;=$E$23)*($E$252:$DA$252&lt;=$F$23)*($E$253:$DA$271))</f>
        <v>14025739</v>
      </c>
      <c r="F34" s="57">
        <f t="shared" si="14"/>
        <v>14229392</v>
      </c>
      <c r="G34" s="57">
        <f t="shared" si="14"/>
        <v>14425336</v>
      </c>
      <c r="H34" s="57">
        <f t="shared" si="14"/>
        <v>14613581</v>
      </c>
      <c r="I34" s="57">
        <f t="shared" si="14"/>
        <v>14793414</v>
      </c>
      <c r="J34" s="57">
        <f t="shared" si="14"/>
        <v>14965258</v>
      </c>
    </row>
    <row r="35" spans="2:15" hidden="1" outlineLevel="1" x14ac:dyDescent="0.2"/>
    <row r="36" spans="2:15" collapsed="1" x14ac:dyDescent="0.2"/>
    <row r="37" spans="2:15" ht="15.75" x14ac:dyDescent="0.2">
      <c r="B37" s="209">
        <f>IF(H40&lt;&gt;"",VLOOKUP(H40,GenderCode,2,FALSE),0)</f>
        <v>0</v>
      </c>
      <c r="C37" s="52">
        <v>2</v>
      </c>
      <c r="D37" s="72" t="str">
        <f>IF(B37=0,MsgNotUsed, CONCATENATE("ABS ", C37, ": ", H40, " ", E41, " - ", F41, " yrs inclusive (", E46, "-", J46, ")") &amp; IF(E43&lt;&gt;"",CONCATENATE(" - (",D43,")"),""))</f>
        <v>** NOT USED **</v>
      </c>
      <c r="E37" s="113"/>
      <c r="F37" s="113"/>
      <c r="G37" s="113"/>
      <c r="H37" s="113"/>
      <c r="I37" s="154"/>
      <c r="J37" s="113"/>
      <c r="K37" s="113"/>
      <c r="L37" s="113"/>
      <c r="M37" s="113"/>
      <c r="N37" s="113"/>
      <c r="O37" s="113"/>
    </row>
    <row r="38" spans="2:15" ht="14.25" hidden="1" outlineLevel="1" x14ac:dyDescent="0.2">
      <c r="D38" s="449"/>
    </row>
    <row r="39" spans="2:15" hidden="1" outlineLevel="1" x14ac:dyDescent="0.2">
      <c r="E39" s="75" t="s">
        <v>236</v>
      </c>
      <c r="F39" s="75" t="s">
        <v>237</v>
      </c>
      <c r="H39" s="75" t="s">
        <v>51</v>
      </c>
      <c r="J39" s="75" t="s">
        <v>355</v>
      </c>
    </row>
    <row r="40" spans="2:15" hidden="1" outlineLevel="1" x14ac:dyDescent="0.2">
      <c r="D40" s="37" t="s">
        <v>233</v>
      </c>
      <c r="E40" s="42"/>
      <c r="F40" s="42"/>
      <c r="H40" s="70"/>
      <c r="J40" s="70"/>
    </row>
    <row r="41" spans="2:15" hidden="1" outlineLevel="1" x14ac:dyDescent="0.2">
      <c r="E41" s="357">
        <f>IF(E40="",0,E40)</f>
        <v>0</v>
      </c>
      <c r="F41" s="357">
        <f>IF(F40="",100,F40)</f>
        <v>100</v>
      </c>
    </row>
    <row r="42" spans="2:15" hidden="1" outlineLevel="1" x14ac:dyDescent="0.2">
      <c r="E42" s="75" t="s">
        <v>454</v>
      </c>
      <c r="F42" s="75" t="s">
        <v>455</v>
      </c>
    </row>
    <row r="43" spans="2:15" hidden="1" outlineLevel="1" x14ac:dyDescent="0.2">
      <c r="D43" s="217" t="s">
        <v>453</v>
      </c>
      <c r="E43" s="376"/>
      <c r="F43" s="42"/>
      <c r="G43" s="257">
        <f>IF(AND(E43&lt;&gt;"",F43&lt;&gt;""),E43/F43,1)</f>
        <v>1</v>
      </c>
      <c r="I43" s="37" t="s">
        <v>249</v>
      </c>
      <c r="J43" s="611"/>
      <c r="K43" s="668"/>
      <c r="L43" s="668"/>
      <c r="M43" s="668"/>
      <c r="N43" s="668"/>
      <c r="O43" s="668"/>
    </row>
    <row r="44" spans="2:15" hidden="1" outlineLevel="1" x14ac:dyDescent="0.2"/>
    <row r="45" spans="2:15" hidden="1" outlineLevel="1" x14ac:dyDescent="0.2">
      <c r="E45" s="260" t="s">
        <v>246</v>
      </c>
    </row>
    <row r="46" spans="2:15" hidden="1" outlineLevel="1" x14ac:dyDescent="0.2">
      <c r="E46" s="71">
        <f>IF(J40&lt;&gt;"",J40,FirstYear)</f>
        <v>2026</v>
      </c>
      <c r="F46" s="74">
        <f>E46+1</f>
        <v>2027</v>
      </c>
      <c r="G46" s="74">
        <f>F46+1</f>
        <v>2028</v>
      </c>
      <c r="H46" s="74">
        <f>G46+1</f>
        <v>2029</v>
      </c>
      <c r="I46" s="74">
        <f>H46+1</f>
        <v>2030</v>
      </c>
      <c r="J46" s="74">
        <f>I46+1</f>
        <v>2031</v>
      </c>
    </row>
    <row r="47" spans="2:15" hidden="1" outlineLevel="1" x14ac:dyDescent="0.2">
      <c r="E47" s="57">
        <f t="shared" ref="E47:J47" si="15">IF($B$37&lt;&gt;0,VLOOKUP($B$37,$C$50:$J$52,E48)*$G43,0)</f>
        <v>0</v>
      </c>
      <c r="F47" s="57">
        <f t="shared" si="15"/>
        <v>0</v>
      </c>
      <c r="G47" s="57">
        <f t="shared" si="15"/>
        <v>0</v>
      </c>
      <c r="H47" s="57">
        <f t="shared" si="15"/>
        <v>0</v>
      </c>
      <c r="I47" s="57">
        <f t="shared" si="15"/>
        <v>0</v>
      </c>
      <c r="J47" s="57">
        <f t="shared" si="15"/>
        <v>0</v>
      </c>
    </row>
    <row r="48" spans="2:15" hidden="1" outlineLevel="1" x14ac:dyDescent="0.2">
      <c r="E48" s="319">
        <v>3</v>
      </c>
      <c r="F48" s="319">
        <v>4</v>
      </c>
      <c r="G48" s="319">
        <v>5</v>
      </c>
      <c r="H48" s="319">
        <v>6</v>
      </c>
      <c r="I48" s="319">
        <v>7</v>
      </c>
      <c r="J48" s="319">
        <v>8</v>
      </c>
    </row>
    <row r="49" spans="2:15" hidden="1" outlineLevel="1" x14ac:dyDescent="0.2">
      <c r="D49" s="26" t="s">
        <v>314</v>
      </c>
      <c r="E49" s="71">
        <f t="shared" ref="E49:J49" si="16">E46</f>
        <v>2026</v>
      </c>
      <c r="F49" s="71">
        <f t="shared" si="16"/>
        <v>2027</v>
      </c>
      <c r="G49" s="71">
        <f t="shared" si="16"/>
        <v>2028</v>
      </c>
      <c r="H49" s="71">
        <f t="shared" si="16"/>
        <v>2029</v>
      </c>
      <c r="I49" s="71">
        <f t="shared" si="16"/>
        <v>2030</v>
      </c>
      <c r="J49" s="71">
        <f t="shared" si="16"/>
        <v>2031</v>
      </c>
    </row>
    <row r="50" spans="2:15" hidden="1" outlineLevel="1" x14ac:dyDescent="0.2">
      <c r="C50" s="52">
        <v>1</v>
      </c>
      <c r="D50" s="156" t="s">
        <v>231</v>
      </c>
      <c r="E50" s="57">
        <f t="shared" ref="E50:J50" si="17">SUMPRODUCT(($D$203:$D$221=E49)*($E$202:$DA$202&gt;=$E$41)*($E$202:$DA$202&lt;=$F$41)*($E$203:$DA$221))</f>
        <v>27805684</v>
      </c>
      <c r="F50" s="57">
        <f t="shared" si="17"/>
        <v>28201094</v>
      </c>
      <c r="G50" s="57">
        <f t="shared" si="17"/>
        <v>28581272</v>
      </c>
      <c r="H50" s="57">
        <f t="shared" si="17"/>
        <v>28946317</v>
      </c>
      <c r="I50" s="57">
        <f t="shared" si="17"/>
        <v>29294970</v>
      </c>
      <c r="J50" s="57">
        <f t="shared" si="17"/>
        <v>29628141</v>
      </c>
    </row>
    <row r="51" spans="2:15" hidden="1" outlineLevel="1" x14ac:dyDescent="0.2">
      <c r="C51" s="52">
        <v>2</v>
      </c>
      <c r="D51" s="156" t="s">
        <v>234</v>
      </c>
      <c r="E51" s="57">
        <f t="shared" ref="E51:J51" si="18">SUMPRODUCT(($D$228:$D$246=E49)*($E$227:$DA$227&gt;=$E$41)*($E$227:$DA$227&lt;=$F$41)*($E$228:$DA$246))</f>
        <v>13779945</v>
      </c>
      <c r="F51" s="57">
        <f t="shared" si="18"/>
        <v>13971702</v>
      </c>
      <c r="G51" s="57">
        <f t="shared" si="18"/>
        <v>14155936</v>
      </c>
      <c r="H51" s="57">
        <f t="shared" si="18"/>
        <v>14332736</v>
      </c>
      <c r="I51" s="57">
        <f t="shared" si="18"/>
        <v>14501556</v>
      </c>
      <c r="J51" s="57">
        <f t="shared" si="18"/>
        <v>14662883</v>
      </c>
    </row>
    <row r="52" spans="2:15" hidden="1" outlineLevel="1" x14ac:dyDescent="0.2">
      <c r="C52" s="52">
        <v>3</v>
      </c>
      <c r="D52" s="156" t="s">
        <v>235</v>
      </c>
      <c r="E52" s="57">
        <f t="shared" ref="E52:J52" si="19">SUMPRODUCT(($D$253:$D$271=E49)*($E$252:$DA$252&gt;=$E$41)*($E$252:$DA$252&lt;=$F$41)*($E$253:$DA$271))</f>
        <v>14025739</v>
      </c>
      <c r="F52" s="57">
        <f t="shared" si="19"/>
        <v>14229392</v>
      </c>
      <c r="G52" s="57">
        <f t="shared" si="19"/>
        <v>14425336</v>
      </c>
      <c r="H52" s="57">
        <f t="shared" si="19"/>
        <v>14613581</v>
      </c>
      <c r="I52" s="57">
        <f t="shared" si="19"/>
        <v>14793414</v>
      </c>
      <c r="J52" s="57">
        <f t="shared" si="19"/>
        <v>14965258</v>
      </c>
    </row>
    <row r="53" spans="2:15" hidden="1" outlineLevel="1" x14ac:dyDescent="0.2"/>
    <row r="54" spans="2:15" collapsed="1" x14ac:dyDescent="0.2"/>
    <row r="55" spans="2:15" ht="15.75" x14ac:dyDescent="0.2">
      <c r="B55" s="209">
        <f>IF(H58&lt;&gt;"",VLOOKUP(H58,GenderCode,2,FALSE),0)</f>
        <v>0</v>
      </c>
      <c r="C55" s="52">
        <v>3</v>
      </c>
      <c r="D55" s="72" t="str">
        <f>IF(B55=0,MsgNotUsed, CONCATENATE("ABS ", C55, ": ", H58, " ", E59, " - ", F59, " yrs inclusive (", E64, "-", J64, ")") &amp; IF(E61&lt;&gt;"",CONCATENATE(" - (",D61,")"),""))</f>
        <v>** NOT USED **</v>
      </c>
      <c r="E55" s="113"/>
      <c r="F55" s="113"/>
      <c r="G55" s="113"/>
      <c r="H55" s="113"/>
      <c r="I55" s="154"/>
      <c r="J55" s="113"/>
      <c r="K55" s="113"/>
      <c r="L55" s="113"/>
      <c r="M55" s="113"/>
      <c r="N55" s="113"/>
      <c r="O55" s="113"/>
    </row>
    <row r="56" spans="2:15" ht="14.25" hidden="1" outlineLevel="1" x14ac:dyDescent="0.2">
      <c r="D56" s="449"/>
    </row>
    <row r="57" spans="2:15" hidden="1" outlineLevel="1" x14ac:dyDescent="0.2">
      <c r="E57" s="75" t="s">
        <v>236</v>
      </c>
      <c r="F57" s="75" t="s">
        <v>237</v>
      </c>
      <c r="H57" s="75" t="s">
        <v>51</v>
      </c>
      <c r="J57" s="75" t="s">
        <v>355</v>
      </c>
    </row>
    <row r="58" spans="2:15" hidden="1" outlineLevel="1" x14ac:dyDescent="0.2">
      <c r="D58" s="37" t="s">
        <v>233</v>
      </c>
      <c r="E58" s="42"/>
      <c r="F58" s="42"/>
      <c r="H58" s="70"/>
      <c r="J58" s="70"/>
    </row>
    <row r="59" spans="2:15" hidden="1" outlineLevel="1" x14ac:dyDescent="0.2">
      <c r="E59" s="357">
        <f>IF(E58="",0,E58)</f>
        <v>0</v>
      </c>
      <c r="F59" s="357">
        <f>IF(F58="",100,F58)</f>
        <v>100</v>
      </c>
    </row>
    <row r="60" spans="2:15" hidden="1" outlineLevel="1" x14ac:dyDescent="0.2">
      <c r="E60" s="75" t="s">
        <v>454</v>
      </c>
      <c r="F60" s="75" t="s">
        <v>455</v>
      </c>
    </row>
    <row r="61" spans="2:15" hidden="1" outlineLevel="1" x14ac:dyDescent="0.2">
      <c r="D61" s="217"/>
      <c r="E61" s="376"/>
      <c r="F61" s="42"/>
      <c r="G61" s="257">
        <f>IF(AND(E61&lt;&gt;"",F61&lt;&gt;""),E61/F61,1)</f>
        <v>1</v>
      </c>
      <c r="I61" s="37" t="s">
        <v>249</v>
      </c>
      <c r="J61" s="611"/>
      <c r="K61" s="668"/>
      <c r="L61" s="668"/>
      <c r="M61" s="668"/>
      <c r="N61" s="668"/>
      <c r="O61" s="668"/>
    </row>
    <row r="62" spans="2:15" hidden="1" outlineLevel="1" x14ac:dyDescent="0.2"/>
    <row r="63" spans="2:15" hidden="1" outlineLevel="1" x14ac:dyDescent="0.2">
      <c r="E63" s="260" t="s">
        <v>246</v>
      </c>
    </row>
    <row r="64" spans="2:15" hidden="1" outlineLevel="1" x14ac:dyDescent="0.2">
      <c r="E64" s="71">
        <f>IF(J58&lt;&gt;"",J58,FirstYear)</f>
        <v>2026</v>
      </c>
      <c r="F64" s="74">
        <f>E64+1</f>
        <v>2027</v>
      </c>
      <c r="G64" s="74">
        <f>F64+1</f>
        <v>2028</v>
      </c>
      <c r="H64" s="74">
        <f>G64+1</f>
        <v>2029</v>
      </c>
      <c r="I64" s="74">
        <f>H64+1</f>
        <v>2030</v>
      </c>
      <c r="J64" s="74">
        <f>I64+1</f>
        <v>2031</v>
      </c>
    </row>
    <row r="65" spans="2:15" hidden="1" outlineLevel="1" x14ac:dyDescent="0.2">
      <c r="E65" s="57">
        <f t="shared" ref="E65:J65" si="20">IF($B$55&lt;&gt;0,VLOOKUP($B$55,$C$68:$J$70,E66)*$G61,0)</f>
        <v>0</v>
      </c>
      <c r="F65" s="57">
        <f t="shared" si="20"/>
        <v>0</v>
      </c>
      <c r="G65" s="57">
        <f t="shared" si="20"/>
        <v>0</v>
      </c>
      <c r="H65" s="57">
        <f t="shared" si="20"/>
        <v>0</v>
      </c>
      <c r="I65" s="57">
        <f t="shared" si="20"/>
        <v>0</v>
      </c>
      <c r="J65" s="57">
        <f t="shared" si="20"/>
        <v>0</v>
      </c>
    </row>
    <row r="66" spans="2:15" hidden="1" outlineLevel="1" x14ac:dyDescent="0.2">
      <c r="E66" s="319">
        <v>3</v>
      </c>
      <c r="F66" s="319">
        <v>4</v>
      </c>
      <c r="G66" s="319">
        <v>5</v>
      </c>
      <c r="H66" s="319">
        <v>6</v>
      </c>
      <c r="I66" s="319">
        <v>7</v>
      </c>
      <c r="J66" s="319">
        <v>8</v>
      </c>
    </row>
    <row r="67" spans="2:15" hidden="1" outlineLevel="1" x14ac:dyDescent="0.2">
      <c r="D67" s="26" t="s">
        <v>314</v>
      </c>
      <c r="E67" s="71">
        <f t="shared" ref="E67:J67" si="21">E64</f>
        <v>2026</v>
      </c>
      <c r="F67" s="71">
        <f t="shared" si="21"/>
        <v>2027</v>
      </c>
      <c r="G67" s="71">
        <f t="shared" si="21"/>
        <v>2028</v>
      </c>
      <c r="H67" s="71">
        <f t="shared" si="21"/>
        <v>2029</v>
      </c>
      <c r="I67" s="71">
        <f t="shared" si="21"/>
        <v>2030</v>
      </c>
      <c r="J67" s="71">
        <f t="shared" si="21"/>
        <v>2031</v>
      </c>
    </row>
    <row r="68" spans="2:15" hidden="1" outlineLevel="1" x14ac:dyDescent="0.2">
      <c r="C68" s="52">
        <v>1</v>
      </c>
      <c r="D68" s="156" t="s">
        <v>231</v>
      </c>
      <c r="E68" s="57">
        <f t="shared" ref="E68:J68" si="22">SUMPRODUCT(($D$203:$D$221=E67)*($E$202:$DA$202&gt;=$E$59)*($E$202:$DA$202&lt;=$F$59)*($E$203:$DA$221))</f>
        <v>27805684</v>
      </c>
      <c r="F68" s="57">
        <f t="shared" si="22"/>
        <v>28201094</v>
      </c>
      <c r="G68" s="57">
        <f t="shared" si="22"/>
        <v>28581272</v>
      </c>
      <c r="H68" s="57">
        <f t="shared" si="22"/>
        <v>28946317</v>
      </c>
      <c r="I68" s="57">
        <f t="shared" si="22"/>
        <v>29294970</v>
      </c>
      <c r="J68" s="57">
        <f t="shared" si="22"/>
        <v>29628141</v>
      </c>
    </row>
    <row r="69" spans="2:15" hidden="1" outlineLevel="1" x14ac:dyDescent="0.2">
      <c r="C69" s="52">
        <v>2</v>
      </c>
      <c r="D69" s="156" t="s">
        <v>234</v>
      </c>
      <c r="E69" s="57">
        <f t="shared" ref="E69:J69" si="23">SUMPRODUCT(($D$228:$D$246=E67)*($E$227:$DA$227&gt;=$E$59)*($E$227:$DA$227&lt;=$F$59)*($E$228:$DA$246))</f>
        <v>13779945</v>
      </c>
      <c r="F69" s="57">
        <f t="shared" si="23"/>
        <v>13971702</v>
      </c>
      <c r="G69" s="57">
        <f t="shared" si="23"/>
        <v>14155936</v>
      </c>
      <c r="H69" s="57">
        <f t="shared" si="23"/>
        <v>14332736</v>
      </c>
      <c r="I69" s="57">
        <f t="shared" si="23"/>
        <v>14501556</v>
      </c>
      <c r="J69" s="57">
        <f t="shared" si="23"/>
        <v>14662883</v>
      </c>
    </row>
    <row r="70" spans="2:15" hidden="1" outlineLevel="1" x14ac:dyDescent="0.2">
      <c r="C70" s="52">
        <v>3</v>
      </c>
      <c r="D70" s="156" t="s">
        <v>235</v>
      </c>
      <c r="E70" s="57">
        <f t="shared" ref="E70:J70" si="24">SUMPRODUCT(($D$253:$D$271=E67)*($E$252:$DA$252&gt;=$E$59)*($E$252:$DA$252&lt;=$F$59)*($E$253:$DA$271))</f>
        <v>14025739</v>
      </c>
      <c r="F70" s="57">
        <f t="shared" si="24"/>
        <v>14229392</v>
      </c>
      <c r="G70" s="57">
        <f t="shared" si="24"/>
        <v>14425336</v>
      </c>
      <c r="H70" s="57">
        <f t="shared" si="24"/>
        <v>14613581</v>
      </c>
      <c r="I70" s="57">
        <f t="shared" si="24"/>
        <v>14793414</v>
      </c>
      <c r="J70" s="57">
        <f t="shared" si="24"/>
        <v>14965258</v>
      </c>
    </row>
    <row r="71" spans="2:15" hidden="1" outlineLevel="1" x14ac:dyDescent="0.2"/>
    <row r="72" spans="2:15" collapsed="1" x14ac:dyDescent="0.2"/>
    <row r="73" spans="2:15" ht="15.75" x14ac:dyDescent="0.2">
      <c r="B73" s="209">
        <f>IF(H76&lt;&gt;"",VLOOKUP(H76,GenderCode,2,FALSE),0)</f>
        <v>0</v>
      </c>
      <c r="C73" s="52">
        <v>4</v>
      </c>
      <c r="D73" s="72" t="str">
        <f>IF(B73=0,MsgNotUsed, CONCATENATE("ABS ", C73, ": ", H76, " ", E77, " - ", F77, " yrs inclusive (", E82, "-", J82, ")") &amp; IF(E79&lt;&gt;"",CONCATENATE(" - (",D79,")"),""))</f>
        <v>** NOT USED **</v>
      </c>
      <c r="E73" s="113"/>
      <c r="F73" s="113"/>
      <c r="G73" s="113"/>
      <c r="H73" s="113"/>
      <c r="I73" s="154"/>
      <c r="J73" s="113"/>
      <c r="K73" s="113"/>
      <c r="L73" s="113"/>
      <c r="M73" s="113"/>
      <c r="N73" s="113"/>
      <c r="O73" s="113"/>
    </row>
    <row r="74" spans="2:15" ht="14.25" hidden="1" outlineLevel="1" x14ac:dyDescent="0.2">
      <c r="D74" s="449"/>
    </row>
    <row r="75" spans="2:15" hidden="1" outlineLevel="1" x14ac:dyDescent="0.2">
      <c r="E75" s="75" t="s">
        <v>236</v>
      </c>
      <c r="F75" s="75" t="s">
        <v>237</v>
      </c>
      <c r="H75" s="75" t="s">
        <v>51</v>
      </c>
      <c r="J75" s="75" t="s">
        <v>355</v>
      </c>
    </row>
    <row r="76" spans="2:15" hidden="1" outlineLevel="1" x14ac:dyDescent="0.2">
      <c r="D76" s="37" t="s">
        <v>233</v>
      </c>
      <c r="E76" s="42"/>
      <c r="F76" s="42"/>
      <c r="H76" s="70"/>
      <c r="J76" s="70"/>
    </row>
    <row r="77" spans="2:15" hidden="1" outlineLevel="1" x14ac:dyDescent="0.2">
      <c r="E77" s="357">
        <f>IF(E76="",0,E76)</f>
        <v>0</v>
      </c>
      <c r="F77" s="357">
        <f>IF(F76="",100,F76)</f>
        <v>100</v>
      </c>
    </row>
    <row r="78" spans="2:15" hidden="1" outlineLevel="1" x14ac:dyDescent="0.2">
      <c r="E78" s="75" t="s">
        <v>454</v>
      </c>
      <c r="F78" s="75" t="s">
        <v>455</v>
      </c>
    </row>
    <row r="79" spans="2:15" hidden="1" outlineLevel="1" x14ac:dyDescent="0.2">
      <c r="D79" s="217" t="s">
        <v>453</v>
      </c>
      <c r="E79" s="376"/>
      <c r="F79" s="42"/>
      <c r="G79" s="257">
        <f>IF(AND(E79&lt;&gt;"",F79&lt;&gt;""),E79/F79,1)</f>
        <v>1</v>
      </c>
      <c r="I79" s="37" t="s">
        <v>249</v>
      </c>
      <c r="J79" s="611"/>
      <c r="K79" s="668"/>
      <c r="L79" s="668"/>
      <c r="M79" s="668"/>
      <c r="N79" s="668"/>
      <c r="O79" s="668"/>
    </row>
    <row r="80" spans="2:15" hidden="1" outlineLevel="1" x14ac:dyDescent="0.2"/>
    <row r="81" spans="2:15" hidden="1" outlineLevel="1" x14ac:dyDescent="0.2">
      <c r="E81" s="260" t="s">
        <v>246</v>
      </c>
    </row>
    <row r="82" spans="2:15" hidden="1" outlineLevel="1" x14ac:dyDescent="0.2">
      <c r="E82" s="71">
        <f>IF(J76&lt;&gt;"",J76,FirstYear)</f>
        <v>2026</v>
      </c>
      <c r="F82" s="74">
        <f>E82+1</f>
        <v>2027</v>
      </c>
      <c r="G82" s="74">
        <f>F82+1</f>
        <v>2028</v>
      </c>
      <c r="H82" s="74">
        <f>G82+1</f>
        <v>2029</v>
      </c>
      <c r="I82" s="74">
        <f>H82+1</f>
        <v>2030</v>
      </c>
      <c r="J82" s="74">
        <f>I82+1</f>
        <v>2031</v>
      </c>
    </row>
    <row r="83" spans="2:15" hidden="1" outlineLevel="1" x14ac:dyDescent="0.2">
      <c r="E83" s="57">
        <f t="shared" ref="E83:J83" si="25">IF($B$73&lt;&gt;0,VLOOKUP($B$73,$C$86:$J$88,E84)*$G79,0)</f>
        <v>0</v>
      </c>
      <c r="F83" s="57">
        <f t="shared" si="25"/>
        <v>0</v>
      </c>
      <c r="G83" s="57">
        <f t="shared" si="25"/>
        <v>0</v>
      </c>
      <c r="H83" s="57">
        <f t="shared" si="25"/>
        <v>0</v>
      </c>
      <c r="I83" s="57">
        <f t="shared" si="25"/>
        <v>0</v>
      </c>
      <c r="J83" s="57">
        <f t="shared" si="25"/>
        <v>0</v>
      </c>
    </row>
    <row r="84" spans="2:15" hidden="1" outlineLevel="1" x14ac:dyDescent="0.2">
      <c r="E84" s="319">
        <v>3</v>
      </c>
      <c r="F84" s="319">
        <v>4</v>
      </c>
      <c r="G84" s="319">
        <v>5</v>
      </c>
      <c r="H84" s="319">
        <v>6</v>
      </c>
      <c r="I84" s="319">
        <v>7</v>
      </c>
      <c r="J84" s="319">
        <v>8</v>
      </c>
    </row>
    <row r="85" spans="2:15" hidden="1" outlineLevel="1" x14ac:dyDescent="0.2">
      <c r="D85" s="26" t="s">
        <v>314</v>
      </c>
      <c r="E85" s="71">
        <f t="shared" ref="E85:J85" si="26">E82</f>
        <v>2026</v>
      </c>
      <c r="F85" s="71">
        <f t="shared" si="26"/>
        <v>2027</v>
      </c>
      <c r="G85" s="71">
        <f t="shared" si="26"/>
        <v>2028</v>
      </c>
      <c r="H85" s="71">
        <f t="shared" si="26"/>
        <v>2029</v>
      </c>
      <c r="I85" s="71">
        <f t="shared" si="26"/>
        <v>2030</v>
      </c>
      <c r="J85" s="71">
        <f t="shared" si="26"/>
        <v>2031</v>
      </c>
    </row>
    <row r="86" spans="2:15" hidden="1" outlineLevel="1" x14ac:dyDescent="0.2">
      <c r="C86" s="52">
        <v>1</v>
      </c>
      <c r="D86" s="156" t="s">
        <v>231</v>
      </c>
      <c r="E86" s="57">
        <f t="shared" ref="E86:J86" si="27">SUMPRODUCT(($D$203:$D$221=E85)*($E$202:$DA$202&gt;=$E$77)*($E$202:$DA$202&lt;=$F$77)*($E$203:$DA$221))</f>
        <v>27805684</v>
      </c>
      <c r="F86" s="57">
        <f t="shared" si="27"/>
        <v>28201094</v>
      </c>
      <c r="G86" s="57">
        <f t="shared" si="27"/>
        <v>28581272</v>
      </c>
      <c r="H86" s="57">
        <f t="shared" si="27"/>
        <v>28946317</v>
      </c>
      <c r="I86" s="57">
        <f t="shared" si="27"/>
        <v>29294970</v>
      </c>
      <c r="J86" s="57">
        <f t="shared" si="27"/>
        <v>29628141</v>
      </c>
    </row>
    <row r="87" spans="2:15" hidden="1" outlineLevel="1" x14ac:dyDescent="0.2">
      <c r="C87" s="52">
        <v>2</v>
      </c>
      <c r="D87" s="156" t="s">
        <v>234</v>
      </c>
      <c r="E87" s="57">
        <f t="shared" ref="E87:J87" si="28">SUMPRODUCT(($D$228:$D$246=E85)*($E$227:$DA$227&gt;=$E$77)*($E$227:$DA$227&lt;=$F$77)*($E$228:$DA$246))</f>
        <v>13779945</v>
      </c>
      <c r="F87" s="57">
        <f t="shared" si="28"/>
        <v>13971702</v>
      </c>
      <c r="G87" s="57">
        <f t="shared" si="28"/>
        <v>14155936</v>
      </c>
      <c r="H87" s="57">
        <f t="shared" si="28"/>
        <v>14332736</v>
      </c>
      <c r="I87" s="57">
        <f t="shared" si="28"/>
        <v>14501556</v>
      </c>
      <c r="J87" s="57">
        <f t="shared" si="28"/>
        <v>14662883</v>
      </c>
    </row>
    <row r="88" spans="2:15" hidden="1" outlineLevel="1" x14ac:dyDescent="0.2">
      <c r="C88" s="52">
        <v>3</v>
      </c>
      <c r="D88" s="156" t="s">
        <v>235</v>
      </c>
      <c r="E88" s="57">
        <f t="shared" ref="E88:J88" si="29">SUMPRODUCT(($D$253:$D$271=E85)*($E$252:$DA$252&gt;=$E$77)*($E$252:$DA$252&lt;=$F$77)*($E$253:$DA$271))</f>
        <v>14025739</v>
      </c>
      <c r="F88" s="57">
        <f t="shared" si="29"/>
        <v>14229392</v>
      </c>
      <c r="G88" s="57">
        <f t="shared" si="29"/>
        <v>14425336</v>
      </c>
      <c r="H88" s="57">
        <f t="shared" si="29"/>
        <v>14613581</v>
      </c>
      <c r="I88" s="57">
        <f t="shared" si="29"/>
        <v>14793414</v>
      </c>
      <c r="J88" s="57">
        <f t="shared" si="29"/>
        <v>14965258</v>
      </c>
    </row>
    <row r="89" spans="2:15" hidden="1" outlineLevel="1" x14ac:dyDescent="0.2"/>
    <row r="90" spans="2:15" collapsed="1" x14ac:dyDescent="0.2"/>
    <row r="91" spans="2:15" ht="15.75" x14ac:dyDescent="0.2">
      <c r="B91" s="209">
        <f>IF(H94&lt;&gt;"",VLOOKUP(H94,GenderCode,2,FALSE),0)</f>
        <v>0</v>
      </c>
      <c r="C91" s="52">
        <v>5</v>
      </c>
      <c r="D91" s="72" t="str">
        <f>IF(B91=0,MsgNotUsed, CONCATENATE("ABS ", C91, ": ", H94, " ", E95, " - ", F95, " yrs inclusive (", E100, "-", J100, ")") &amp; IF(E97&lt;&gt;"",CONCATENATE(" - (",D97,")"),""))</f>
        <v>** NOT USED **</v>
      </c>
      <c r="E91" s="113"/>
      <c r="F91" s="113"/>
      <c r="G91" s="113"/>
      <c r="H91" s="113"/>
      <c r="I91" s="154"/>
      <c r="J91" s="113"/>
      <c r="K91" s="113"/>
      <c r="L91" s="113"/>
      <c r="M91" s="113"/>
      <c r="N91" s="113"/>
      <c r="O91" s="113"/>
    </row>
    <row r="92" spans="2:15" ht="14.25" hidden="1" outlineLevel="1" x14ac:dyDescent="0.2">
      <c r="D92" s="449"/>
    </row>
    <row r="93" spans="2:15" hidden="1" outlineLevel="1" x14ac:dyDescent="0.2">
      <c r="E93" s="75" t="s">
        <v>236</v>
      </c>
      <c r="F93" s="75" t="s">
        <v>237</v>
      </c>
      <c r="H93" s="75" t="s">
        <v>51</v>
      </c>
      <c r="J93" s="75" t="s">
        <v>355</v>
      </c>
    </row>
    <row r="94" spans="2:15" hidden="1" outlineLevel="1" x14ac:dyDescent="0.2">
      <c r="D94" s="37" t="s">
        <v>233</v>
      </c>
      <c r="E94" s="42"/>
      <c r="F94" s="42"/>
      <c r="H94" s="70"/>
      <c r="J94" s="70"/>
    </row>
    <row r="95" spans="2:15" hidden="1" outlineLevel="1" x14ac:dyDescent="0.2">
      <c r="E95" s="357">
        <f>IF(E94="",0,E94)</f>
        <v>0</v>
      </c>
      <c r="F95" s="357">
        <f>IF(F94="",100,F94)</f>
        <v>100</v>
      </c>
    </row>
    <row r="96" spans="2:15" hidden="1" outlineLevel="1" x14ac:dyDescent="0.2">
      <c r="E96" s="75" t="s">
        <v>454</v>
      </c>
      <c r="F96" s="75" t="s">
        <v>455</v>
      </c>
    </row>
    <row r="97" spans="2:15" hidden="1" outlineLevel="1" x14ac:dyDescent="0.2">
      <c r="D97" s="217" t="s">
        <v>453</v>
      </c>
      <c r="E97" s="376"/>
      <c r="F97" s="42"/>
      <c r="G97" s="257">
        <f>IF(AND(E97&lt;&gt;"",F97&lt;&gt;""),E97/F97,1)</f>
        <v>1</v>
      </c>
      <c r="I97" s="37" t="s">
        <v>249</v>
      </c>
      <c r="J97" s="611"/>
      <c r="K97" s="668"/>
      <c r="L97" s="668"/>
      <c r="M97" s="668"/>
      <c r="N97" s="668"/>
      <c r="O97" s="668"/>
    </row>
    <row r="98" spans="2:15" hidden="1" outlineLevel="1" x14ac:dyDescent="0.2"/>
    <row r="99" spans="2:15" hidden="1" outlineLevel="1" x14ac:dyDescent="0.2">
      <c r="E99" s="260" t="s">
        <v>246</v>
      </c>
    </row>
    <row r="100" spans="2:15" hidden="1" outlineLevel="1" x14ac:dyDescent="0.2">
      <c r="E100" s="71">
        <f>IF(J94&lt;&gt;"",J94,FirstYear)</f>
        <v>2026</v>
      </c>
      <c r="F100" s="74">
        <f>E100+1</f>
        <v>2027</v>
      </c>
      <c r="G100" s="74">
        <f>F100+1</f>
        <v>2028</v>
      </c>
      <c r="H100" s="74">
        <f>G100+1</f>
        <v>2029</v>
      </c>
      <c r="I100" s="74">
        <f>H100+1</f>
        <v>2030</v>
      </c>
      <c r="J100" s="74">
        <f>I100+1</f>
        <v>2031</v>
      </c>
    </row>
    <row r="101" spans="2:15" hidden="1" outlineLevel="1" x14ac:dyDescent="0.2">
      <c r="E101" s="57">
        <f t="shared" ref="E101:J101" si="30">IF($B$91&lt;&gt;0,VLOOKUP($B$91,$C$104:$J$106,E102)*$G97,0)</f>
        <v>0</v>
      </c>
      <c r="F101" s="57">
        <f t="shared" si="30"/>
        <v>0</v>
      </c>
      <c r="G101" s="57">
        <f t="shared" si="30"/>
        <v>0</v>
      </c>
      <c r="H101" s="57">
        <f t="shared" si="30"/>
        <v>0</v>
      </c>
      <c r="I101" s="57">
        <f t="shared" si="30"/>
        <v>0</v>
      </c>
      <c r="J101" s="57">
        <f t="shared" si="30"/>
        <v>0</v>
      </c>
    </row>
    <row r="102" spans="2:15" hidden="1" outlineLevel="1" x14ac:dyDescent="0.2">
      <c r="E102" s="319">
        <v>3</v>
      </c>
      <c r="F102" s="319">
        <v>4</v>
      </c>
      <c r="G102" s="319">
        <v>5</v>
      </c>
      <c r="H102" s="319">
        <v>6</v>
      </c>
      <c r="I102" s="319">
        <v>7</v>
      </c>
      <c r="J102" s="319">
        <v>8</v>
      </c>
    </row>
    <row r="103" spans="2:15" hidden="1" outlineLevel="1" x14ac:dyDescent="0.2">
      <c r="D103" s="26" t="s">
        <v>314</v>
      </c>
      <c r="E103" s="71">
        <f t="shared" ref="E103:J103" si="31">E100</f>
        <v>2026</v>
      </c>
      <c r="F103" s="71">
        <f t="shared" si="31"/>
        <v>2027</v>
      </c>
      <c r="G103" s="71">
        <f t="shared" si="31"/>
        <v>2028</v>
      </c>
      <c r="H103" s="71">
        <f t="shared" si="31"/>
        <v>2029</v>
      </c>
      <c r="I103" s="71">
        <f t="shared" si="31"/>
        <v>2030</v>
      </c>
      <c r="J103" s="71">
        <f t="shared" si="31"/>
        <v>2031</v>
      </c>
    </row>
    <row r="104" spans="2:15" hidden="1" outlineLevel="1" x14ac:dyDescent="0.2">
      <c r="C104" s="52">
        <v>1</v>
      </c>
      <c r="D104" s="156" t="s">
        <v>231</v>
      </c>
      <c r="E104" s="57">
        <f t="shared" ref="E104:J104" si="32">SUMPRODUCT(($D$203:$D$221=E103)*($E$202:$DA$202&gt;=$E$95)*($E$202:$DA$202&lt;=$F$95)*($E$203:$DA$221))</f>
        <v>27805684</v>
      </c>
      <c r="F104" s="57">
        <f t="shared" si="32"/>
        <v>28201094</v>
      </c>
      <c r="G104" s="57">
        <f t="shared" si="32"/>
        <v>28581272</v>
      </c>
      <c r="H104" s="57">
        <f t="shared" si="32"/>
        <v>28946317</v>
      </c>
      <c r="I104" s="57">
        <f t="shared" si="32"/>
        <v>29294970</v>
      </c>
      <c r="J104" s="57">
        <f t="shared" si="32"/>
        <v>29628141</v>
      </c>
    </row>
    <row r="105" spans="2:15" hidden="1" outlineLevel="1" x14ac:dyDescent="0.2">
      <c r="C105" s="52">
        <v>2</v>
      </c>
      <c r="D105" s="156" t="s">
        <v>234</v>
      </c>
      <c r="E105" s="57">
        <f t="shared" ref="E105:J105" si="33">SUMPRODUCT(($D$228:$D$246=E103)*($E$227:$DA$227&gt;=$E$95)*($E$227:$DA$227&lt;=$F$95)*($E$228:$DA$246))</f>
        <v>13779945</v>
      </c>
      <c r="F105" s="57">
        <f t="shared" si="33"/>
        <v>13971702</v>
      </c>
      <c r="G105" s="57">
        <f t="shared" si="33"/>
        <v>14155936</v>
      </c>
      <c r="H105" s="57">
        <f t="shared" si="33"/>
        <v>14332736</v>
      </c>
      <c r="I105" s="57">
        <f t="shared" si="33"/>
        <v>14501556</v>
      </c>
      <c r="J105" s="57">
        <f t="shared" si="33"/>
        <v>14662883</v>
      </c>
    </row>
    <row r="106" spans="2:15" hidden="1" outlineLevel="1" x14ac:dyDescent="0.2">
      <c r="C106" s="52">
        <v>3</v>
      </c>
      <c r="D106" s="156" t="s">
        <v>235</v>
      </c>
      <c r="E106" s="57">
        <f t="shared" ref="E106:J106" si="34">SUMPRODUCT(($D$253:$D$271=E103)*($E$252:$DA$252&gt;=$E$95)*($E$252:$DA$252&lt;=$F$95)*($E$253:$DA$271))</f>
        <v>14025739</v>
      </c>
      <c r="F106" s="57">
        <f t="shared" si="34"/>
        <v>14229392</v>
      </c>
      <c r="G106" s="57">
        <f t="shared" si="34"/>
        <v>14425336</v>
      </c>
      <c r="H106" s="57">
        <f t="shared" si="34"/>
        <v>14613581</v>
      </c>
      <c r="I106" s="57">
        <f t="shared" si="34"/>
        <v>14793414</v>
      </c>
      <c r="J106" s="57">
        <f t="shared" si="34"/>
        <v>14965258</v>
      </c>
    </row>
    <row r="107" spans="2:15" hidden="1" outlineLevel="1" x14ac:dyDescent="0.2"/>
    <row r="108" spans="2:15" collapsed="1" x14ac:dyDescent="0.2"/>
    <row r="109" spans="2:15" ht="15.75" x14ac:dyDescent="0.2">
      <c r="B109" s="209">
        <f>IF(H112&lt;&gt;"",VLOOKUP(H112,GenderCode,2,FALSE),0)</f>
        <v>0</v>
      </c>
      <c r="C109" s="52">
        <v>6</v>
      </c>
      <c r="D109" s="72" t="str">
        <f>IF(B109=0,MsgNotUsed, CONCATENATE("ABS ", C109, ": ", H112, " ", E113, " - ", F113, " yrs inclusive (", E118, "-", J118, ")") &amp; IF(E115&lt;&gt;"",CONCATENATE(" - (",D115,")"),""))</f>
        <v>** NOT USED **</v>
      </c>
      <c r="E109" s="113"/>
      <c r="F109" s="113"/>
      <c r="G109" s="113"/>
      <c r="H109" s="113"/>
      <c r="I109" s="154"/>
      <c r="J109" s="113"/>
      <c r="K109" s="113"/>
      <c r="L109" s="113"/>
      <c r="M109" s="113"/>
      <c r="N109" s="113"/>
      <c r="O109" s="113"/>
    </row>
    <row r="110" spans="2:15" ht="14.25" hidden="1" outlineLevel="1" x14ac:dyDescent="0.2">
      <c r="D110" s="449"/>
    </row>
    <row r="111" spans="2:15" hidden="1" outlineLevel="1" x14ac:dyDescent="0.2">
      <c r="E111" s="75" t="s">
        <v>236</v>
      </c>
      <c r="F111" s="75" t="s">
        <v>237</v>
      </c>
      <c r="H111" s="75" t="s">
        <v>51</v>
      </c>
      <c r="J111" s="75" t="s">
        <v>355</v>
      </c>
    </row>
    <row r="112" spans="2:15" hidden="1" outlineLevel="1" x14ac:dyDescent="0.2">
      <c r="D112" s="37" t="s">
        <v>233</v>
      </c>
      <c r="E112" s="42"/>
      <c r="F112" s="42"/>
      <c r="H112" s="70"/>
      <c r="J112" s="70"/>
    </row>
    <row r="113" spans="2:15" hidden="1" outlineLevel="1" x14ac:dyDescent="0.2">
      <c r="E113" s="357">
        <f>IF(E112="",0,E112)</f>
        <v>0</v>
      </c>
      <c r="F113" s="357">
        <f>IF(F112="",100,F112)</f>
        <v>100</v>
      </c>
    </row>
    <row r="114" spans="2:15" hidden="1" outlineLevel="1" x14ac:dyDescent="0.2">
      <c r="E114" s="75" t="s">
        <v>454</v>
      </c>
      <c r="F114" s="75" t="s">
        <v>455</v>
      </c>
    </row>
    <row r="115" spans="2:15" hidden="1" outlineLevel="1" x14ac:dyDescent="0.2">
      <c r="D115" s="217" t="s">
        <v>453</v>
      </c>
      <c r="E115" s="376"/>
      <c r="F115" s="42"/>
      <c r="G115" s="257">
        <f>IF(AND(E115&lt;&gt;"",F115&lt;&gt;""),E115/F115,1)</f>
        <v>1</v>
      </c>
      <c r="I115" s="37" t="s">
        <v>249</v>
      </c>
      <c r="J115" s="611"/>
      <c r="K115" s="668"/>
      <c r="L115" s="668"/>
      <c r="M115" s="668"/>
      <c r="N115" s="668"/>
      <c r="O115" s="668"/>
    </row>
    <row r="116" spans="2:15" hidden="1" outlineLevel="1" x14ac:dyDescent="0.2"/>
    <row r="117" spans="2:15" hidden="1" outlineLevel="1" x14ac:dyDescent="0.2">
      <c r="E117" s="260" t="s">
        <v>246</v>
      </c>
    </row>
    <row r="118" spans="2:15" hidden="1" outlineLevel="1" x14ac:dyDescent="0.2">
      <c r="E118" s="71">
        <f>IF(J112&lt;&gt;"",J112,FirstYear)</f>
        <v>2026</v>
      </c>
      <c r="F118" s="74">
        <f>E118+1</f>
        <v>2027</v>
      </c>
      <c r="G118" s="74">
        <f>F118+1</f>
        <v>2028</v>
      </c>
      <c r="H118" s="74">
        <f>G118+1</f>
        <v>2029</v>
      </c>
      <c r="I118" s="74">
        <f>H118+1</f>
        <v>2030</v>
      </c>
      <c r="J118" s="74">
        <f>I118+1</f>
        <v>2031</v>
      </c>
    </row>
    <row r="119" spans="2:15" hidden="1" outlineLevel="1" x14ac:dyDescent="0.2">
      <c r="E119" s="57">
        <f t="shared" ref="E119:J119" si="35">IF($B$109&lt;&gt;0,VLOOKUP($B$109,$C$122:$J$124,E120)*$G115,0)</f>
        <v>0</v>
      </c>
      <c r="F119" s="57">
        <f t="shared" si="35"/>
        <v>0</v>
      </c>
      <c r="G119" s="57">
        <f t="shared" si="35"/>
        <v>0</v>
      </c>
      <c r="H119" s="57">
        <f t="shared" si="35"/>
        <v>0</v>
      </c>
      <c r="I119" s="57">
        <f t="shared" si="35"/>
        <v>0</v>
      </c>
      <c r="J119" s="57">
        <f t="shared" si="35"/>
        <v>0</v>
      </c>
    </row>
    <row r="120" spans="2:15" hidden="1" outlineLevel="1" x14ac:dyDescent="0.2">
      <c r="E120" s="319">
        <v>3</v>
      </c>
      <c r="F120" s="319">
        <v>4</v>
      </c>
      <c r="G120" s="319">
        <v>5</v>
      </c>
      <c r="H120" s="319">
        <v>6</v>
      </c>
      <c r="I120" s="319">
        <v>7</v>
      </c>
      <c r="J120" s="319">
        <v>8</v>
      </c>
    </row>
    <row r="121" spans="2:15" hidden="1" outlineLevel="1" x14ac:dyDescent="0.2">
      <c r="D121" s="26" t="s">
        <v>314</v>
      </c>
      <c r="E121" s="71">
        <f t="shared" ref="E121:J121" si="36">E118</f>
        <v>2026</v>
      </c>
      <c r="F121" s="71">
        <f t="shared" si="36"/>
        <v>2027</v>
      </c>
      <c r="G121" s="71">
        <f t="shared" si="36"/>
        <v>2028</v>
      </c>
      <c r="H121" s="71">
        <f t="shared" si="36"/>
        <v>2029</v>
      </c>
      <c r="I121" s="71">
        <f t="shared" si="36"/>
        <v>2030</v>
      </c>
      <c r="J121" s="71">
        <f t="shared" si="36"/>
        <v>2031</v>
      </c>
    </row>
    <row r="122" spans="2:15" hidden="1" outlineLevel="1" x14ac:dyDescent="0.2">
      <c r="C122" s="52">
        <v>1</v>
      </c>
      <c r="D122" s="156" t="s">
        <v>231</v>
      </c>
      <c r="E122" s="57">
        <f t="shared" ref="E122:J122" si="37">SUMPRODUCT(($D$203:$D$221=E121)*($E$202:$DA$202&gt;=$E$113)*($E$202:$DA$202&lt;=$F$113)*($E$203:$DA$221))</f>
        <v>27805684</v>
      </c>
      <c r="F122" s="57">
        <f t="shared" si="37"/>
        <v>28201094</v>
      </c>
      <c r="G122" s="57">
        <f t="shared" si="37"/>
        <v>28581272</v>
      </c>
      <c r="H122" s="57">
        <f t="shared" si="37"/>
        <v>28946317</v>
      </c>
      <c r="I122" s="57">
        <f t="shared" si="37"/>
        <v>29294970</v>
      </c>
      <c r="J122" s="57">
        <f t="shared" si="37"/>
        <v>29628141</v>
      </c>
    </row>
    <row r="123" spans="2:15" hidden="1" outlineLevel="1" x14ac:dyDescent="0.2">
      <c r="C123" s="52">
        <v>2</v>
      </c>
      <c r="D123" s="156" t="s">
        <v>234</v>
      </c>
      <c r="E123" s="57">
        <f t="shared" ref="E123:J123" si="38">SUMPRODUCT(($D$228:$D$246=E121)*($E$227:$DA$227&gt;=$E$113)*($E$227:$DA$227&lt;=$F$113)*($E$228:$DA$246))</f>
        <v>13779945</v>
      </c>
      <c r="F123" s="57">
        <f t="shared" si="38"/>
        <v>13971702</v>
      </c>
      <c r="G123" s="57">
        <f t="shared" si="38"/>
        <v>14155936</v>
      </c>
      <c r="H123" s="57">
        <f t="shared" si="38"/>
        <v>14332736</v>
      </c>
      <c r="I123" s="57">
        <f t="shared" si="38"/>
        <v>14501556</v>
      </c>
      <c r="J123" s="57">
        <f t="shared" si="38"/>
        <v>14662883</v>
      </c>
    </row>
    <row r="124" spans="2:15" hidden="1" outlineLevel="1" x14ac:dyDescent="0.2">
      <c r="C124" s="52">
        <v>3</v>
      </c>
      <c r="D124" s="156" t="s">
        <v>235</v>
      </c>
      <c r="E124" s="57">
        <f t="shared" ref="E124:J124" si="39">SUMPRODUCT(($D$253:$D$271=E121)*($E$252:$DA$252&gt;=$E$113)*($E$252:$DA$252&lt;=$F$113)*($E$253:$DA$271))</f>
        <v>14025739</v>
      </c>
      <c r="F124" s="57">
        <f t="shared" si="39"/>
        <v>14229392</v>
      </c>
      <c r="G124" s="57">
        <f t="shared" si="39"/>
        <v>14425336</v>
      </c>
      <c r="H124" s="57">
        <f t="shared" si="39"/>
        <v>14613581</v>
      </c>
      <c r="I124" s="57">
        <f t="shared" si="39"/>
        <v>14793414</v>
      </c>
      <c r="J124" s="57">
        <f t="shared" si="39"/>
        <v>14965258</v>
      </c>
    </row>
    <row r="125" spans="2:15" hidden="1" outlineLevel="1" x14ac:dyDescent="0.2"/>
    <row r="126" spans="2:15" collapsed="1" x14ac:dyDescent="0.2"/>
    <row r="127" spans="2:15" ht="15.75" x14ac:dyDescent="0.2">
      <c r="B127" s="209">
        <f>IF(H130&lt;&gt;"",VLOOKUP(H130,GenderCode,2,FALSE),0)</f>
        <v>0</v>
      </c>
      <c r="C127" s="52">
        <v>7</v>
      </c>
      <c r="D127" s="72" t="str">
        <f>IF(B127=0,MsgNotUsed, CONCATENATE("ABS ", C127, ": ", H130, " ", E131, " - ", F131, " yrs inclusive (", E136, "-", J136, ")") &amp; IF(E133&lt;&gt;"",CONCATENATE(" - (",D133,")"),""))</f>
        <v>** NOT USED **</v>
      </c>
      <c r="E127" s="113"/>
      <c r="F127" s="113"/>
      <c r="G127" s="113"/>
      <c r="H127" s="113"/>
      <c r="I127" s="154"/>
      <c r="J127" s="113"/>
      <c r="K127" s="113"/>
      <c r="L127" s="113"/>
      <c r="M127" s="113"/>
      <c r="N127" s="113"/>
      <c r="O127" s="113"/>
    </row>
    <row r="128" spans="2:15" ht="14.25" hidden="1" outlineLevel="1" x14ac:dyDescent="0.2">
      <c r="D128" s="449"/>
    </row>
    <row r="129" spans="3:15" hidden="1" outlineLevel="1" x14ac:dyDescent="0.2">
      <c r="E129" s="75" t="s">
        <v>236</v>
      </c>
      <c r="F129" s="75" t="s">
        <v>237</v>
      </c>
      <c r="H129" s="75" t="s">
        <v>51</v>
      </c>
      <c r="J129" s="75" t="s">
        <v>355</v>
      </c>
    </row>
    <row r="130" spans="3:15" hidden="1" outlineLevel="1" x14ac:dyDescent="0.2">
      <c r="D130" s="37" t="s">
        <v>233</v>
      </c>
      <c r="E130" s="42"/>
      <c r="F130" s="42"/>
      <c r="H130" s="70"/>
      <c r="J130" s="70"/>
    </row>
    <row r="131" spans="3:15" hidden="1" outlineLevel="1" x14ac:dyDescent="0.2">
      <c r="E131" s="357">
        <f>IF(E130="",0,E130)</f>
        <v>0</v>
      </c>
      <c r="F131" s="357">
        <f>IF(F130="",100,F130)</f>
        <v>100</v>
      </c>
    </row>
    <row r="132" spans="3:15" hidden="1" outlineLevel="1" x14ac:dyDescent="0.2">
      <c r="E132" s="75" t="s">
        <v>454</v>
      </c>
      <c r="F132" s="75" t="s">
        <v>455</v>
      </c>
    </row>
    <row r="133" spans="3:15" hidden="1" outlineLevel="1" x14ac:dyDescent="0.2">
      <c r="D133" s="217" t="s">
        <v>453</v>
      </c>
      <c r="E133" s="376"/>
      <c r="F133" s="42"/>
      <c r="G133" s="257">
        <f>IF(AND(E133&lt;&gt;"",F133&lt;&gt;""),E133/F133,1)</f>
        <v>1</v>
      </c>
      <c r="I133" s="37" t="s">
        <v>249</v>
      </c>
      <c r="J133" s="611"/>
      <c r="K133" s="668"/>
      <c r="L133" s="668"/>
      <c r="M133" s="668"/>
      <c r="N133" s="668"/>
      <c r="O133" s="668"/>
    </row>
    <row r="134" spans="3:15" hidden="1" outlineLevel="1" x14ac:dyDescent="0.2"/>
    <row r="135" spans="3:15" hidden="1" outlineLevel="1" x14ac:dyDescent="0.2">
      <c r="E135" s="260" t="s">
        <v>246</v>
      </c>
    </row>
    <row r="136" spans="3:15" hidden="1" outlineLevel="1" x14ac:dyDescent="0.2">
      <c r="E136" s="71">
        <f>IF(J130&lt;&gt;"",J130,FirstYear)</f>
        <v>2026</v>
      </c>
      <c r="F136" s="74">
        <f>E136+1</f>
        <v>2027</v>
      </c>
      <c r="G136" s="74">
        <f>F136+1</f>
        <v>2028</v>
      </c>
      <c r="H136" s="74">
        <f>G136+1</f>
        <v>2029</v>
      </c>
      <c r="I136" s="74">
        <f>H136+1</f>
        <v>2030</v>
      </c>
      <c r="J136" s="74">
        <f>I136+1</f>
        <v>2031</v>
      </c>
    </row>
    <row r="137" spans="3:15" hidden="1" outlineLevel="1" x14ac:dyDescent="0.2">
      <c r="E137" s="57">
        <f t="shared" ref="E137:J137" si="40">IF($B$127&lt;&gt;0,VLOOKUP($B$127,$C$140:$J$142,E138)*$G133,0)</f>
        <v>0</v>
      </c>
      <c r="F137" s="57">
        <f t="shared" si="40"/>
        <v>0</v>
      </c>
      <c r="G137" s="57">
        <f t="shared" si="40"/>
        <v>0</v>
      </c>
      <c r="H137" s="57">
        <f t="shared" si="40"/>
        <v>0</v>
      </c>
      <c r="I137" s="57">
        <f t="shared" si="40"/>
        <v>0</v>
      </c>
      <c r="J137" s="57">
        <f t="shared" si="40"/>
        <v>0</v>
      </c>
    </row>
    <row r="138" spans="3:15" hidden="1" outlineLevel="1" x14ac:dyDescent="0.2">
      <c r="E138" s="319">
        <v>3</v>
      </c>
      <c r="F138" s="319">
        <v>4</v>
      </c>
      <c r="G138" s="319">
        <v>5</v>
      </c>
      <c r="H138" s="319">
        <v>6</v>
      </c>
      <c r="I138" s="319">
        <v>7</v>
      </c>
      <c r="J138" s="319">
        <v>8</v>
      </c>
    </row>
    <row r="139" spans="3:15" hidden="1" outlineLevel="1" x14ac:dyDescent="0.2">
      <c r="D139" s="26" t="s">
        <v>314</v>
      </c>
      <c r="E139" s="71">
        <f t="shared" ref="E139:J139" si="41">E136</f>
        <v>2026</v>
      </c>
      <c r="F139" s="71">
        <f t="shared" si="41"/>
        <v>2027</v>
      </c>
      <c r="G139" s="71">
        <f t="shared" si="41"/>
        <v>2028</v>
      </c>
      <c r="H139" s="71">
        <f t="shared" si="41"/>
        <v>2029</v>
      </c>
      <c r="I139" s="71">
        <f t="shared" si="41"/>
        <v>2030</v>
      </c>
      <c r="J139" s="71">
        <f t="shared" si="41"/>
        <v>2031</v>
      </c>
    </row>
    <row r="140" spans="3:15" hidden="1" outlineLevel="1" x14ac:dyDescent="0.2">
      <c r="C140" s="52">
        <v>1</v>
      </c>
      <c r="D140" s="156" t="s">
        <v>231</v>
      </c>
      <c r="E140" s="57">
        <f t="shared" ref="E140:J140" si="42">SUMPRODUCT(($D$203:$D$221=E139)*($E$202:$DA$202&gt;=$E$131)*($E$202:$DA$202&lt;=$F$131)*($E$203:$DA$221))</f>
        <v>27805684</v>
      </c>
      <c r="F140" s="57">
        <f t="shared" si="42"/>
        <v>28201094</v>
      </c>
      <c r="G140" s="57">
        <f t="shared" si="42"/>
        <v>28581272</v>
      </c>
      <c r="H140" s="57">
        <f t="shared" si="42"/>
        <v>28946317</v>
      </c>
      <c r="I140" s="57">
        <f t="shared" si="42"/>
        <v>29294970</v>
      </c>
      <c r="J140" s="57">
        <f t="shared" si="42"/>
        <v>29628141</v>
      </c>
    </row>
    <row r="141" spans="3:15" hidden="1" outlineLevel="1" x14ac:dyDescent="0.2">
      <c r="C141" s="52">
        <v>2</v>
      </c>
      <c r="D141" s="156" t="s">
        <v>234</v>
      </c>
      <c r="E141" s="57">
        <f t="shared" ref="E141:J141" si="43">SUMPRODUCT(($D$228:$D$246=E139)*($E$227:$DA$227&gt;=$E$131)*($E$227:$DA$227&lt;=$F$131)*($E$228:$DA$246))</f>
        <v>13779945</v>
      </c>
      <c r="F141" s="57">
        <f t="shared" si="43"/>
        <v>13971702</v>
      </c>
      <c r="G141" s="57">
        <f t="shared" si="43"/>
        <v>14155936</v>
      </c>
      <c r="H141" s="57">
        <f t="shared" si="43"/>
        <v>14332736</v>
      </c>
      <c r="I141" s="57">
        <f t="shared" si="43"/>
        <v>14501556</v>
      </c>
      <c r="J141" s="57">
        <f t="shared" si="43"/>
        <v>14662883</v>
      </c>
    </row>
    <row r="142" spans="3:15" hidden="1" outlineLevel="1" x14ac:dyDescent="0.2">
      <c r="C142" s="52">
        <v>3</v>
      </c>
      <c r="D142" s="156" t="s">
        <v>235</v>
      </c>
      <c r="E142" s="57">
        <f t="shared" ref="E142:J142" si="44">SUMPRODUCT(($D$253:$D$271=E139)*($E$252:$DA$252&gt;=$E$131)*($E$252:$DA$252&lt;=$F$131)*($E$253:$DA$271))</f>
        <v>14025739</v>
      </c>
      <c r="F142" s="57">
        <f t="shared" si="44"/>
        <v>14229392</v>
      </c>
      <c r="G142" s="57">
        <f t="shared" si="44"/>
        <v>14425336</v>
      </c>
      <c r="H142" s="57">
        <f t="shared" si="44"/>
        <v>14613581</v>
      </c>
      <c r="I142" s="57">
        <f t="shared" si="44"/>
        <v>14793414</v>
      </c>
      <c r="J142" s="57">
        <f t="shared" si="44"/>
        <v>14965258</v>
      </c>
    </row>
    <row r="143" spans="3:15" hidden="1" outlineLevel="1" x14ac:dyDescent="0.2"/>
    <row r="144" spans="3:15" collapsed="1" x14ac:dyDescent="0.2"/>
    <row r="145" spans="2:15" ht="15.75" x14ac:dyDescent="0.2">
      <c r="B145" s="209">
        <f>IF(H148&lt;&gt;"",VLOOKUP(H148,GenderCode,2,FALSE),0)</f>
        <v>0</v>
      </c>
      <c r="C145" s="52">
        <v>8</v>
      </c>
      <c r="D145" s="72" t="str">
        <f>IF(B145=0,MsgNotUsed, CONCATENATE("ABS ", C145, ": ", H148, " ", E149, " - ", F149, " yrs inclusive (", E154, "-", J154, ")") &amp; IF(E151&lt;&gt;"",CONCATENATE(" - (",D151,")"),""))</f>
        <v>** NOT USED **</v>
      </c>
      <c r="E145" s="113"/>
      <c r="F145" s="113"/>
      <c r="G145" s="113"/>
      <c r="H145" s="113"/>
      <c r="I145" s="154"/>
      <c r="J145" s="113"/>
      <c r="K145" s="113"/>
      <c r="L145" s="113"/>
      <c r="M145" s="113"/>
      <c r="N145" s="113"/>
      <c r="O145" s="113"/>
    </row>
    <row r="146" spans="2:15" ht="14.25" hidden="1" outlineLevel="1" x14ac:dyDescent="0.2">
      <c r="D146" s="449"/>
    </row>
    <row r="147" spans="2:15" hidden="1" outlineLevel="1" x14ac:dyDescent="0.2">
      <c r="E147" s="75" t="s">
        <v>236</v>
      </c>
      <c r="F147" s="75" t="s">
        <v>237</v>
      </c>
      <c r="H147" s="75" t="s">
        <v>51</v>
      </c>
      <c r="J147" s="75" t="s">
        <v>355</v>
      </c>
    </row>
    <row r="148" spans="2:15" hidden="1" outlineLevel="1" x14ac:dyDescent="0.2">
      <c r="D148" s="37" t="s">
        <v>233</v>
      </c>
      <c r="E148" s="42"/>
      <c r="F148" s="42"/>
      <c r="H148" s="70"/>
      <c r="J148" s="70"/>
    </row>
    <row r="149" spans="2:15" hidden="1" outlineLevel="1" x14ac:dyDescent="0.2">
      <c r="E149" s="357">
        <f>IF(E148="",0,E148)</f>
        <v>0</v>
      </c>
      <c r="F149" s="357">
        <f>IF(F148="",100,F148)</f>
        <v>100</v>
      </c>
    </row>
    <row r="150" spans="2:15" hidden="1" outlineLevel="1" x14ac:dyDescent="0.2">
      <c r="E150" s="75" t="s">
        <v>454</v>
      </c>
      <c r="F150" s="75" t="s">
        <v>455</v>
      </c>
    </row>
    <row r="151" spans="2:15" hidden="1" outlineLevel="1" x14ac:dyDescent="0.2">
      <c r="D151" s="217" t="s">
        <v>453</v>
      </c>
      <c r="E151" s="376"/>
      <c r="F151" s="42"/>
      <c r="G151" s="257">
        <f>IF(AND(E151&lt;&gt;"",F151&lt;&gt;""),E151/F151,1)</f>
        <v>1</v>
      </c>
      <c r="I151" s="37" t="s">
        <v>249</v>
      </c>
      <c r="J151" s="611"/>
      <c r="K151" s="668"/>
      <c r="L151" s="668"/>
      <c r="M151" s="668"/>
      <c r="N151" s="668"/>
      <c r="O151" s="668"/>
    </row>
    <row r="152" spans="2:15" hidden="1" outlineLevel="1" x14ac:dyDescent="0.2"/>
    <row r="153" spans="2:15" hidden="1" outlineLevel="1" x14ac:dyDescent="0.2">
      <c r="E153" s="260" t="s">
        <v>246</v>
      </c>
    </row>
    <row r="154" spans="2:15" hidden="1" outlineLevel="1" x14ac:dyDescent="0.2">
      <c r="E154" s="71">
        <f>IF(J148&lt;&gt;"",J148,FirstYear)</f>
        <v>2026</v>
      </c>
      <c r="F154" s="74">
        <f>E154+1</f>
        <v>2027</v>
      </c>
      <c r="G154" s="74">
        <f>F154+1</f>
        <v>2028</v>
      </c>
      <c r="H154" s="74">
        <f>G154+1</f>
        <v>2029</v>
      </c>
      <c r="I154" s="74">
        <f>H154+1</f>
        <v>2030</v>
      </c>
      <c r="J154" s="74">
        <f>I154+1</f>
        <v>2031</v>
      </c>
    </row>
    <row r="155" spans="2:15" hidden="1" outlineLevel="1" x14ac:dyDescent="0.2">
      <c r="E155" s="57">
        <f t="shared" ref="E155:J155" si="45">IF($B$145&lt;&gt;0,VLOOKUP($B$145,$C$158:$J$160,E156)*$G151,0)</f>
        <v>0</v>
      </c>
      <c r="F155" s="57">
        <f t="shared" si="45"/>
        <v>0</v>
      </c>
      <c r="G155" s="57">
        <f t="shared" si="45"/>
        <v>0</v>
      </c>
      <c r="H155" s="57">
        <f t="shared" si="45"/>
        <v>0</v>
      </c>
      <c r="I155" s="57">
        <f t="shared" si="45"/>
        <v>0</v>
      </c>
      <c r="J155" s="57">
        <f t="shared" si="45"/>
        <v>0</v>
      </c>
    </row>
    <row r="156" spans="2:15" hidden="1" outlineLevel="1" x14ac:dyDescent="0.2">
      <c r="E156" s="319">
        <v>3</v>
      </c>
      <c r="F156" s="319">
        <v>4</v>
      </c>
      <c r="G156" s="319">
        <v>5</v>
      </c>
      <c r="H156" s="319">
        <v>6</v>
      </c>
      <c r="I156" s="319">
        <v>7</v>
      </c>
      <c r="J156" s="319">
        <v>8</v>
      </c>
    </row>
    <row r="157" spans="2:15" hidden="1" outlineLevel="1" x14ac:dyDescent="0.2">
      <c r="D157" s="26" t="s">
        <v>314</v>
      </c>
      <c r="E157" s="71">
        <f t="shared" ref="E157:J157" si="46">E154</f>
        <v>2026</v>
      </c>
      <c r="F157" s="71">
        <f t="shared" si="46"/>
        <v>2027</v>
      </c>
      <c r="G157" s="71">
        <f t="shared" si="46"/>
        <v>2028</v>
      </c>
      <c r="H157" s="71">
        <f t="shared" si="46"/>
        <v>2029</v>
      </c>
      <c r="I157" s="71">
        <f t="shared" si="46"/>
        <v>2030</v>
      </c>
      <c r="J157" s="71">
        <f t="shared" si="46"/>
        <v>2031</v>
      </c>
    </row>
    <row r="158" spans="2:15" hidden="1" outlineLevel="1" x14ac:dyDescent="0.2">
      <c r="C158" s="52">
        <v>1</v>
      </c>
      <c r="D158" s="156" t="s">
        <v>231</v>
      </c>
      <c r="E158" s="57">
        <f t="shared" ref="E158:J158" si="47">SUMPRODUCT(($D$203:$D$221=E157)*($E$202:$DA$202&gt;=$E$149)*($E$202:$DA$202&lt;=$F$149)*($E$203:$DA$221))</f>
        <v>27805684</v>
      </c>
      <c r="F158" s="57">
        <f t="shared" si="47"/>
        <v>28201094</v>
      </c>
      <c r="G158" s="57">
        <f t="shared" si="47"/>
        <v>28581272</v>
      </c>
      <c r="H158" s="57">
        <f t="shared" si="47"/>
        <v>28946317</v>
      </c>
      <c r="I158" s="57">
        <f t="shared" si="47"/>
        <v>29294970</v>
      </c>
      <c r="J158" s="57">
        <f t="shared" si="47"/>
        <v>29628141</v>
      </c>
    </row>
    <row r="159" spans="2:15" hidden="1" outlineLevel="1" x14ac:dyDescent="0.2">
      <c r="C159" s="52">
        <v>2</v>
      </c>
      <c r="D159" s="156" t="s">
        <v>234</v>
      </c>
      <c r="E159" s="57">
        <f t="shared" ref="E159:J159" si="48">SUMPRODUCT(($D$228:$D$246=E157)*($E$227:$DA$227&gt;=$E$149)*($E$227:$DA$227&lt;=$F$149)*($E$228:$DA$246))</f>
        <v>13779945</v>
      </c>
      <c r="F159" s="57">
        <f t="shared" si="48"/>
        <v>13971702</v>
      </c>
      <c r="G159" s="57">
        <f t="shared" si="48"/>
        <v>14155936</v>
      </c>
      <c r="H159" s="57">
        <f t="shared" si="48"/>
        <v>14332736</v>
      </c>
      <c r="I159" s="57">
        <f t="shared" si="48"/>
        <v>14501556</v>
      </c>
      <c r="J159" s="57">
        <f t="shared" si="48"/>
        <v>14662883</v>
      </c>
    </row>
    <row r="160" spans="2:15" hidden="1" outlineLevel="1" x14ac:dyDescent="0.2">
      <c r="C160" s="52">
        <v>3</v>
      </c>
      <c r="D160" s="156" t="s">
        <v>235</v>
      </c>
      <c r="E160" s="57">
        <f t="shared" ref="E160:J160" si="49">SUMPRODUCT(($D$253:$D$271=E157)*($E$252:$DA$252&gt;=$E$149)*($E$252:$DA$252&lt;=$F$149)*($E$253:$DA$271))</f>
        <v>14025739</v>
      </c>
      <c r="F160" s="57">
        <f t="shared" si="49"/>
        <v>14229392</v>
      </c>
      <c r="G160" s="57">
        <f t="shared" si="49"/>
        <v>14425336</v>
      </c>
      <c r="H160" s="57">
        <f t="shared" si="49"/>
        <v>14613581</v>
      </c>
      <c r="I160" s="57">
        <f t="shared" si="49"/>
        <v>14793414</v>
      </c>
      <c r="J160" s="57">
        <f t="shared" si="49"/>
        <v>14965258</v>
      </c>
    </row>
    <row r="161" spans="2:15" hidden="1" outlineLevel="1" x14ac:dyDescent="0.2"/>
    <row r="162" spans="2:15" collapsed="1" x14ac:dyDescent="0.2"/>
    <row r="163" spans="2:15" ht="15.75" x14ac:dyDescent="0.2">
      <c r="B163" s="209">
        <f>IF(H166&lt;&gt;"",VLOOKUP(H166,GenderCode,2,FALSE),0)</f>
        <v>0</v>
      </c>
      <c r="C163" s="52">
        <v>9</v>
      </c>
      <c r="D163" s="72" t="str">
        <f>IF(B163=0,MsgNotUsed, CONCATENATE("ABS ", C163, ": ", H166, " ", E167, " - ", F167, " yrs inclusive (", E172, "-", J172, ")") &amp; IF(E169&lt;&gt;"",CONCATENATE(" - (",D169,")"),""))</f>
        <v>** NOT USED **</v>
      </c>
      <c r="E163" s="113"/>
      <c r="F163" s="113"/>
      <c r="G163" s="113"/>
      <c r="H163" s="113"/>
      <c r="I163" s="154"/>
      <c r="J163" s="113"/>
      <c r="K163" s="113"/>
      <c r="L163" s="113"/>
      <c r="M163" s="113"/>
      <c r="N163" s="113"/>
      <c r="O163" s="113"/>
    </row>
    <row r="164" spans="2:15" ht="14.25" hidden="1" outlineLevel="1" x14ac:dyDescent="0.2">
      <c r="D164" s="449"/>
    </row>
    <row r="165" spans="2:15" hidden="1" outlineLevel="1" x14ac:dyDescent="0.2">
      <c r="E165" s="75" t="s">
        <v>236</v>
      </c>
      <c r="F165" s="75" t="s">
        <v>237</v>
      </c>
      <c r="H165" s="75" t="s">
        <v>51</v>
      </c>
      <c r="J165" s="75" t="s">
        <v>355</v>
      </c>
    </row>
    <row r="166" spans="2:15" hidden="1" outlineLevel="1" x14ac:dyDescent="0.2">
      <c r="D166" s="37" t="s">
        <v>233</v>
      </c>
      <c r="E166" s="42"/>
      <c r="F166" s="42"/>
      <c r="H166" s="70"/>
      <c r="J166" s="70"/>
    </row>
    <row r="167" spans="2:15" hidden="1" outlineLevel="1" x14ac:dyDescent="0.2">
      <c r="E167" s="357">
        <f>IF(E166="",0,E166)</f>
        <v>0</v>
      </c>
      <c r="F167" s="357">
        <f>IF(F166="",100,F166)</f>
        <v>100</v>
      </c>
    </row>
    <row r="168" spans="2:15" hidden="1" outlineLevel="1" x14ac:dyDescent="0.2">
      <c r="E168" s="75" t="s">
        <v>454</v>
      </c>
      <c r="F168" s="75" t="s">
        <v>455</v>
      </c>
    </row>
    <row r="169" spans="2:15" hidden="1" outlineLevel="1" x14ac:dyDescent="0.2">
      <c r="D169" s="217" t="s">
        <v>453</v>
      </c>
      <c r="E169" s="376"/>
      <c r="F169" s="42"/>
      <c r="G169" s="257">
        <f>IF(AND(E169&lt;&gt;"",F169&lt;&gt;""),E169/F169,1)</f>
        <v>1</v>
      </c>
      <c r="I169" s="37" t="s">
        <v>249</v>
      </c>
      <c r="J169" s="611"/>
      <c r="K169" s="668"/>
      <c r="L169" s="668"/>
      <c r="M169" s="668"/>
      <c r="N169" s="668"/>
      <c r="O169" s="668"/>
    </row>
    <row r="170" spans="2:15" hidden="1" outlineLevel="1" x14ac:dyDescent="0.2"/>
    <row r="171" spans="2:15" hidden="1" outlineLevel="1" x14ac:dyDescent="0.2">
      <c r="E171" s="260" t="s">
        <v>246</v>
      </c>
    </row>
    <row r="172" spans="2:15" hidden="1" outlineLevel="1" x14ac:dyDescent="0.2">
      <c r="E172" s="71">
        <f>IF(J163&lt;&gt;"",J163,FirstYear)</f>
        <v>2026</v>
      </c>
      <c r="F172" s="74">
        <f>E172+1</f>
        <v>2027</v>
      </c>
      <c r="G172" s="74">
        <f>F172+1</f>
        <v>2028</v>
      </c>
      <c r="H172" s="74">
        <f>G172+1</f>
        <v>2029</v>
      </c>
      <c r="I172" s="74">
        <f>H172+1</f>
        <v>2030</v>
      </c>
      <c r="J172" s="74">
        <f>I172+1</f>
        <v>2031</v>
      </c>
    </row>
    <row r="173" spans="2:15" hidden="1" outlineLevel="1" x14ac:dyDescent="0.2">
      <c r="E173" s="57">
        <f t="shared" ref="E173:J173" si="50">IF($B$163&lt;&gt;0,VLOOKUP($B$163,$C$176:$J$178,E174)*$G169,0)</f>
        <v>0</v>
      </c>
      <c r="F173" s="57">
        <f t="shared" si="50"/>
        <v>0</v>
      </c>
      <c r="G173" s="57">
        <f t="shared" si="50"/>
        <v>0</v>
      </c>
      <c r="H173" s="57">
        <f t="shared" si="50"/>
        <v>0</v>
      </c>
      <c r="I173" s="57">
        <f t="shared" si="50"/>
        <v>0</v>
      </c>
      <c r="J173" s="57">
        <f t="shared" si="50"/>
        <v>0</v>
      </c>
    </row>
    <row r="174" spans="2:15" hidden="1" outlineLevel="1" x14ac:dyDescent="0.2">
      <c r="E174" s="319">
        <v>3</v>
      </c>
      <c r="F174" s="319">
        <v>4</v>
      </c>
      <c r="G174" s="319">
        <v>5</v>
      </c>
      <c r="H174" s="319">
        <v>6</v>
      </c>
      <c r="I174" s="319">
        <v>7</v>
      </c>
      <c r="J174" s="319">
        <v>8</v>
      </c>
    </row>
    <row r="175" spans="2:15" hidden="1" outlineLevel="1" x14ac:dyDescent="0.2">
      <c r="D175" s="26" t="s">
        <v>314</v>
      </c>
      <c r="E175" s="71">
        <f t="shared" ref="E175:J175" si="51">E172</f>
        <v>2026</v>
      </c>
      <c r="F175" s="71">
        <f t="shared" si="51"/>
        <v>2027</v>
      </c>
      <c r="G175" s="71">
        <f t="shared" si="51"/>
        <v>2028</v>
      </c>
      <c r="H175" s="71">
        <f t="shared" si="51"/>
        <v>2029</v>
      </c>
      <c r="I175" s="71">
        <f t="shared" si="51"/>
        <v>2030</v>
      </c>
      <c r="J175" s="71">
        <f t="shared" si="51"/>
        <v>2031</v>
      </c>
    </row>
    <row r="176" spans="2:15" hidden="1" outlineLevel="1" x14ac:dyDescent="0.2">
      <c r="C176" s="52">
        <v>1</v>
      </c>
      <c r="D176" s="156" t="s">
        <v>231</v>
      </c>
      <c r="E176" s="57">
        <f t="shared" ref="E176:J176" si="52">SUMPRODUCT(($D$203:$D$221=E175)*($E$202:$DA$202&gt;=$E$167)*($E$202:$DA$202&lt;=$F$167)*($E$203:$DA$221))</f>
        <v>27805684</v>
      </c>
      <c r="F176" s="57">
        <f t="shared" si="52"/>
        <v>28201094</v>
      </c>
      <c r="G176" s="57">
        <f t="shared" si="52"/>
        <v>28581272</v>
      </c>
      <c r="H176" s="57">
        <f t="shared" si="52"/>
        <v>28946317</v>
      </c>
      <c r="I176" s="57">
        <f t="shared" si="52"/>
        <v>29294970</v>
      </c>
      <c r="J176" s="57">
        <f t="shared" si="52"/>
        <v>29628141</v>
      </c>
    </row>
    <row r="177" spans="2:15" hidden="1" outlineLevel="1" x14ac:dyDescent="0.2">
      <c r="C177" s="52">
        <v>2</v>
      </c>
      <c r="D177" s="156" t="s">
        <v>234</v>
      </c>
      <c r="E177" s="57">
        <f t="shared" ref="E177:J177" si="53">SUMPRODUCT(($D$228:$D$246=E175)*($E$227:$DA$227&gt;=$E$167)*($E$227:$DA$227&lt;=$F$167)*($E$228:$DA$246))</f>
        <v>13779945</v>
      </c>
      <c r="F177" s="57">
        <f t="shared" si="53"/>
        <v>13971702</v>
      </c>
      <c r="G177" s="57">
        <f t="shared" si="53"/>
        <v>14155936</v>
      </c>
      <c r="H177" s="57">
        <f t="shared" si="53"/>
        <v>14332736</v>
      </c>
      <c r="I177" s="57">
        <f t="shared" si="53"/>
        <v>14501556</v>
      </c>
      <c r="J177" s="57">
        <f t="shared" si="53"/>
        <v>14662883</v>
      </c>
    </row>
    <row r="178" spans="2:15" hidden="1" outlineLevel="1" x14ac:dyDescent="0.2">
      <c r="C178" s="52">
        <v>3</v>
      </c>
      <c r="D178" s="156" t="s">
        <v>235</v>
      </c>
      <c r="E178" s="57">
        <f t="shared" ref="E178:J178" si="54">SUMPRODUCT(($D$253:$D$271=E175)*($E$252:$DA$252&gt;=$E$167)*($E$252:$DA$252&lt;=$F$167)*($E$253:$DA$271))</f>
        <v>14025739</v>
      </c>
      <c r="F178" s="57">
        <f t="shared" si="54"/>
        <v>14229392</v>
      </c>
      <c r="G178" s="57">
        <f t="shared" si="54"/>
        <v>14425336</v>
      </c>
      <c r="H178" s="57">
        <f t="shared" si="54"/>
        <v>14613581</v>
      </c>
      <c r="I178" s="57">
        <f t="shared" si="54"/>
        <v>14793414</v>
      </c>
      <c r="J178" s="57">
        <f t="shared" si="54"/>
        <v>14965258</v>
      </c>
    </row>
    <row r="179" spans="2:15" hidden="1" outlineLevel="1" x14ac:dyDescent="0.2"/>
    <row r="180" spans="2:15" collapsed="1" x14ac:dyDescent="0.2"/>
    <row r="181" spans="2:15" ht="15.75" x14ac:dyDescent="0.2">
      <c r="B181" s="209">
        <f>IF(H184&lt;&gt;"",VLOOKUP(H184,GenderCode,2,FALSE),0)</f>
        <v>0</v>
      </c>
      <c r="C181" s="52">
        <v>10</v>
      </c>
      <c r="D181" s="72" t="str">
        <f>IF(B181=0,MsgNotUsed, CONCATENATE("ABS ", C181, ": ", H184, " ", E185, " - ", F185, " yrs inclusive (", E190, "-", J190, ")") &amp; IF(E187&lt;&gt;"",CONCATENATE(" - (",D187,")"),""))</f>
        <v>** NOT USED **</v>
      </c>
      <c r="E181" s="113"/>
      <c r="F181" s="113"/>
      <c r="G181" s="113"/>
      <c r="H181" s="113"/>
      <c r="I181" s="154"/>
      <c r="J181" s="113"/>
      <c r="K181" s="113"/>
      <c r="L181" s="113"/>
      <c r="M181" s="113"/>
      <c r="N181" s="113"/>
      <c r="O181" s="113"/>
    </row>
    <row r="182" spans="2:15" ht="14.25" hidden="1" outlineLevel="1" x14ac:dyDescent="0.2">
      <c r="D182" s="449"/>
    </row>
    <row r="183" spans="2:15" hidden="1" outlineLevel="1" x14ac:dyDescent="0.2">
      <c r="E183" s="75" t="s">
        <v>236</v>
      </c>
      <c r="F183" s="75" t="s">
        <v>237</v>
      </c>
      <c r="H183" s="75" t="s">
        <v>51</v>
      </c>
      <c r="J183" s="75" t="s">
        <v>355</v>
      </c>
    </row>
    <row r="184" spans="2:15" hidden="1" outlineLevel="1" x14ac:dyDescent="0.2">
      <c r="D184" s="37" t="s">
        <v>233</v>
      </c>
      <c r="E184" s="42"/>
      <c r="F184" s="42"/>
      <c r="H184" s="70"/>
      <c r="J184" s="70"/>
    </row>
    <row r="185" spans="2:15" hidden="1" outlineLevel="1" x14ac:dyDescent="0.2">
      <c r="E185" s="357">
        <f>IF(E184="",0,E184)</f>
        <v>0</v>
      </c>
      <c r="F185" s="357">
        <f>IF(F184="",100,F184)</f>
        <v>100</v>
      </c>
    </row>
    <row r="186" spans="2:15" hidden="1" outlineLevel="1" x14ac:dyDescent="0.2">
      <c r="E186" s="75" t="s">
        <v>454</v>
      </c>
      <c r="F186" s="75" t="s">
        <v>455</v>
      </c>
    </row>
    <row r="187" spans="2:15" hidden="1" outlineLevel="1" x14ac:dyDescent="0.2">
      <c r="D187" s="217" t="s">
        <v>453</v>
      </c>
      <c r="E187" s="376"/>
      <c r="F187" s="42"/>
      <c r="G187" s="257">
        <f>IF(AND(E187&lt;&gt;"",F187&lt;&gt;""),E187/F187,1)</f>
        <v>1</v>
      </c>
      <c r="I187" s="37" t="s">
        <v>249</v>
      </c>
      <c r="J187" s="611"/>
      <c r="K187" s="668"/>
      <c r="L187" s="668"/>
      <c r="M187" s="668"/>
      <c r="N187" s="668"/>
      <c r="O187" s="668"/>
    </row>
    <row r="188" spans="2:15" hidden="1" outlineLevel="1" x14ac:dyDescent="0.2"/>
    <row r="189" spans="2:15" hidden="1" outlineLevel="1" x14ac:dyDescent="0.2">
      <c r="E189" s="260" t="s">
        <v>246</v>
      </c>
    </row>
    <row r="190" spans="2:15" hidden="1" outlineLevel="1" x14ac:dyDescent="0.2">
      <c r="E190" s="71">
        <f>IF(J181&lt;&gt;"",J181,FirstYear)</f>
        <v>2026</v>
      </c>
      <c r="F190" s="74">
        <f>E190+1</f>
        <v>2027</v>
      </c>
      <c r="G190" s="74">
        <f>F190+1</f>
        <v>2028</v>
      </c>
      <c r="H190" s="74">
        <f>G190+1</f>
        <v>2029</v>
      </c>
      <c r="I190" s="74">
        <f>H190+1</f>
        <v>2030</v>
      </c>
      <c r="J190" s="74">
        <f>I190+1</f>
        <v>2031</v>
      </c>
    </row>
    <row r="191" spans="2:15" hidden="1" outlineLevel="1" x14ac:dyDescent="0.2">
      <c r="E191" s="57">
        <f t="shared" ref="E191:J191" si="55">IF($B$181&lt;&gt;0,VLOOKUP($B$181,$C$194:$J$196,E192)*$G187,0)</f>
        <v>0</v>
      </c>
      <c r="F191" s="57">
        <f t="shared" si="55"/>
        <v>0</v>
      </c>
      <c r="G191" s="57">
        <f t="shared" si="55"/>
        <v>0</v>
      </c>
      <c r="H191" s="57">
        <f t="shared" si="55"/>
        <v>0</v>
      </c>
      <c r="I191" s="57">
        <f t="shared" si="55"/>
        <v>0</v>
      </c>
      <c r="J191" s="57">
        <f t="shared" si="55"/>
        <v>0</v>
      </c>
    </row>
    <row r="192" spans="2:15" hidden="1" outlineLevel="1" x14ac:dyDescent="0.2">
      <c r="E192" s="319">
        <v>3</v>
      </c>
      <c r="F192" s="319">
        <v>4</v>
      </c>
      <c r="G192" s="319">
        <v>5</v>
      </c>
      <c r="H192" s="319">
        <v>6</v>
      </c>
      <c r="I192" s="319">
        <v>7</v>
      </c>
      <c r="J192" s="319">
        <v>8</v>
      </c>
    </row>
    <row r="193" spans="1:108" hidden="1" outlineLevel="1" x14ac:dyDescent="0.2">
      <c r="D193" s="26" t="s">
        <v>314</v>
      </c>
      <c r="E193" s="71">
        <f t="shared" ref="E193:J193" si="56">E190</f>
        <v>2026</v>
      </c>
      <c r="F193" s="71">
        <f t="shared" si="56"/>
        <v>2027</v>
      </c>
      <c r="G193" s="71">
        <f t="shared" si="56"/>
        <v>2028</v>
      </c>
      <c r="H193" s="71">
        <f t="shared" si="56"/>
        <v>2029</v>
      </c>
      <c r="I193" s="71">
        <f t="shared" si="56"/>
        <v>2030</v>
      </c>
      <c r="J193" s="71">
        <f t="shared" si="56"/>
        <v>2031</v>
      </c>
    </row>
    <row r="194" spans="1:108" hidden="1" outlineLevel="1" x14ac:dyDescent="0.2">
      <c r="C194" s="52">
        <v>1</v>
      </c>
      <c r="D194" s="156" t="s">
        <v>231</v>
      </c>
      <c r="E194" s="57">
        <f t="shared" ref="E194:J194" si="57">SUMPRODUCT(($D$203:$D$221=E193)*($E$202:$DA$202&gt;=$E$185)*($E$202:$DA$202&lt;=$F$185)*($E$203:$DA$221))</f>
        <v>27805684</v>
      </c>
      <c r="F194" s="57">
        <f t="shared" si="57"/>
        <v>28201094</v>
      </c>
      <c r="G194" s="57">
        <f t="shared" si="57"/>
        <v>28581272</v>
      </c>
      <c r="H194" s="57">
        <f t="shared" si="57"/>
        <v>28946317</v>
      </c>
      <c r="I194" s="57">
        <f t="shared" si="57"/>
        <v>29294970</v>
      </c>
      <c r="J194" s="57">
        <f t="shared" si="57"/>
        <v>29628141</v>
      </c>
    </row>
    <row r="195" spans="1:108" hidden="1" outlineLevel="1" x14ac:dyDescent="0.2">
      <c r="C195" s="52">
        <v>2</v>
      </c>
      <c r="D195" s="156" t="s">
        <v>234</v>
      </c>
      <c r="E195" s="57">
        <f t="shared" ref="E195:J195" si="58">SUMPRODUCT(($D$228:$D$246=E193)*($E$227:$DA$227&gt;=$E$185)*($E$227:$DA$227&lt;=$F$185)*($E$228:$DA$246))</f>
        <v>13779945</v>
      </c>
      <c r="F195" s="57">
        <f t="shared" si="58"/>
        <v>13971702</v>
      </c>
      <c r="G195" s="57">
        <f t="shared" si="58"/>
        <v>14155936</v>
      </c>
      <c r="H195" s="57">
        <f t="shared" si="58"/>
        <v>14332736</v>
      </c>
      <c r="I195" s="57">
        <f t="shared" si="58"/>
        <v>14501556</v>
      </c>
      <c r="J195" s="57">
        <f t="shared" si="58"/>
        <v>14662883</v>
      </c>
    </row>
    <row r="196" spans="1:108" hidden="1" outlineLevel="1" x14ac:dyDescent="0.2">
      <c r="C196" s="52">
        <v>3</v>
      </c>
      <c r="D196" s="156" t="s">
        <v>235</v>
      </c>
      <c r="E196" s="57">
        <f t="shared" ref="E196:J196" si="59">SUMPRODUCT(($D$253:$D$271=E193)*($E$252:$DA$252&gt;=$E$185)*($E$252:$DA$252&lt;=$F$185)*($E$253:$DA$271))</f>
        <v>14025739</v>
      </c>
      <c r="F196" s="57">
        <f t="shared" si="59"/>
        <v>14229392</v>
      </c>
      <c r="G196" s="57">
        <f t="shared" si="59"/>
        <v>14425336</v>
      </c>
      <c r="H196" s="57">
        <f t="shared" si="59"/>
        <v>14613581</v>
      </c>
      <c r="I196" s="57">
        <f t="shared" si="59"/>
        <v>14793414</v>
      </c>
      <c r="J196" s="57">
        <f t="shared" si="59"/>
        <v>14965258</v>
      </c>
    </row>
    <row r="197" spans="1:108" hidden="1" outlineLevel="1" x14ac:dyDescent="0.2"/>
    <row r="198" spans="1:108" collapsed="1" x14ac:dyDescent="0.2"/>
    <row r="199" spans="1:108" ht="15.75" x14ac:dyDescent="0.2">
      <c r="D199" s="111" t="s">
        <v>867</v>
      </c>
      <c r="E199" s="113"/>
      <c r="F199" s="113"/>
      <c r="G199" s="113"/>
      <c r="H199" s="113"/>
      <c r="I199" s="113"/>
      <c r="J199" s="113"/>
      <c r="K199" s="113"/>
      <c r="L199" s="113"/>
      <c r="M199" s="113"/>
      <c r="N199" s="113"/>
      <c r="O199" s="113"/>
      <c r="P199" s="113"/>
      <c r="Q199" s="113"/>
      <c r="R199" s="113"/>
      <c r="S199" s="113"/>
      <c r="T199" s="113"/>
      <c r="U199" s="113"/>
      <c r="V199" s="113"/>
      <c r="W199" s="113"/>
      <c r="X199" s="113"/>
      <c r="Y199" s="113"/>
      <c r="Z199" s="113"/>
      <c r="AA199" s="113"/>
      <c r="AB199" s="113"/>
      <c r="AC199" s="113"/>
      <c r="AD199" s="113"/>
      <c r="AE199" s="113"/>
      <c r="AF199" s="113"/>
      <c r="AG199" s="113"/>
      <c r="AH199" s="113"/>
      <c r="AI199" s="113"/>
      <c r="AJ199" s="113"/>
      <c r="AK199" s="113"/>
      <c r="AL199" s="113"/>
      <c r="AM199" s="113"/>
      <c r="AN199" s="113"/>
      <c r="AO199" s="113"/>
      <c r="AP199" s="113"/>
      <c r="AQ199" s="113"/>
      <c r="AR199" s="113"/>
      <c r="AS199" s="113"/>
      <c r="AT199" s="113"/>
      <c r="AU199" s="113"/>
      <c r="AV199" s="113"/>
      <c r="AW199" s="113"/>
      <c r="AX199" s="113"/>
      <c r="AY199" s="113"/>
      <c r="AZ199" s="113"/>
      <c r="BA199" s="113"/>
      <c r="BB199" s="113"/>
      <c r="BC199" s="113"/>
      <c r="BD199" s="113"/>
      <c r="BE199" s="113"/>
      <c r="BF199" s="113"/>
      <c r="BG199" s="113"/>
      <c r="BH199" s="113"/>
      <c r="BI199" s="113"/>
      <c r="BJ199" s="113"/>
      <c r="BK199" s="113"/>
      <c r="BL199" s="113"/>
      <c r="BM199" s="113"/>
      <c r="BN199" s="113"/>
      <c r="BO199" s="113"/>
      <c r="BP199" s="113"/>
      <c r="BQ199" s="113"/>
      <c r="BR199" s="113"/>
      <c r="BS199" s="113"/>
      <c r="BT199" s="113"/>
      <c r="BU199" s="113"/>
      <c r="BV199" s="113"/>
      <c r="BW199" s="113"/>
      <c r="BX199" s="113"/>
      <c r="BY199" s="113"/>
      <c r="BZ199" s="113"/>
      <c r="CA199" s="113"/>
      <c r="CB199" s="113"/>
      <c r="CC199" s="113"/>
      <c r="CD199" s="113"/>
      <c r="CE199" s="113"/>
      <c r="CF199" s="113"/>
      <c r="CG199" s="113"/>
      <c r="CH199" s="113"/>
      <c r="CI199" s="113"/>
      <c r="CJ199" s="113"/>
      <c r="CK199" s="113"/>
      <c r="CL199" s="113"/>
      <c r="CM199" s="113"/>
      <c r="CN199" s="113"/>
      <c r="CO199" s="113"/>
      <c r="CP199" s="113"/>
      <c r="CQ199" s="113"/>
      <c r="CR199" s="113"/>
      <c r="CS199" s="113"/>
      <c r="CT199" s="113"/>
      <c r="CU199" s="113"/>
      <c r="CV199" s="113"/>
      <c r="CW199" s="113"/>
      <c r="CX199" s="113"/>
      <c r="CY199" s="113"/>
      <c r="CZ199" s="113"/>
      <c r="DA199" s="113"/>
      <c r="DB199" s="113"/>
      <c r="DC199" s="113"/>
      <c r="DD199" s="113"/>
    </row>
    <row r="200" spans="1:108" x14ac:dyDescent="0.2"/>
    <row r="201" spans="1:108" x14ac:dyDescent="0.2">
      <c r="E201" s="157" t="s">
        <v>232</v>
      </c>
    </row>
    <row r="202" spans="1:108" x14ac:dyDescent="0.2">
      <c r="A202" s="158"/>
      <c r="B202" s="158"/>
      <c r="C202" s="158"/>
      <c r="D202" s="158"/>
      <c r="E202" s="32">
        <v>0</v>
      </c>
      <c r="F202" s="32">
        <v>1</v>
      </c>
      <c r="G202" s="32">
        <v>2</v>
      </c>
      <c r="H202" s="32">
        <v>3</v>
      </c>
      <c r="I202" s="32">
        <v>4</v>
      </c>
      <c r="J202" s="32">
        <v>5</v>
      </c>
      <c r="K202" s="32">
        <v>6</v>
      </c>
      <c r="L202" s="32">
        <v>7</v>
      </c>
      <c r="M202" s="32">
        <v>8</v>
      </c>
      <c r="N202" s="32">
        <v>9</v>
      </c>
      <c r="O202" s="32">
        <v>10</v>
      </c>
      <c r="P202" s="32">
        <v>11</v>
      </c>
      <c r="Q202" s="32">
        <v>12</v>
      </c>
      <c r="R202" s="32">
        <v>13</v>
      </c>
      <c r="S202" s="32">
        <v>14</v>
      </c>
      <c r="T202" s="32">
        <v>15</v>
      </c>
      <c r="U202" s="32">
        <v>16</v>
      </c>
      <c r="V202" s="32">
        <v>17</v>
      </c>
      <c r="W202" s="32">
        <v>18</v>
      </c>
      <c r="X202" s="32">
        <v>19</v>
      </c>
      <c r="Y202" s="32">
        <v>20</v>
      </c>
      <c r="Z202" s="32">
        <v>21</v>
      </c>
      <c r="AA202" s="32">
        <v>22</v>
      </c>
      <c r="AB202" s="32">
        <v>23</v>
      </c>
      <c r="AC202" s="32">
        <v>24</v>
      </c>
      <c r="AD202" s="32">
        <v>25</v>
      </c>
      <c r="AE202" s="32">
        <v>26</v>
      </c>
      <c r="AF202" s="32">
        <v>27</v>
      </c>
      <c r="AG202" s="32">
        <v>28</v>
      </c>
      <c r="AH202" s="32">
        <v>29</v>
      </c>
      <c r="AI202" s="32">
        <v>30</v>
      </c>
      <c r="AJ202" s="32">
        <v>31</v>
      </c>
      <c r="AK202" s="32">
        <v>32</v>
      </c>
      <c r="AL202" s="32">
        <v>33</v>
      </c>
      <c r="AM202" s="32">
        <v>34</v>
      </c>
      <c r="AN202" s="32">
        <v>35</v>
      </c>
      <c r="AO202" s="32">
        <v>36</v>
      </c>
      <c r="AP202" s="32">
        <v>37</v>
      </c>
      <c r="AQ202" s="32">
        <v>38</v>
      </c>
      <c r="AR202" s="32">
        <v>39</v>
      </c>
      <c r="AS202" s="32">
        <v>40</v>
      </c>
      <c r="AT202" s="32">
        <v>41</v>
      </c>
      <c r="AU202" s="32">
        <v>42</v>
      </c>
      <c r="AV202" s="32">
        <v>43</v>
      </c>
      <c r="AW202" s="32">
        <v>44</v>
      </c>
      <c r="AX202" s="32">
        <v>45</v>
      </c>
      <c r="AY202" s="32">
        <v>46</v>
      </c>
      <c r="AZ202" s="32">
        <v>47</v>
      </c>
      <c r="BA202" s="32">
        <v>48</v>
      </c>
      <c r="BB202" s="32">
        <v>49</v>
      </c>
      <c r="BC202" s="32">
        <v>50</v>
      </c>
      <c r="BD202" s="32">
        <v>51</v>
      </c>
      <c r="BE202" s="32">
        <v>52</v>
      </c>
      <c r="BF202" s="32">
        <v>53</v>
      </c>
      <c r="BG202" s="32">
        <v>54</v>
      </c>
      <c r="BH202" s="32">
        <v>55</v>
      </c>
      <c r="BI202" s="32">
        <v>56</v>
      </c>
      <c r="BJ202" s="32">
        <v>57</v>
      </c>
      <c r="BK202" s="32">
        <v>58</v>
      </c>
      <c r="BL202" s="32">
        <v>59</v>
      </c>
      <c r="BM202" s="32">
        <v>60</v>
      </c>
      <c r="BN202" s="32">
        <v>61</v>
      </c>
      <c r="BO202" s="32">
        <v>62</v>
      </c>
      <c r="BP202" s="32">
        <v>63</v>
      </c>
      <c r="BQ202" s="32">
        <v>64</v>
      </c>
      <c r="BR202" s="32">
        <v>65</v>
      </c>
      <c r="BS202" s="32">
        <v>66</v>
      </c>
      <c r="BT202" s="32">
        <v>67</v>
      </c>
      <c r="BU202" s="32">
        <v>68</v>
      </c>
      <c r="BV202" s="32">
        <v>69</v>
      </c>
      <c r="BW202" s="32">
        <v>70</v>
      </c>
      <c r="BX202" s="32">
        <v>71</v>
      </c>
      <c r="BY202" s="32">
        <v>72</v>
      </c>
      <c r="BZ202" s="32">
        <v>73</v>
      </c>
      <c r="CA202" s="32">
        <v>74</v>
      </c>
      <c r="CB202" s="32">
        <v>75</v>
      </c>
      <c r="CC202" s="32">
        <v>76</v>
      </c>
      <c r="CD202" s="32">
        <v>77</v>
      </c>
      <c r="CE202" s="32">
        <v>78</v>
      </c>
      <c r="CF202" s="32">
        <v>79</v>
      </c>
      <c r="CG202" s="32">
        <v>80</v>
      </c>
      <c r="CH202" s="32">
        <v>81</v>
      </c>
      <c r="CI202" s="32">
        <v>82</v>
      </c>
      <c r="CJ202" s="32">
        <v>83</v>
      </c>
      <c r="CK202" s="32">
        <v>84</v>
      </c>
      <c r="CL202" s="32">
        <v>85</v>
      </c>
      <c r="CM202" s="32">
        <v>86</v>
      </c>
      <c r="CN202" s="32">
        <v>87</v>
      </c>
      <c r="CO202" s="32">
        <v>88</v>
      </c>
      <c r="CP202" s="32">
        <v>89</v>
      </c>
      <c r="CQ202" s="32">
        <v>90</v>
      </c>
      <c r="CR202" s="32">
        <v>91</v>
      </c>
      <c r="CS202" s="32">
        <v>92</v>
      </c>
      <c r="CT202" s="32">
        <v>93</v>
      </c>
      <c r="CU202" s="32">
        <v>94</v>
      </c>
      <c r="CV202" s="32">
        <v>95</v>
      </c>
      <c r="CW202" s="32">
        <v>96</v>
      </c>
      <c r="CX202" s="32">
        <v>97</v>
      </c>
      <c r="CY202" s="32">
        <v>98</v>
      </c>
      <c r="CZ202" s="32">
        <v>99</v>
      </c>
      <c r="DA202" s="32">
        <v>100</v>
      </c>
      <c r="DB202" s="46" t="s">
        <v>73</v>
      </c>
      <c r="DC202" s="46" t="s">
        <v>290</v>
      </c>
      <c r="DD202" s="46" t="s">
        <v>291</v>
      </c>
    </row>
    <row r="203" spans="1:108" x14ac:dyDescent="0.2">
      <c r="A203" s="159"/>
      <c r="B203" s="159"/>
      <c r="C203" s="159"/>
      <c r="D203" s="160">
        <v>2022</v>
      </c>
      <c r="E203" s="161">
        <f>SUM(E228,E253)</f>
        <v>307814</v>
      </c>
      <c r="F203" s="161">
        <f t="shared" ref="F203:BQ204" si="60">SUM(F228,F253)</f>
        <v>299341</v>
      </c>
      <c r="G203" s="161">
        <f t="shared" si="60"/>
        <v>296522</v>
      </c>
      <c r="H203" s="161">
        <f t="shared" si="60"/>
        <v>303309</v>
      </c>
      <c r="I203" s="161">
        <f t="shared" si="60"/>
        <v>306063</v>
      </c>
      <c r="J203" s="161">
        <f t="shared" si="60"/>
        <v>313540</v>
      </c>
      <c r="K203" s="161">
        <f t="shared" si="60"/>
        <v>323305</v>
      </c>
      <c r="L203" s="161">
        <f t="shared" si="60"/>
        <v>321324</v>
      </c>
      <c r="M203" s="161">
        <f t="shared" si="60"/>
        <v>325227</v>
      </c>
      <c r="N203" s="161">
        <f t="shared" si="60"/>
        <v>328717</v>
      </c>
      <c r="O203" s="161">
        <f t="shared" si="60"/>
        <v>328511</v>
      </c>
      <c r="P203" s="161">
        <f t="shared" si="60"/>
        <v>326466</v>
      </c>
      <c r="Q203" s="161">
        <f t="shared" si="60"/>
        <v>330178</v>
      </c>
      <c r="R203" s="161">
        <f t="shared" si="60"/>
        <v>326879</v>
      </c>
      <c r="S203" s="161">
        <f t="shared" si="60"/>
        <v>326731</v>
      </c>
      <c r="T203" s="161">
        <f t="shared" si="60"/>
        <v>323018</v>
      </c>
      <c r="U203" s="161">
        <f t="shared" si="60"/>
        <v>310323</v>
      </c>
      <c r="V203" s="161">
        <f t="shared" si="60"/>
        <v>299592</v>
      </c>
      <c r="W203" s="161">
        <f t="shared" si="60"/>
        <v>298230</v>
      </c>
      <c r="X203" s="161">
        <f t="shared" si="60"/>
        <v>302720</v>
      </c>
      <c r="Y203" s="161">
        <f t="shared" si="60"/>
        <v>309306</v>
      </c>
      <c r="Z203" s="161">
        <f t="shared" si="60"/>
        <v>322732</v>
      </c>
      <c r="AA203" s="161">
        <f t="shared" si="60"/>
        <v>331348</v>
      </c>
      <c r="AB203" s="161">
        <f t="shared" si="60"/>
        <v>333785</v>
      </c>
      <c r="AC203" s="161">
        <f t="shared" si="60"/>
        <v>340457</v>
      </c>
      <c r="AD203" s="161">
        <f t="shared" si="60"/>
        <v>349956</v>
      </c>
      <c r="AE203" s="161">
        <f t="shared" si="60"/>
        <v>359350</v>
      </c>
      <c r="AF203" s="161">
        <f t="shared" si="60"/>
        <v>370434</v>
      </c>
      <c r="AG203" s="161">
        <f t="shared" si="60"/>
        <v>372007</v>
      </c>
      <c r="AH203" s="161">
        <f t="shared" si="60"/>
        <v>375020</v>
      </c>
      <c r="AI203" s="161">
        <f t="shared" si="60"/>
        <v>378316</v>
      </c>
      <c r="AJ203" s="161">
        <f t="shared" si="60"/>
        <v>386514</v>
      </c>
      <c r="AK203" s="161">
        <f t="shared" si="60"/>
        <v>387543</v>
      </c>
      <c r="AL203" s="161">
        <f t="shared" si="60"/>
        <v>382704</v>
      </c>
      <c r="AM203" s="161">
        <f t="shared" si="60"/>
        <v>380294</v>
      </c>
      <c r="AN203" s="161">
        <f t="shared" si="60"/>
        <v>379868</v>
      </c>
      <c r="AO203" s="161">
        <f t="shared" si="60"/>
        <v>381968</v>
      </c>
      <c r="AP203" s="161">
        <f t="shared" si="60"/>
        <v>380231</v>
      </c>
      <c r="AQ203" s="161">
        <f t="shared" si="60"/>
        <v>376753</v>
      </c>
      <c r="AR203" s="161">
        <f t="shared" si="60"/>
        <v>375599</v>
      </c>
      <c r="AS203" s="161">
        <f t="shared" si="60"/>
        <v>363581</v>
      </c>
      <c r="AT203" s="161">
        <f t="shared" si="60"/>
        <v>354034</v>
      </c>
      <c r="AU203" s="161">
        <f t="shared" si="60"/>
        <v>336948</v>
      </c>
      <c r="AV203" s="161">
        <f t="shared" si="60"/>
        <v>329533</v>
      </c>
      <c r="AW203" s="161">
        <f t="shared" si="60"/>
        <v>320705</v>
      </c>
      <c r="AX203" s="161">
        <f t="shared" si="60"/>
        <v>318610</v>
      </c>
      <c r="AY203" s="161">
        <f t="shared" si="60"/>
        <v>319231</v>
      </c>
      <c r="AZ203" s="161">
        <f t="shared" si="60"/>
        <v>322278</v>
      </c>
      <c r="BA203" s="161">
        <f t="shared" si="60"/>
        <v>327447</v>
      </c>
      <c r="BB203" s="161">
        <f t="shared" si="60"/>
        <v>334827</v>
      </c>
      <c r="BC203" s="161">
        <f t="shared" si="60"/>
        <v>346726</v>
      </c>
      <c r="BD203" s="161">
        <f t="shared" si="60"/>
        <v>349727</v>
      </c>
      <c r="BE203" s="161">
        <f t="shared" si="60"/>
        <v>326616</v>
      </c>
      <c r="BF203" s="161">
        <f t="shared" si="60"/>
        <v>321864</v>
      </c>
      <c r="BG203" s="161">
        <f t="shared" si="60"/>
        <v>308702</v>
      </c>
      <c r="BH203" s="161">
        <f t="shared" si="60"/>
        <v>302066</v>
      </c>
      <c r="BI203" s="161">
        <f t="shared" si="60"/>
        <v>300809</v>
      </c>
      <c r="BJ203" s="161">
        <f t="shared" si="60"/>
        <v>304257</v>
      </c>
      <c r="BK203" s="161">
        <f t="shared" si="60"/>
        <v>312216</v>
      </c>
      <c r="BL203" s="161">
        <f t="shared" si="60"/>
        <v>315347</v>
      </c>
      <c r="BM203" s="161">
        <f t="shared" si="60"/>
        <v>312279</v>
      </c>
      <c r="BN203" s="161">
        <f t="shared" si="60"/>
        <v>308863</v>
      </c>
      <c r="BO203" s="161">
        <f t="shared" si="60"/>
        <v>297143</v>
      </c>
      <c r="BP203" s="161">
        <f t="shared" si="60"/>
        <v>290844</v>
      </c>
      <c r="BQ203" s="161">
        <f t="shared" si="60"/>
        <v>283202</v>
      </c>
      <c r="BR203" s="161">
        <f t="shared" ref="BR203:DA207" si="61">SUM(BR228,BR253)</f>
        <v>275219</v>
      </c>
      <c r="BS203" s="161">
        <f t="shared" si="61"/>
        <v>268875</v>
      </c>
      <c r="BT203" s="161">
        <f t="shared" si="61"/>
        <v>259835</v>
      </c>
      <c r="BU203" s="161">
        <f t="shared" si="61"/>
        <v>251381</v>
      </c>
      <c r="BV203" s="161">
        <f t="shared" si="61"/>
        <v>247555</v>
      </c>
      <c r="BW203" s="161">
        <f t="shared" si="61"/>
        <v>239297</v>
      </c>
      <c r="BX203" s="161">
        <f t="shared" si="61"/>
        <v>235367</v>
      </c>
      <c r="BY203" s="161">
        <f t="shared" si="61"/>
        <v>229626</v>
      </c>
      <c r="BZ203" s="161">
        <f t="shared" si="61"/>
        <v>221041</v>
      </c>
      <c r="CA203" s="161">
        <f t="shared" si="61"/>
        <v>219559</v>
      </c>
      <c r="CB203" s="161">
        <f t="shared" si="61"/>
        <v>221966</v>
      </c>
      <c r="CC203" s="161">
        <f t="shared" si="61"/>
        <v>182311</v>
      </c>
      <c r="CD203" s="161">
        <f t="shared" si="61"/>
        <v>170884</v>
      </c>
      <c r="CE203" s="161">
        <f t="shared" si="61"/>
        <v>158154</v>
      </c>
      <c r="CF203" s="161">
        <f t="shared" si="61"/>
        <v>139510</v>
      </c>
      <c r="CG203" s="161">
        <f t="shared" si="61"/>
        <v>133601</v>
      </c>
      <c r="CH203" s="161">
        <f t="shared" si="61"/>
        <v>120603</v>
      </c>
      <c r="CI203" s="161">
        <f t="shared" si="61"/>
        <v>112971</v>
      </c>
      <c r="CJ203" s="161">
        <f t="shared" si="61"/>
        <v>103959</v>
      </c>
      <c r="CK203" s="161">
        <f t="shared" si="61"/>
        <v>94321</v>
      </c>
      <c r="CL203" s="161">
        <f t="shared" si="61"/>
        <v>85517</v>
      </c>
      <c r="CM203" s="161">
        <f t="shared" si="61"/>
        <v>75465</v>
      </c>
      <c r="CN203" s="161">
        <f t="shared" si="61"/>
        <v>65684</v>
      </c>
      <c r="CO203" s="161">
        <f t="shared" si="61"/>
        <v>57062</v>
      </c>
      <c r="CP203" s="161">
        <f t="shared" si="61"/>
        <v>50412</v>
      </c>
      <c r="CQ203" s="161">
        <f t="shared" si="61"/>
        <v>43668</v>
      </c>
      <c r="CR203" s="161">
        <f t="shared" si="61"/>
        <v>38567</v>
      </c>
      <c r="CS203" s="161">
        <f t="shared" si="61"/>
        <v>32778</v>
      </c>
      <c r="CT203" s="161">
        <f t="shared" si="61"/>
        <v>25995</v>
      </c>
      <c r="CU203" s="161">
        <f t="shared" si="61"/>
        <v>20577</v>
      </c>
      <c r="CV203" s="161">
        <f t="shared" si="61"/>
        <v>15581</v>
      </c>
      <c r="CW203" s="161">
        <f t="shared" si="61"/>
        <v>12095</v>
      </c>
      <c r="CX203" s="161">
        <f t="shared" si="61"/>
        <v>8674</v>
      </c>
      <c r="CY203" s="161">
        <f t="shared" si="61"/>
        <v>5735</v>
      </c>
      <c r="CZ203" s="161">
        <f t="shared" si="61"/>
        <v>3808</v>
      </c>
      <c r="DA203" s="161">
        <f t="shared" si="61"/>
        <v>5558</v>
      </c>
      <c r="DB203" s="162">
        <f>SUM(E203:DA203)</f>
        <v>26013061</v>
      </c>
      <c r="DC203" s="163">
        <f>DB203/1000000</f>
        <v>26.013061</v>
      </c>
      <c r="DD203" s="164"/>
    </row>
    <row r="204" spans="1:108" x14ac:dyDescent="0.2">
      <c r="A204" s="159"/>
      <c r="B204" s="159"/>
      <c r="C204" s="159"/>
      <c r="D204" s="160">
        <v>2023</v>
      </c>
      <c r="E204" s="161">
        <f t="shared" ref="E204:T221" si="62">SUM(E229,E254)</f>
        <v>301794</v>
      </c>
      <c r="F204" s="161">
        <f t="shared" si="62"/>
        <v>309647</v>
      </c>
      <c r="G204" s="161">
        <f t="shared" si="62"/>
        <v>303724</v>
      </c>
      <c r="H204" s="161">
        <f t="shared" si="62"/>
        <v>301818</v>
      </c>
      <c r="I204" s="161">
        <f t="shared" si="62"/>
        <v>309334</v>
      </c>
      <c r="J204" s="161">
        <f t="shared" si="62"/>
        <v>312426</v>
      </c>
      <c r="K204" s="161">
        <f t="shared" si="62"/>
        <v>319334</v>
      </c>
      <c r="L204" s="161">
        <f t="shared" si="62"/>
        <v>328410</v>
      </c>
      <c r="M204" s="161">
        <f t="shared" si="62"/>
        <v>326178</v>
      </c>
      <c r="N204" s="161">
        <f t="shared" si="62"/>
        <v>329927</v>
      </c>
      <c r="O204" s="161">
        <f t="shared" si="62"/>
        <v>333300</v>
      </c>
      <c r="P204" s="161">
        <f t="shared" si="62"/>
        <v>333014</v>
      </c>
      <c r="Q204" s="161">
        <f t="shared" si="62"/>
        <v>330717</v>
      </c>
      <c r="R204" s="161">
        <f t="shared" si="62"/>
        <v>334262</v>
      </c>
      <c r="S204" s="161">
        <f t="shared" si="62"/>
        <v>331213</v>
      </c>
      <c r="T204" s="161">
        <f t="shared" si="62"/>
        <v>331634</v>
      </c>
      <c r="U204" s="161">
        <f t="shared" si="60"/>
        <v>328440</v>
      </c>
      <c r="V204" s="161">
        <f t="shared" si="60"/>
        <v>318274</v>
      </c>
      <c r="W204" s="161">
        <f t="shared" si="60"/>
        <v>316813</v>
      </c>
      <c r="X204" s="161">
        <f t="shared" si="60"/>
        <v>321944</v>
      </c>
      <c r="Y204" s="161">
        <f t="shared" si="60"/>
        <v>320350</v>
      </c>
      <c r="Z204" s="161">
        <f t="shared" si="60"/>
        <v>320727</v>
      </c>
      <c r="AA204" s="161">
        <f t="shared" si="60"/>
        <v>338097</v>
      </c>
      <c r="AB204" s="161">
        <f t="shared" si="60"/>
        <v>351071</v>
      </c>
      <c r="AC204" s="161">
        <f t="shared" si="60"/>
        <v>348360</v>
      </c>
      <c r="AD204" s="161">
        <f t="shared" si="60"/>
        <v>348281</v>
      </c>
      <c r="AE204" s="161">
        <f t="shared" si="60"/>
        <v>356613</v>
      </c>
      <c r="AF204" s="161">
        <f t="shared" si="60"/>
        <v>366858</v>
      </c>
      <c r="AG204" s="161">
        <f t="shared" si="60"/>
        <v>378502</v>
      </c>
      <c r="AH204" s="161">
        <f t="shared" si="60"/>
        <v>380388</v>
      </c>
      <c r="AI204" s="161">
        <f t="shared" si="60"/>
        <v>383000</v>
      </c>
      <c r="AJ204" s="161">
        <f t="shared" si="60"/>
        <v>385368</v>
      </c>
      <c r="AK204" s="161">
        <f t="shared" si="60"/>
        <v>392951</v>
      </c>
      <c r="AL204" s="161">
        <f t="shared" si="60"/>
        <v>394138</v>
      </c>
      <c r="AM204" s="161">
        <f t="shared" si="60"/>
        <v>389245</v>
      </c>
      <c r="AN204" s="161">
        <f t="shared" si="60"/>
        <v>386282</v>
      </c>
      <c r="AO204" s="161">
        <f t="shared" si="60"/>
        <v>385505</v>
      </c>
      <c r="AP204" s="161">
        <f t="shared" si="60"/>
        <v>387278</v>
      </c>
      <c r="AQ204" s="161">
        <f t="shared" si="60"/>
        <v>385011</v>
      </c>
      <c r="AR204" s="161">
        <f t="shared" si="60"/>
        <v>381131</v>
      </c>
      <c r="AS204" s="161">
        <f t="shared" si="60"/>
        <v>379719</v>
      </c>
      <c r="AT204" s="161">
        <f t="shared" si="60"/>
        <v>367240</v>
      </c>
      <c r="AU204" s="161">
        <f t="shared" si="60"/>
        <v>357126</v>
      </c>
      <c r="AV204" s="161">
        <f t="shared" si="60"/>
        <v>339552</v>
      </c>
      <c r="AW204" s="161">
        <f t="shared" si="60"/>
        <v>331801</v>
      </c>
      <c r="AX204" s="161">
        <f t="shared" si="60"/>
        <v>322785</v>
      </c>
      <c r="AY204" s="161">
        <f t="shared" si="60"/>
        <v>320463</v>
      </c>
      <c r="AZ204" s="161">
        <f t="shared" si="60"/>
        <v>320789</v>
      </c>
      <c r="BA204" s="161">
        <f t="shared" si="60"/>
        <v>323574</v>
      </c>
      <c r="BB204" s="161">
        <f t="shared" si="60"/>
        <v>328525</v>
      </c>
      <c r="BC204" s="161">
        <f t="shared" si="60"/>
        <v>335734</v>
      </c>
      <c r="BD204" s="161">
        <f t="shared" si="60"/>
        <v>347526</v>
      </c>
      <c r="BE204" s="161">
        <f t="shared" si="60"/>
        <v>350422</v>
      </c>
      <c r="BF204" s="161">
        <f t="shared" si="60"/>
        <v>327310</v>
      </c>
      <c r="BG204" s="161">
        <f t="shared" si="60"/>
        <v>322726</v>
      </c>
      <c r="BH204" s="161">
        <f t="shared" si="60"/>
        <v>309898</v>
      </c>
      <c r="BI204" s="161">
        <f t="shared" si="60"/>
        <v>303479</v>
      </c>
      <c r="BJ204" s="161">
        <f t="shared" si="60"/>
        <v>302099</v>
      </c>
      <c r="BK204" s="161">
        <f t="shared" si="60"/>
        <v>305409</v>
      </c>
      <c r="BL204" s="161">
        <f t="shared" si="60"/>
        <v>313545</v>
      </c>
      <c r="BM204" s="161">
        <f t="shared" si="60"/>
        <v>316880</v>
      </c>
      <c r="BN204" s="161">
        <f t="shared" si="60"/>
        <v>313945</v>
      </c>
      <c r="BO204" s="161">
        <f t="shared" si="60"/>
        <v>310624</v>
      </c>
      <c r="BP204" s="161">
        <f t="shared" si="60"/>
        <v>298965</v>
      </c>
      <c r="BQ204" s="161">
        <f t="shared" si="60"/>
        <v>292516</v>
      </c>
      <c r="BR204" s="161">
        <f t="shared" si="61"/>
        <v>284478</v>
      </c>
      <c r="BS204" s="161">
        <f t="shared" si="61"/>
        <v>276011</v>
      </c>
      <c r="BT204" s="161">
        <f t="shared" si="61"/>
        <v>269223</v>
      </c>
      <c r="BU204" s="161">
        <f t="shared" si="61"/>
        <v>259785</v>
      </c>
      <c r="BV204" s="161">
        <f t="shared" si="61"/>
        <v>251043</v>
      </c>
      <c r="BW204" s="161">
        <f t="shared" si="61"/>
        <v>246881</v>
      </c>
      <c r="BX204" s="161">
        <f t="shared" si="61"/>
        <v>238165</v>
      </c>
      <c r="BY204" s="161">
        <f t="shared" si="61"/>
        <v>233809</v>
      </c>
      <c r="BZ204" s="161">
        <f t="shared" si="61"/>
        <v>227626</v>
      </c>
      <c r="CA204" s="161">
        <f t="shared" si="61"/>
        <v>218474</v>
      </c>
      <c r="CB204" s="161">
        <f t="shared" si="61"/>
        <v>216455</v>
      </c>
      <c r="CC204" s="161">
        <f t="shared" si="61"/>
        <v>218285</v>
      </c>
      <c r="CD204" s="161">
        <f t="shared" si="61"/>
        <v>178849</v>
      </c>
      <c r="CE204" s="161">
        <f t="shared" si="61"/>
        <v>167087</v>
      </c>
      <c r="CF204" s="161">
        <f t="shared" si="61"/>
        <v>154040</v>
      </c>
      <c r="CG204" s="161">
        <f t="shared" si="61"/>
        <v>135311</v>
      </c>
      <c r="CH204" s="161">
        <f t="shared" si="61"/>
        <v>128920</v>
      </c>
      <c r="CI204" s="161">
        <f t="shared" si="61"/>
        <v>115734</v>
      </c>
      <c r="CJ204" s="161">
        <f t="shared" si="61"/>
        <v>107677</v>
      </c>
      <c r="CK204" s="161">
        <f t="shared" si="61"/>
        <v>98382</v>
      </c>
      <c r="CL204" s="161">
        <f t="shared" si="61"/>
        <v>88559</v>
      </c>
      <c r="CM204" s="161">
        <f t="shared" si="61"/>
        <v>79549</v>
      </c>
      <c r="CN204" s="161">
        <f t="shared" si="61"/>
        <v>69387</v>
      </c>
      <c r="CO204" s="161">
        <f t="shared" si="61"/>
        <v>59583</v>
      </c>
      <c r="CP204" s="161">
        <f t="shared" si="61"/>
        <v>51051</v>
      </c>
      <c r="CQ204" s="161">
        <f t="shared" si="61"/>
        <v>44326</v>
      </c>
      <c r="CR204" s="161">
        <f t="shared" si="61"/>
        <v>37620</v>
      </c>
      <c r="CS204" s="161">
        <f t="shared" si="61"/>
        <v>32677</v>
      </c>
      <c r="CT204" s="161">
        <f t="shared" si="61"/>
        <v>27206</v>
      </c>
      <c r="CU204" s="161">
        <f t="shared" si="61"/>
        <v>21010</v>
      </c>
      <c r="CV204" s="161">
        <f t="shared" si="61"/>
        <v>16189</v>
      </c>
      <c r="CW204" s="161">
        <f t="shared" si="61"/>
        <v>11957</v>
      </c>
      <c r="CX204" s="161">
        <f t="shared" si="61"/>
        <v>9093</v>
      </c>
      <c r="CY204" s="161">
        <f t="shared" si="61"/>
        <v>6311</v>
      </c>
      <c r="CZ204" s="161">
        <f t="shared" si="61"/>
        <v>4001</v>
      </c>
      <c r="DA204" s="161">
        <f t="shared" si="61"/>
        <v>6602</v>
      </c>
      <c r="DB204" s="162">
        <f t="shared" ref="DB204:DB219" si="63">SUM(E204:DA204)</f>
        <v>26535367</v>
      </c>
      <c r="DC204" s="163">
        <f t="shared" ref="DC204:DC219" si="64">DB204/1000000</f>
        <v>26.535367000000001</v>
      </c>
      <c r="DD204" s="165">
        <f>(DC204-DC203)/DC203</f>
        <v>2.007860589724525E-2</v>
      </c>
    </row>
    <row r="205" spans="1:108" x14ac:dyDescent="0.2">
      <c r="A205" s="159"/>
      <c r="B205" s="159"/>
      <c r="C205" s="159"/>
      <c r="D205" s="160">
        <v>2024</v>
      </c>
      <c r="E205" s="161">
        <f t="shared" si="62"/>
        <v>304794</v>
      </c>
      <c r="F205" s="161">
        <f t="shared" ref="F205:BQ208" si="65">SUM(F230,F255)</f>
        <v>303212</v>
      </c>
      <c r="G205" s="161">
        <f t="shared" si="65"/>
        <v>313089</v>
      </c>
      <c r="H205" s="161">
        <f t="shared" si="65"/>
        <v>307885</v>
      </c>
      <c r="I205" s="161">
        <f t="shared" si="65"/>
        <v>306560</v>
      </c>
      <c r="J205" s="161">
        <f t="shared" si="65"/>
        <v>314342</v>
      </c>
      <c r="K205" s="161">
        <f t="shared" si="65"/>
        <v>316983</v>
      </c>
      <c r="L205" s="161">
        <f t="shared" si="65"/>
        <v>323350</v>
      </c>
      <c r="M205" s="161">
        <f t="shared" si="65"/>
        <v>332227</v>
      </c>
      <c r="N205" s="161">
        <f t="shared" si="65"/>
        <v>329874</v>
      </c>
      <c r="O205" s="161">
        <f t="shared" si="65"/>
        <v>333531</v>
      </c>
      <c r="P205" s="161">
        <f t="shared" si="65"/>
        <v>336840</v>
      </c>
      <c r="Q205" s="161">
        <f t="shared" si="65"/>
        <v>336354</v>
      </c>
      <c r="R205" s="161">
        <f t="shared" si="65"/>
        <v>333927</v>
      </c>
      <c r="S205" s="161">
        <f t="shared" si="65"/>
        <v>337665</v>
      </c>
      <c r="T205" s="161">
        <f t="shared" si="65"/>
        <v>335067</v>
      </c>
      <c r="U205" s="161">
        <f t="shared" si="65"/>
        <v>335890</v>
      </c>
      <c r="V205" s="161">
        <f t="shared" si="65"/>
        <v>334681</v>
      </c>
      <c r="W205" s="161">
        <f t="shared" si="65"/>
        <v>331812</v>
      </c>
      <c r="X205" s="161">
        <f t="shared" si="65"/>
        <v>335463</v>
      </c>
      <c r="Y205" s="161">
        <f t="shared" si="65"/>
        <v>335797</v>
      </c>
      <c r="Z205" s="161">
        <f t="shared" si="65"/>
        <v>329312</v>
      </c>
      <c r="AA205" s="161">
        <f t="shared" si="65"/>
        <v>332802</v>
      </c>
      <c r="AB205" s="161">
        <f t="shared" si="65"/>
        <v>353600</v>
      </c>
      <c r="AC205" s="161">
        <f t="shared" si="65"/>
        <v>362513</v>
      </c>
      <c r="AD205" s="161">
        <f t="shared" si="65"/>
        <v>354486</v>
      </c>
      <c r="AE205" s="161">
        <f t="shared" si="65"/>
        <v>353492</v>
      </c>
      <c r="AF205" s="161">
        <f t="shared" si="65"/>
        <v>362494</v>
      </c>
      <c r="AG205" s="161">
        <f t="shared" si="65"/>
        <v>373175</v>
      </c>
      <c r="AH205" s="161">
        <f t="shared" si="65"/>
        <v>385062</v>
      </c>
      <c r="AI205" s="161">
        <f t="shared" si="65"/>
        <v>386633</v>
      </c>
      <c r="AJ205" s="161">
        <f t="shared" si="65"/>
        <v>388509</v>
      </c>
      <c r="AK205" s="161">
        <f t="shared" si="65"/>
        <v>390396</v>
      </c>
      <c r="AL205" s="161">
        <f t="shared" si="65"/>
        <v>398094</v>
      </c>
      <c r="AM205" s="161">
        <f t="shared" si="65"/>
        <v>399234</v>
      </c>
      <c r="AN205" s="161">
        <f t="shared" si="65"/>
        <v>393910</v>
      </c>
      <c r="AO205" s="161">
        <f t="shared" si="65"/>
        <v>390663</v>
      </c>
      <c r="AP205" s="161">
        <f t="shared" si="65"/>
        <v>389628</v>
      </c>
      <c r="AQ205" s="161">
        <f t="shared" si="65"/>
        <v>390975</v>
      </c>
      <c r="AR205" s="161">
        <f t="shared" si="65"/>
        <v>388386</v>
      </c>
      <c r="AS205" s="161">
        <f t="shared" si="65"/>
        <v>384306</v>
      </c>
      <c r="AT205" s="161">
        <f t="shared" si="65"/>
        <v>382516</v>
      </c>
      <c r="AU205" s="161">
        <f t="shared" si="65"/>
        <v>369588</v>
      </c>
      <c r="AV205" s="161">
        <f t="shared" si="65"/>
        <v>359072</v>
      </c>
      <c r="AW205" s="161">
        <f t="shared" si="65"/>
        <v>341237</v>
      </c>
      <c r="AX205" s="161">
        <f t="shared" si="65"/>
        <v>333329</v>
      </c>
      <c r="AY205" s="161">
        <f t="shared" si="65"/>
        <v>324145</v>
      </c>
      <c r="AZ205" s="161">
        <f t="shared" si="65"/>
        <v>321585</v>
      </c>
      <c r="BA205" s="161">
        <f t="shared" si="65"/>
        <v>321692</v>
      </c>
      <c r="BB205" s="161">
        <f t="shared" si="65"/>
        <v>324299</v>
      </c>
      <c r="BC205" s="161">
        <f t="shared" si="65"/>
        <v>329108</v>
      </c>
      <c r="BD205" s="161">
        <f t="shared" si="65"/>
        <v>336234</v>
      </c>
      <c r="BE205" s="161">
        <f t="shared" si="65"/>
        <v>347908</v>
      </c>
      <c r="BF205" s="161">
        <f t="shared" si="65"/>
        <v>350728</v>
      </c>
      <c r="BG205" s="161">
        <f t="shared" si="65"/>
        <v>327786</v>
      </c>
      <c r="BH205" s="161">
        <f t="shared" si="65"/>
        <v>323437</v>
      </c>
      <c r="BI205" s="161">
        <f t="shared" si="65"/>
        <v>310779</v>
      </c>
      <c r="BJ205" s="161">
        <f t="shared" si="65"/>
        <v>304257</v>
      </c>
      <c r="BK205" s="161">
        <f t="shared" si="65"/>
        <v>302766</v>
      </c>
      <c r="BL205" s="161">
        <f t="shared" si="65"/>
        <v>306211</v>
      </c>
      <c r="BM205" s="161">
        <f t="shared" si="65"/>
        <v>314461</v>
      </c>
      <c r="BN205" s="161">
        <f t="shared" si="65"/>
        <v>317852</v>
      </c>
      <c r="BO205" s="161">
        <f t="shared" si="65"/>
        <v>314961</v>
      </c>
      <c r="BP205" s="161">
        <f t="shared" si="65"/>
        <v>311621</v>
      </c>
      <c r="BQ205" s="161">
        <f t="shared" si="65"/>
        <v>299847</v>
      </c>
      <c r="BR205" s="161">
        <f t="shared" si="61"/>
        <v>293046</v>
      </c>
      <c r="BS205" s="161">
        <f t="shared" si="61"/>
        <v>284616</v>
      </c>
      <c r="BT205" s="161">
        <f t="shared" si="61"/>
        <v>275785</v>
      </c>
      <c r="BU205" s="161">
        <f t="shared" si="61"/>
        <v>268607</v>
      </c>
      <c r="BV205" s="161">
        <f t="shared" si="61"/>
        <v>258923</v>
      </c>
      <c r="BW205" s="161">
        <f t="shared" si="61"/>
        <v>249929</v>
      </c>
      <c r="BX205" s="161">
        <f t="shared" si="61"/>
        <v>245321</v>
      </c>
      <c r="BY205" s="161">
        <f t="shared" si="61"/>
        <v>236286</v>
      </c>
      <c r="BZ205" s="161">
        <f t="shared" si="61"/>
        <v>231509</v>
      </c>
      <c r="CA205" s="161">
        <f t="shared" si="61"/>
        <v>224772</v>
      </c>
      <c r="CB205" s="161">
        <f t="shared" si="61"/>
        <v>215263</v>
      </c>
      <c r="CC205" s="161">
        <f t="shared" si="61"/>
        <v>212787</v>
      </c>
      <c r="CD205" s="161">
        <f t="shared" si="61"/>
        <v>213935</v>
      </c>
      <c r="CE205" s="161">
        <f t="shared" si="61"/>
        <v>174776</v>
      </c>
      <c r="CF205" s="161">
        <f t="shared" si="61"/>
        <v>162672</v>
      </c>
      <c r="CG205" s="161">
        <f t="shared" si="61"/>
        <v>149331</v>
      </c>
      <c r="CH205" s="161">
        <f t="shared" si="61"/>
        <v>130566</v>
      </c>
      <c r="CI205" s="161">
        <f t="shared" si="61"/>
        <v>123703</v>
      </c>
      <c r="CJ205" s="161">
        <f t="shared" si="61"/>
        <v>110335</v>
      </c>
      <c r="CK205" s="161">
        <f t="shared" si="61"/>
        <v>101926</v>
      </c>
      <c r="CL205" s="161">
        <f t="shared" si="61"/>
        <v>92416</v>
      </c>
      <c r="CM205" s="161">
        <f t="shared" si="61"/>
        <v>82428</v>
      </c>
      <c r="CN205" s="161">
        <f t="shared" si="61"/>
        <v>73192</v>
      </c>
      <c r="CO205" s="161">
        <f t="shared" si="61"/>
        <v>62992</v>
      </c>
      <c r="CP205" s="161">
        <f t="shared" si="61"/>
        <v>53371</v>
      </c>
      <c r="CQ205" s="161">
        <f t="shared" si="61"/>
        <v>44947</v>
      </c>
      <c r="CR205" s="161">
        <f t="shared" si="61"/>
        <v>38254</v>
      </c>
      <c r="CS205" s="161">
        <f t="shared" si="61"/>
        <v>31932</v>
      </c>
      <c r="CT205" s="161">
        <f t="shared" si="61"/>
        <v>27173</v>
      </c>
      <c r="CU205" s="161">
        <f t="shared" si="61"/>
        <v>22022</v>
      </c>
      <c r="CV205" s="161">
        <f t="shared" si="61"/>
        <v>16540</v>
      </c>
      <c r="CW205" s="161">
        <f t="shared" si="61"/>
        <v>12434</v>
      </c>
      <c r="CX205" s="161">
        <f t="shared" si="61"/>
        <v>8995</v>
      </c>
      <c r="CY205" s="161">
        <f t="shared" si="61"/>
        <v>6625</v>
      </c>
      <c r="CZ205" s="161">
        <f t="shared" si="61"/>
        <v>4421</v>
      </c>
      <c r="DA205" s="161">
        <f t="shared" si="61"/>
        <v>7504</v>
      </c>
      <c r="DB205" s="162">
        <f t="shared" si="63"/>
        <v>26971766</v>
      </c>
      <c r="DC205" s="163">
        <f t="shared" si="64"/>
        <v>26.971765999999999</v>
      </c>
      <c r="DD205" s="165">
        <f t="shared" ref="DD205:DD219" si="66">(DC205-DC204)/DC204</f>
        <v>1.6445937981562415E-2</v>
      </c>
    </row>
    <row r="206" spans="1:108" x14ac:dyDescent="0.2">
      <c r="A206" s="159"/>
      <c r="B206" s="159"/>
      <c r="C206" s="159"/>
      <c r="D206" s="160">
        <v>2025</v>
      </c>
      <c r="E206" s="161">
        <f t="shared" si="62"/>
        <v>306646</v>
      </c>
      <c r="F206" s="161">
        <f t="shared" si="65"/>
        <v>306160</v>
      </c>
      <c r="G206" s="161">
        <f t="shared" si="65"/>
        <v>306533</v>
      </c>
      <c r="H206" s="161">
        <f t="shared" si="65"/>
        <v>317104</v>
      </c>
      <c r="I206" s="161">
        <f t="shared" si="65"/>
        <v>312458</v>
      </c>
      <c r="J206" s="161">
        <f t="shared" si="65"/>
        <v>311392</v>
      </c>
      <c r="K206" s="161">
        <f t="shared" si="65"/>
        <v>318739</v>
      </c>
      <c r="L206" s="161">
        <f t="shared" si="65"/>
        <v>320860</v>
      </c>
      <c r="M206" s="161">
        <f t="shared" si="65"/>
        <v>327035</v>
      </c>
      <c r="N206" s="161">
        <f t="shared" si="65"/>
        <v>335791</v>
      </c>
      <c r="O206" s="161">
        <f t="shared" si="65"/>
        <v>333352</v>
      </c>
      <c r="P206" s="161">
        <f t="shared" si="65"/>
        <v>336950</v>
      </c>
      <c r="Q206" s="161">
        <f t="shared" si="65"/>
        <v>340063</v>
      </c>
      <c r="R206" s="161">
        <f t="shared" si="65"/>
        <v>339450</v>
      </c>
      <c r="S206" s="161">
        <f t="shared" si="65"/>
        <v>337214</v>
      </c>
      <c r="T206" s="161">
        <f t="shared" si="65"/>
        <v>341383</v>
      </c>
      <c r="U206" s="161">
        <f t="shared" si="65"/>
        <v>339173</v>
      </c>
      <c r="V206" s="161">
        <f t="shared" si="65"/>
        <v>341910</v>
      </c>
      <c r="W206" s="161">
        <f t="shared" si="65"/>
        <v>347740</v>
      </c>
      <c r="X206" s="161">
        <f t="shared" si="65"/>
        <v>349803</v>
      </c>
      <c r="Y206" s="161">
        <f t="shared" si="65"/>
        <v>348824</v>
      </c>
      <c r="Z206" s="161">
        <f t="shared" si="65"/>
        <v>344438</v>
      </c>
      <c r="AA206" s="161">
        <f t="shared" si="65"/>
        <v>340960</v>
      </c>
      <c r="AB206" s="161">
        <f t="shared" si="65"/>
        <v>347764</v>
      </c>
      <c r="AC206" s="161">
        <f t="shared" si="65"/>
        <v>364636</v>
      </c>
      <c r="AD206" s="161">
        <f t="shared" si="65"/>
        <v>368414</v>
      </c>
      <c r="AE206" s="161">
        <f t="shared" si="65"/>
        <v>359513</v>
      </c>
      <c r="AF206" s="161">
        <f t="shared" si="65"/>
        <v>359164</v>
      </c>
      <c r="AG206" s="161">
        <f t="shared" si="65"/>
        <v>368590</v>
      </c>
      <c r="AH206" s="161">
        <f t="shared" si="65"/>
        <v>379502</v>
      </c>
      <c r="AI206" s="161">
        <f t="shared" si="65"/>
        <v>391079</v>
      </c>
      <c r="AJ206" s="161">
        <f t="shared" si="65"/>
        <v>391944</v>
      </c>
      <c r="AK206" s="161">
        <f t="shared" si="65"/>
        <v>393353</v>
      </c>
      <c r="AL206" s="161">
        <f t="shared" si="65"/>
        <v>395357</v>
      </c>
      <c r="AM206" s="161">
        <f t="shared" si="65"/>
        <v>403004</v>
      </c>
      <c r="AN206" s="161">
        <f t="shared" si="65"/>
        <v>403721</v>
      </c>
      <c r="AO206" s="161">
        <f t="shared" si="65"/>
        <v>398128</v>
      </c>
      <c r="AP206" s="161">
        <f t="shared" si="65"/>
        <v>394628</v>
      </c>
      <c r="AQ206" s="161">
        <f t="shared" si="65"/>
        <v>393189</v>
      </c>
      <c r="AR206" s="161">
        <f t="shared" si="65"/>
        <v>394224</v>
      </c>
      <c r="AS206" s="161">
        <f t="shared" si="65"/>
        <v>391433</v>
      </c>
      <c r="AT206" s="161">
        <f t="shared" si="65"/>
        <v>386989</v>
      </c>
      <c r="AU206" s="161">
        <f t="shared" si="65"/>
        <v>384757</v>
      </c>
      <c r="AV206" s="161">
        <f t="shared" si="65"/>
        <v>371442</v>
      </c>
      <c r="AW206" s="161">
        <f t="shared" si="65"/>
        <v>360662</v>
      </c>
      <c r="AX206" s="161">
        <f t="shared" si="65"/>
        <v>342687</v>
      </c>
      <c r="AY206" s="161">
        <f t="shared" si="65"/>
        <v>334611</v>
      </c>
      <c r="AZ206" s="161">
        <f t="shared" si="65"/>
        <v>325211</v>
      </c>
      <c r="BA206" s="161">
        <f t="shared" si="65"/>
        <v>322443</v>
      </c>
      <c r="BB206" s="161">
        <f t="shared" si="65"/>
        <v>322378</v>
      </c>
      <c r="BC206" s="161">
        <f t="shared" si="65"/>
        <v>324852</v>
      </c>
      <c r="BD206" s="161">
        <f t="shared" si="65"/>
        <v>329584</v>
      </c>
      <c r="BE206" s="161">
        <f t="shared" si="65"/>
        <v>336611</v>
      </c>
      <c r="BF206" s="161">
        <f t="shared" si="65"/>
        <v>348187</v>
      </c>
      <c r="BG206" s="161">
        <f t="shared" si="65"/>
        <v>351096</v>
      </c>
      <c r="BH206" s="161">
        <f t="shared" si="65"/>
        <v>328429</v>
      </c>
      <c r="BI206" s="161">
        <f t="shared" si="65"/>
        <v>324219</v>
      </c>
      <c r="BJ206" s="161">
        <f t="shared" si="65"/>
        <v>311473</v>
      </c>
      <c r="BK206" s="161">
        <f t="shared" si="65"/>
        <v>304864</v>
      </c>
      <c r="BL206" s="161">
        <f t="shared" si="65"/>
        <v>303517</v>
      </c>
      <c r="BM206" s="161">
        <f t="shared" si="65"/>
        <v>307095</v>
      </c>
      <c r="BN206" s="161">
        <f t="shared" si="65"/>
        <v>315373</v>
      </c>
      <c r="BO206" s="161">
        <f t="shared" si="65"/>
        <v>318771</v>
      </c>
      <c r="BP206" s="161">
        <f t="shared" si="65"/>
        <v>315850</v>
      </c>
      <c r="BQ206" s="161">
        <f t="shared" si="65"/>
        <v>312343</v>
      </c>
      <c r="BR206" s="161">
        <f t="shared" si="61"/>
        <v>300256</v>
      </c>
      <c r="BS206" s="161">
        <f t="shared" si="61"/>
        <v>293067</v>
      </c>
      <c r="BT206" s="161">
        <f t="shared" si="61"/>
        <v>284280</v>
      </c>
      <c r="BU206" s="161">
        <f t="shared" si="61"/>
        <v>275081</v>
      </c>
      <c r="BV206" s="161">
        <f t="shared" si="61"/>
        <v>267623</v>
      </c>
      <c r="BW206" s="161">
        <f t="shared" si="61"/>
        <v>257701</v>
      </c>
      <c r="BX206" s="161">
        <f t="shared" si="61"/>
        <v>248326</v>
      </c>
      <c r="BY206" s="161">
        <f t="shared" si="61"/>
        <v>243348</v>
      </c>
      <c r="BZ206" s="161">
        <f t="shared" si="61"/>
        <v>233964</v>
      </c>
      <c r="CA206" s="161">
        <f t="shared" si="61"/>
        <v>228612</v>
      </c>
      <c r="CB206" s="161">
        <f t="shared" si="61"/>
        <v>221480</v>
      </c>
      <c r="CC206" s="161">
        <f t="shared" si="61"/>
        <v>211662</v>
      </c>
      <c r="CD206" s="161">
        <f t="shared" si="61"/>
        <v>208609</v>
      </c>
      <c r="CE206" s="161">
        <f t="shared" si="61"/>
        <v>209031</v>
      </c>
      <c r="CF206" s="161">
        <f t="shared" si="61"/>
        <v>170189</v>
      </c>
      <c r="CG206" s="161">
        <f t="shared" si="61"/>
        <v>157743</v>
      </c>
      <c r="CH206" s="161">
        <f t="shared" si="61"/>
        <v>144127</v>
      </c>
      <c r="CI206" s="161">
        <f t="shared" si="61"/>
        <v>125356</v>
      </c>
      <c r="CJ206" s="161">
        <f t="shared" si="61"/>
        <v>117988</v>
      </c>
      <c r="CK206" s="161">
        <f t="shared" si="61"/>
        <v>104509</v>
      </c>
      <c r="CL206" s="161">
        <f t="shared" si="61"/>
        <v>95802</v>
      </c>
      <c r="CM206" s="161">
        <f t="shared" si="61"/>
        <v>86087</v>
      </c>
      <c r="CN206" s="161">
        <f t="shared" si="61"/>
        <v>75911</v>
      </c>
      <c r="CO206" s="161">
        <f t="shared" si="61"/>
        <v>66512</v>
      </c>
      <c r="CP206" s="161">
        <f t="shared" si="61"/>
        <v>56485</v>
      </c>
      <c r="CQ206" s="161">
        <f t="shared" si="61"/>
        <v>47063</v>
      </c>
      <c r="CR206" s="161">
        <f t="shared" si="61"/>
        <v>38855</v>
      </c>
      <c r="CS206" s="161">
        <f t="shared" si="61"/>
        <v>32531</v>
      </c>
      <c r="CT206" s="161">
        <f t="shared" si="61"/>
        <v>26602</v>
      </c>
      <c r="CU206" s="161">
        <f t="shared" si="61"/>
        <v>22033</v>
      </c>
      <c r="CV206" s="161">
        <f t="shared" si="61"/>
        <v>17357</v>
      </c>
      <c r="CW206" s="161">
        <f t="shared" si="61"/>
        <v>12710</v>
      </c>
      <c r="CX206" s="161">
        <f t="shared" si="61"/>
        <v>9362</v>
      </c>
      <c r="CY206" s="161">
        <f t="shared" si="61"/>
        <v>6566</v>
      </c>
      <c r="CZ206" s="161">
        <f t="shared" si="61"/>
        <v>4658</v>
      </c>
      <c r="DA206" s="161">
        <f t="shared" si="61"/>
        <v>8460</v>
      </c>
      <c r="DB206" s="162">
        <f t="shared" si="63"/>
        <v>27395011</v>
      </c>
      <c r="DC206" s="163">
        <f t="shared" si="64"/>
        <v>27.395011</v>
      </c>
      <c r="DD206" s="165">
        <f t="shared" si="66"/>
        <v>1.5692150080198732E-2</v>
      </c>
    </row>
    <row r="207" spans="1:108" x14ac:dyDescent="0.2">
      <c r="A207" s="159"/>
      <c r="B207" s="159"/>
      <c r="C207" s="159"/>
      <c r="D207" s="160">
        <v>2026</v>
      </c>
      <c r="E207" s="161">
        <f t="shared" si="62"/>
        <v>308068</v>
      </c>
      <c r="F207" s="161">
        <f t="shared" si="65"/>
        <v>307958</v>
      </c>
      <c r="G207" s="161">
        <f t="shared" si="65"/>
        <v>309360</v>
      </c>
      <c r="H207" s="161">
        <f t="shared" si="65"/>
        <v>310405</v>
      </c>
      <c r="I207" s="161">
        <f t="shared" si="65"/>
        <v>321511</v>
      </c>
      <c r="J207" s="161">
        <f t="shared" si="65"/>
        <v>317114</v>
      </c>
      <c r="K207" s="161">
        <f t="shared" si="65"/>
        <v>315628</v>
      </c>
      <c r="L207" s="161">
        <f t="shared" si="65"/>
        <v>322477</v>
      </c>
      <c r="M207" s="161">
        <f t="shared" si="65"/>
        <v>324413</v>
      </c>
      <c r="N207" s="161">
        <f t="shared" si="65"/>
        <v>330471</v>
      </c>
      <c r="O207" s="161">
        <f t="shared" si="65"/>
        <v>339143</v>
      </c>
      <c r="P207" s="161">
        <f t="shared" si="65"/>
        <v>336647</v>
      </c>
      <c r="Q207" s="161">
        <f t="shared" si="65"/>
        <v>340055</v>
      </c>
      <c r="R207" s="161">
        <f t="shared" si="65"/>
        <v>343046</v>
      </c>
      <c r="S207" s="161">
        <f t="shared" si="65"/>
        <v>342615</v>
      </c>
      <c r="T207" s="161">
        <f t="shared" si="65"/>
        <v>340796</v>
      </c>
      <c r="U207" s="161">
        <f t="shared" si="65"/>
        <v>345337</v>
      </c>
      <c r="V207" s="161">
        <f t="shared" si="65"/>
        <v>344970</v>
      </c>
      <c r="W207" s="161">
        <f t="shared" si="65"/>
        <v>354492</v>
      </c>
      <c r="X207" s="161">
        <f t="shared" si="65"/>
        <v>365073</v>
      </c>
      <c r="Y207" s="161">
        <f t="shared" si="65"/>
        <v>362674</v>
      </c>
      <c r="Z207" s="161">
        <f t="shared" si="65"/>
        <v>357143</v>
      </c>
      <c r="AA207" s="161">
        <f t="shared" si="65"/>
        <v>355653</v>
      </c>
      <c r="AB207" s="161">
        <f t="shared" si="65"/>
        <v>355375</v>
      </c>
      <c r="AC207" s="161">
        <f t="shared" si="65"/>
        <v>358400</v>
      </c>
      <c r="AD207" s="161">
        <f t="shared" si="65"/>
        <v>370323</v>
      </c>
      <c r="AE207" s="161">
        <f t="shared" si="65"/>
        <v>373250</v>
      </c>
      <c r="AF207" s="161">
        <f t="shared" si="65"/>
        <v>364976</v>
      </c>
      <c r="AG207" s="161">
        <f t="shared" si="65"/>
        <v>365036</v>
      </c>
      <c r="AH207" s="161">
        <f t="shared" si="65"/>
        <v>374688</v>
      </c>
      <c r="AI207" s="161">
        <f t="shared" si="65"/>
        <v>385301</v>
      </c>
      <c r="AJ207" s="161">
        <f t="shared" si="65"/>
        <v>396189</v>
      </c>
      <c r="AK207" s="161">
        <f t="shared" si="65"/>
        <v>396609</v>
      </c>
      <c r="AL207" s="161">
        <f t="shared" si="65"/>
        <v>398128</v>
      </c>
      <c r="AM207" s="161">
        <f t="shared" si="65"/>
        <v>400085</v>
      </c>
      <c r="AN207" s="161">
        <f t="shared" si="65"/>
        <v>407323</v>
      </c>
      <c r="AO207" s="161">
        <f t="shared" si="65"/>
        <v>407777</v>
      </c>
      <c r="AP207" s="161">
        <f t="shared" si="65"/>
        <v>401940</v>
      </c>
      <c r="AQ207" s="161">
        <f t="shared" si="65"/>
        <v>398049</v>
      </c>
      <c r="AR207" s="161">
        <f t="shared" si="65"/>
        <v>396314</v>
      </c>
      <c r="AS207" s="161">
        <f t="shared" si="65"/>
        <v>397151</v>
      </c>
      <c r="AT207" s="161">
        <f t="shared" si="65"/>
        <v>394010</v>
      </c>
      <c r="AU207" s="161">
        <f t="shared" si="65"/>
        <v>389135</v>
      </c>
      <c r="AV207" s="161">
        <f t="shared" si="65"/>
        <v>386519</v>
      </c>
      <c r="AW207" s="161">
        <f t="shared" si="65"/>
        <v>372946</v>
      </c>
      <c r="AX207" s="161">
        <f t="shared" si="65"/>
        <v>362022</v>
      </c>
      <c r="AY207" s="161">
        <f t="shared" si="65"/>
        <v>343902</v>
      </c>
      <c r="AZ207" s="161">
        <f t="shared" si="65"/>
        <v>335613</v>
      </c>
      <c r="BA207" s="161">
        <f t="shared" si="65"/>
        <v>326020</v>
      </c>
      <c r="BB207" s="161">
        <f t="shared" si="65"/>
        <v>323093</v>
      </c>
      <c r="BC207" s="161">
        <f t="shared" si="65"/>
        <v>322903</v>
      </c>
      <c r="BD207" s="161">
        <f t="shared" si="65"/>
        <v>325303</v>
      </c>
      <c r="BE207" s="161">
        <f t="shared" si="65"/>
        <v>329943</v>
      </c>
      <c r="BF207" s="161">
        <f t="shared" si="65"/>
        <v>336889</v>
      </c>
      <c r="BG207" s="161">
        <f t="shared" si="65"/>
        <v>348528</v>
      </c>
      <c r="BH207" s="161">
        <f t="shared" si="65"/>
        <v>351626</v>
      </c>
      <c r="BI207" s="161">
        <f t="shared" si="65"/>
        <v>329142</v>
      </c>
      <c r="BJ207" s="161">
        <f t="shared" si="65"/>
        <v>324817</v>
      </c>
      <c r="BK207" s="161">
        <f t="shared" si="65"/>
        <v>312006</v>
      </c>
      <c r="BL207" s="161">
        <f t="shared" si="65"/>
        <v>305552</v>
      </c>
      <c r="BM207" s="161">
        <f t="shared" si="65"/>
        <v>304351</v>
      </c>
      <c r="BN207" s="161">
        <f t="shared" si="65"/>
        <v>307980</v>
      </c>
      <c r="BO207" s="161">
        <f t="shared" si="65"/>
        <v>316239</v>
      </c>
      <c r="BP207" s="161">
        <f t="shared" si="65"/>
        <v>319569</v>
      </c>
      <c r="BQ207" s="161">
        <f t="shared" si="65"/>
        <v>316478</v>
      </c>
      <c r="BR207" s="161">
        <f t="shared" si="61"/>
        <v>312613</v>
      </c>
      <c r="BS207" s="161">
        <f t="shared" si="61"/>
        <v>300184</v>
      </c>
      <c r="BT207" s="161">
        <f t="shared" si="61"/>
        <v>292633</v>
      </c>
      <c r="BU207" s="161">
        <f t="shared" si="61"/>
        <v>283481</v>
      </c>
      <c r="BV207" s="161">
        <f t="shared" si="61"/>
        <v>274029</v>
      </c>
      <c r="BW207" s="161">
        <f t="shared" si="61"/>
        <v>266302</v>
      </c>
      <c r="BX207" s="161">
        <f t="shared" si="61"/>
        <v>256017</v>
      </c>
      <c r="BY207" s="161">
        <f t="shared" si="61"/>
        <v>246341</v>
      </c>
      <c r="BZ207" s="161">
        <f t="shared" si="61"/>
        <v>240962</v>
      </c>
      <c r="CA207" s="161">
        <f t="shared" si="61"/>
        <v>231079</v>
      </c>
      <c r="CB207" s="161">
        <f t="shared" si="61"/>
        <v>225312</v>
      </c>
      <c r="CC207" s="161">
        <f t="shared" si="61"/>
        <v>217830</v>
      </c>
      <c r="CD207" s="161">
        <f t="shared" si="61"/>
        <v>207595</v>
      </c>
      <c r="CE207" s="161">
        <f t="shared" si="61"/>
        <v>203934</v>
      </c>
      <c r="CF207" s="161">
        <f t="shared" si="61"/>
        <v>203585</v>
      </c>
      <c r="CG207" s="161">
        <f t="shared" si="61"/>
        <v>165118</v>
      </c>
      <c r="CH207" s="161">
        <f t="shared" si="61"/>
        <v>152344</v>
      </c>
      <c r="CI207" s="161">
        <f t="shared" si="61"/>
        <v>138467</v>
      </c>
      <c r="CJ207" s="161">
        <f t="shared" si="61"/>
        <v>119687</v>
      </c>
      <c r="CK207" s="161">
        <f t="shared" si="61"/>
        <v>111863</v>
      </c>
      <c r="CL207" s="161">
        <f t="shared" si="61"/>
        <v>98340</v>
      </c>
      <c r="CM207" s="161">
        <f t="shared" si="61"/>
        <v>89342</v>
      </c>
      <c r="CN207" s="161">
        <f t="shared" si="61"/>
        <v>79395</v>
      </c>
      <c r="CO207" s="161">
        <f t="shared" si="61"/>
        <v>69098</v>
      </c>
      <c r="CP207" s="161">
        <f t="shared" si="61"/>
        <v>59751</v>
      </c>
      <c r="CQ207" s="161">
        <f t="shared" si="61"/>
        <v>49917</v>
      </c>
      <c r="CR207" s="161">
        <f t="shared" si="61"/>
        <v>40799</v>
      </c>
      <c r="CS207" s="161">
        <f t="shared" si="61"/>
        <v>33136</v>
      </c>
      <c r="CT207" s="161">
        <f t="shared" si="61"/>
        <v>27179</v>
      </c>
      <c r="CU207" s="161">
        <f t="shared" si="61"/>
        <v>21625</v>
      </c>
      <c r="CV207" s="161">
        <f t="shared" si="61"/>
        <v>17402</v>
      </c>
      <c r="CW207" s="161">
        <f t="shared" si="61"/>
        <v>13355</v>
      </c>
      <c r="CX207" s="161">
        <f t="shared" si="61"/>
        <v>9580</v>
      </c>
      <c r="CY207" s="161">
        <f t="shared" si="61"/>
        <v>6852</v>
      </c>
      <c r="CZ207" s="161">
        <f t="shared" si="61"/>
        <v>4645</v>
      </c>
      <c r="DA207" s="161">
        <f t="shared" si="61"/>
        <v>9343</v>
      </c>
      <c r="DB207" s="162">
        <f t="shared" si="63"/>
        <v>27805684</v>
      </c>
      <c r="DC207" s="163">
        <f t="shared" si="64"/>
        <v>27.805683999999999</v>
      </c>
      <c r="DD207" s="165">
        <f t="shared" si="66"/>
        <v>1.4990795221801486E-2</v>
      </c>
    </row>
    <row r="208" spans="1:108" x14ac:dyDescent="0.2">
      <c r="A208" s="159"/>
      <c r="B208" s="159"/>
      <c r="C208" s="159"/>
      <c r="D208" s="160">
        <v>2027</v>
      </c>
      <c r="E208" s="161">
        <f t="shared" si="62"/>
        <v>309123</v>
      </c>
      <c r="F208" s="161">
        <f t="shared" si="65"/>
        <v>309326</v>
      </c>
      <c r="G208" s="161">
        <f t="shared" si="65"/>
        <v>311035</v>
      </c>
      <c r="H208" s="161">
        <f t="shared" si="65"/>
        <v>313084</v>
      </c>
      <c r="I208" s="161">
        <f t="shared" si="65"/>
        <v>314645</v>
      </c>
      <c r="J208" s="161">
        <f t="shared" si="65"/>
        <v>325990</v>
      </c>
      <c r="K208" s="161">
        <f t="shared" si="65"/>
        <v>321190</v>
      </c>
      <c r="L208" s="161">
        <f t="shared" si="65"/>
        <v>319226</v>
      </c>
      <c r="M208" s="161">
        <f t="shared" si="65"/>
        <v>325896</v>
      </c>
      <c r="N208" s="161">
        <f t="shared" si="65"/>
        <v>327720</v>
      </c>
      <c r="O208" s="161">
        <f t="shared" si="65"/>
        <v>333697</v>
      </c>
      <c r="P208" s="161">
        <f t="shared" si="65"/>
        <v>342313</v>
      </c>
      <c r="Q208" s="161">
        <f t="shared" si="65"/>
        <v>339633</v>
      </c>
      <c r="R208" s="161">
        <f t="shared" si="65"/>
        <v>342925</v>
      </c>
      <c r="S208" s="161">
        <f t="shared" si="65"/>
        <v>346092</v>
      </c>
      <c r="T208" s="161">
        <f t="shared" si="65"/>
        <v>346060</v>
      </c>
      <c r="U208" s="161">
        <f t="shared" si="65"/>
        <v>344599</v>
      </c>
      <c r="V208" s="161">
        <f t="shared" si="65"/>
        <v>350912</v>
      </c>
      <c r="W208" s="161">
        <f t="shared" si="65"/>
        <v>357076</v>
      </c>
      <c r="X208" s="161">
        <f t="shared" si="65"/>
        <v>371167</v>
      </c>
      <c r="Y208" s="161">
        <f t="shared" si="65"/>
        <v>377453</v>
      </c>
      <c r="Z208" s="161">
        <f t="shared" si="65"/>
        <v>370669</v>
      </c>
      <c r="AA208" s="161">
        <f t="shared" si="65"/>
        <v>367931</v>
      </c>
      <c r="AB208" s="161">
        <f t="shared" si="65"/>
        <v>369519</v>
      </c>
      <c r="AC208" s="161">
        <f t="shared" si="65"/>
        <v>365603</v>
      </c>
      <c r="AD208" s="161">
        <f t="shared" si="65"/>
        <v>363872</v>
      </c>
      <c r="AE208" s="161">
        <f t="shared" si="65"/>
        <v>374970</v>
      </c>
      <c r="AF208" s="161">
        <f t="shared" si="65"/>
        <v>378495</v>
      </c>
      <c r="AG208" s="161">
        <f t="shared" si="65"/>
        <v>370624</v>
      </c>
      <c r="AH208" s="161">
        <f t="shared" si="65"/>
        <v>370900</v>
      </c>
      <c r="AI208" s="161">
        <f t="shared" si="65"/>
        <v>380268</v>
      </c>
      <c r="AJ208" s="161">
        <f t="shared" si="65"/>
        <v>390217</v>
      </c>
      <c r="AK208" s="161">
        <f t="shared" si="65"/>
        <v>400668</v>
      </c>
      <c r="AL208" s="161">
        <f t="shared" si="65"/>
        <v>401197</v>
      </c>
      <c r="AM208" s="161">
        <f t="shared" si="65"/>
        <v>402671</v>
      </c>
      <c r="AN208" s="161">
        <f t="shared" si="65"/>
        <v>404234</v>
      </c>
      <c r="AO208" s="161">
        <f t="shared" si="65"/>
        <v>411214</v>
      </c>
      <c r="AP208" s="161">
        <f t="shared" si="65"/>
        <v>411433</v>
      </c>
      <c r="AQ208" s="161">
        <f t="shared" si="65"/>
        <v>405218</v>
      </c>
      <c r="AR208" s="161">
        <f t="shared" si="65"/>
        <v>401041</v>
      </c>
      <c r="AS208" s="161">
        <f t="shared" si="65"/>
        <v>399119</v>
      </c>
      <c r="AT208" s="161">
        <f t="shared" si="65"/>
        <v>399614</v>
      </c>
      <c r="AU208" s="161">
        <f t="shared" si="65"/>
        <v>396060</v>
      </c>
      <c r="AV208" s="161">
        <f t="shared" si="65"/>
        <v>390811</v>
      </c>
      <c r="AW208" s="161">
        <f t="shared" si="65"/>
        <v>387932</v>
      </c>
      <c r="AX208" s="161">
        <f t="shared" si="65"/>
        <v>374224</v>
      </c>
      <c r="AY208" s="161">
        <f t="shared" si="65"/>
        <v>363146</v>
      </c>
      <c r="AZ208" s="161">
        <f t="shared" si="65"/>
        <v>344834</v>
      </c>
      <c r="BA208" s="161">
        <f t="shared" si="65"/>
        <v>336354</v>
      </c>
      <c r="BB208" s="161">
        <f t="shared" si="65"/>
        <v>326615</v>
      </c>
      <c r="BC208" s="161">
        <f t="shared" si="65"/>
        <v>323574</v>
      </c>
      <c r="BD208" s="161">
        <f t="shared" si="65"/>
        <v>323322</v>
      </c>
      <c r="BE208" s="161">
        <f t="shared" si="65"/>
        <v>325633</v>
      </c>
      <c r="BF208" s="161">
        <f t="shared" si="65"/>
        <v>330198</v>
      </c>
      <c r="BG208" s="161">
        <f t="shared" si="65"/>
        <v>337217</v>
      </c>
      <c r="BH208" s="161">
        <f t="shared" si="65"/>
        <v>349015</v>
      </c>
      <c r="BI208" s="161">
        <f t="shared" si="65"/>
        <v>352204</v>
      </c>
      <c r="BJ208" s="161">
        <f t="shared" si="65"/>
        <v>329663</v>
      </c>
      <c r="BK208" s="161">
        <f t="shared" si="65"/>
        <v>325240</v>
      </c>
      <c r="BL208" s="161">
        <f t="shared" si="65"/>
        <v>312602</v>
      </c>
      <c r="BM208" s="161">
        <f t="shared" si="65"/>
        <v>306301</v>
      </c>
      <c r="BN208" s="161">
        <f t="shared" si="65"/>
        <v>305169</v>
      </c>
      <c r="BO208" s="161">
        <f t="shared" si="65"/>
        <v>308802</v>
      </c>
      <c r="BP208" s="161">
        <f t="shared" si="65"/>
        <v>316965</v>
      </c>
      <c r="BQ208" s="161">
        <f t="shared" ref="BQ208:DA211" si="67">SUM(BQ233,BQ258)</f>
        <v>320088</v>
      </c>
      <c r="BR208" s="161">
        <f t="shared" si="67"/>
        <v>316643</v>
      </c>
      <c r="BS208" s="161">
        <f t="shared" si="67"/>
        <v>312388</v>
      </c>
      <c r="BT208" s="161">
        <f t="shared" si="67"/>
        <v>299640</v>
      </c>
      <c r="BU208" s="161">
        <f t="shared" si="67"/>
        <v>291713</v>
      </c>
      <c r="BV208" s="161">
        <f t="shared" si="67"/>
        <v>282309</v>
      </c>
      <c r="BW208" s="161">
        <f t="shared" si="67"/>
        <v>272609</v>
      </c>
      <c r="BX208" s="161">
        <f t="shared" si="67"/>
        <v>264490</v>
      </c>
      <c r="BY208" s="161">
        <f t="shared" si="67"/>
        <v>253918</v>
      </c>
      <c r="BZ208" s="161">
        <f t="shared" si="67"/>
        <v>243908</v>
      </c>
      <c r="CA208" s="161">
        <f t="shared" si="67"/>
        <v>237967</v>
      </c>
      <c r="CB208" s="161">
        <f t="shared" si="67"/>
        <v>227746</v>
      </c>
      <c r="CC208" s="161">
        <f t="shared" si="67"/>
        <v>221605</v>
      </c>
      <c r="CD208" s="161">
        <f t="shared" si="67"/>
        <v>213653</v>
      </c>
      <c r="CE208" s="161">
        <f t="shared" si="67"/>
        <v>202981</v>
      </c>
      <c r="CF208" s="161">
        <f t="shared" si="67"/>
        <v>198665</v>
      </c>
      <c r="CG208" s="161">
        <f t="shared" si="67"/>
        <v>197502</v>
      </c>
      <c r="CH208" s="161">
        <f t="shared" si="67"/>
        <v>159490</v>
      </c>
      <c r="CI208" s="161">
        <f t="shared" si="67"/>
        <v>146395</v>
      </c>
      <c r="CJ208" s="161">
        <f t="shared" si="67"/>
        <v>132228</v>
      </c>
      <c r="CK208" s="161">
        <f t="shared" si="67"/>
        <v>113524</v>
      </c>
      <c r="CL208" s="161">
        <f t="shared" si="67"/>
        <v>105294</v>
      </c>
      <c r="CM208" s="161">
        <f t="shared" si="67"/>
        <v>91750</v>
      </c>
      <c r="CN208" s="161">
        <f t="shared" si="67"/>
        <v>82428</v>
      </c>
      <c r="CO208" s="161">
        <f t="shared" si="67"/>
        <v>72313</v>
      </c>
      <c r="CP208" s="161">
        <f t="shared" si="67"/>
        <v>62118</v>
      </c>
      <c r="CQ208" s="161">
        <f t="shared" si="67"/>
        <v>52842</v>
      </c>
      <c r="CR208" s="161">
        <f t="shared" si="67"/>
        <v>43307</v>
      </c>
      <c r="CS208" s="161">
        <f t="shared" si="67"/>
        <v>34835</v>
      </c>
      <c r="CT208" s="161">
        <f t="shared" si="67"/>
        <v>27710</v>
      </c>
      <c r="CU208" s="161">
        <f t="shared" si="67"/>
        <v>22115</v>
      </c>
      <c r="CV208" s="161">
        <f t="shared" si="67"/>
        <v>17089</v>
      </c>
      <c r="CW208" s="161">
        <f t="shared" si="67"/>
        <v>13398</v>
      </c>
      <c r="CX208" s="161">
        <f t="shared" si="67"/>
        <v>10069</v>
      </c>
      <c r="CY208" s="161">
        <f t="shared" si="67"/>
        <v>7013</v>
      </c>
      <c r="CZ208" s="161">
        <f t="shared" si="67"/>
        <v>4849</v>
      </c>
      <c r="DA208" s="161">
        <f t="shared" si="67"/>
        <v>9982</v>
      </c>
      <c r="DB208" s="162">
        <f t="shared" si="63"/>
        <v>28201094</v>
      </c>
      <c r="DC208" s="163">
        <f t="shared" si="64"/>
        <v>28.201094000000001</v>
      </c>
      <c r="DD208" s="165">
        <f t="shared" si="66"/>
        <v>1.4220473770758591E-2</v>
      </c>
    </row>
    <row r="209" spans="1:108" x14ac:dyDescent="0.2">
      <c r="A209" s="159"/>
      <c r="B209" s="159"/>
      <c r="C209" s="159"/>
      <c r="D209" s="160">
        <v>2028</v>
      </c>
      <c r="E209" s="161">
        <f t="shared" si="62"/>
        <v>310380</v>
      </c>
      <c r="F209" s="161">
        <f t="shared" ref="F209:BQ212" si="68">SUM(F234,F259)</f>
        <v>310331</v>
      </c>
      <c r="G209" s="161">
        <f t="shared" si="68"/>
        <v>312283</v>
      </c>
      <c r="H209" s="161">
        <f t="shared" si="68"/>
        <v>314614</v>
      </c>
      <c r="I209" s="161">
        <f t="shared" si="68"/>
        <v>317158</v>
      </c>
      <c r="J209" s="161">
        <f t="shared" si="68"/>
        <v>318948</v>
      </c>
      <c r="K209" s="161">
        <f t="shared" si="68"/>
        <v>329905</v>
      </c>
      <c r="L209" s="161">
        <f t="shared" si="68"/>
        <v>324648</v>
      </c>
      <c r="M209" s="161">
        <f t="shared" si="68"/>
        <v>322510</v>
      </c>
      <c r="N209" s="161">
        <f t="shared" si="68"/>
        <v>329073</v>
      </c>
      <c r="O209" s="161">
        <f t="shared" si="68"/>
        <v>330822</v>
      </c>
      <c r="P209" s="161">
        <f t="shared" si="68"/>
        <v>336743</v>
      </c>
      <c r="Q209" s="161">
        <f t="shared" si="68"/>
        <v>345181</v>
      </c>
      <c r="R209" s="161">
        <f t="shared" si="68"/>
        <v>342390</v>
      </c>
      <c r="S209" s="161">
        <f t="shared" si="68"/>
        <v>345850</v>
      </c>
      <c r="T209" s="161">
        <f t="shared" si="68"/>
        <v>349401</v>
      </c>
      <c r="U209" s="161">
        <f t="shared" si="68"/>
        <v>349713</v>
      </c>
      <c r="V209" s="161">
        <f t="shared" si="68"/>
        <v>349954</v>
      </c>
      <c r="W209" s="161">
        <f t="shared" si="68"/>
        <v>362540</v>
      </c>
      <c r="X209" s="161">
        <f t="shared" si="68"/>
        <v>373096</v>
      </c>
      <c r="Y209" s="161">
        <f t="shared" si="68"/>
        <v>383056</v>
      </c>
      <c r="Z209" s="161">
        <f t="shared" si="68"/>
        <v>385127</v>
      </c>
      <c r="AA209" s="161">
        <f t="shared" si="68"/>
        <v>381025</v>
      </c>
      <c r="AB209" s="161">
        <f t="shared" si="68"/>
        <v>381246</v>
      </c>
      <c r="AC209" s="161">
        <f t="shared" si="68"/>
        <v>379340</v>
      </c>
      <c r="AD209" s="161">
        <f t="shared" si="68"/>
        <v>370853</v>
      </c>
      <c r="AE209" s="161">
        <f t="shared" si="68"/>
        <v>368337</v>
      </c>
      <c r="AF209" s="161">
        <f t="shared" si="68"/>
        <v>380006</v>
      </c>
      <c r="AG209" s="161">
        <f t="shared" si="68"/>
        <v>383910</v>
      </c>
      <c r="AH209" s="161">
        <f t="shared" si="68"/>
        <v>376249</v>
      </c>
      <c r="AI209" s="161">
        <f t="shared" si="68"/>
        <v>376253</v>
      </c>
      <c r="AJ209" s="161">
        <f t="shared" si="68"/>
        <v>384989</v>
      </c>
      <c r="AK209" s="161">
        <f t="shared" si="68"/>
        <v>394521</v>
      </c>
      <c r="AL209" s="161">
        <f t="shared" si="68"/>
        <v>405067</v>
      </c>
      <c r="AM209" s="161">
        <f t="shared" si="68"/>
        <v>405551</v>
      </c>
      <c r="AN209" s="161">
        <f t="shared" si="68"/>
        <v>406651</v>
      </c>
      <c r="AO209" s="161">
        <f t="shared" si="68"/>
        <v>407967</v>
      </c>
      <c r="AP209" s="161">
        <f t="shared" si="68"/>
        <v>414716</v>
      </c>
      <c r="AQ209" s="161">
        <f t="shared" si="68"/>
        <v>414570</v>
      </c>
      <c r="AR209" s="161">
        <f t="shared" si="68"/>
        <v>408075</v>
      </c>
      <c r="AS209" s="161">
        <f t="shared" si="68"/>
        <v>403723</v>
      </c>
      <c r="AT209" s="161">
        <f t="shared" si="68"/>
        <v>401469</v>
      </c>
      <c r="AU209" s="161">
        <f t="shared" si="68"/>
        <v>401564</v>
      </c>
      <c r="AV209" s="161">
        <f t="shared" si="68"/>
        <v>397651</v>
      </c>
      <c r="AW209" s="161">
        <f t="shared" si="68"/>
        <v>392147</v>
      </c>
      <c r="AX209" s="161">
        <f t="shared" si="68"/>
        <v>389121</v>
      </c>
      <c r="AY209" s="161">
        <f t="shared" si="68"/>
        <v>375268</v>
      </c>
      <c r="AZ209" s="161">
        <f t="shared" si="68"/>
        <v>363998</v>
      </c>
      <c r="BA209" s="161">
        <f t="shared" si="68"/>
        <v>345512</v>
      </c>
      <c r="BB209" s="161">
        <f t="shared" si="68"/>
        <v>336885</v>
      </c>
      <c r="BC209" s="161">
        <f t="shared" si="68"/>
        <v>327052</v>
      </c>
      <c r="BD209" s="161">
        <f t="shared" si="68"/>
        <v>323951</v>
      </c>
      <c r="BE209" s="161">
        <f t="shared" si="68"/>
        <v>323621</v>
      </c>
      <c r="BF209" s="161">
        <f t="shared" si="68"/>
        <v>325862</v>
      </c>
      <c r="BG209" s="161">
        <f t="shared" si="68"/>
        <v>330502</v>
      </c>
      <c r="BH209" s="161">
        <f t="shared" si="68"/>
        <v>337685</v>
      </c>
      <c r="BI209" s="161">
        <f t="shared" si="68"/>
        <v>349541</v>
      </c>
      <c r="BJ209" s="161">
        <f t="shared" si="68"/>
        <v>352584</v>
      </c>
      <c r="BK209" s="161">
        <f t="shared" si="68"/>
        <v>330008</v>
      </c>
      <c r="BL209" s="161">
        <f t="shared" si="68"/>
        <v>325716</v>
      </c>
      <c r="BM209" s="161">
        <f t="shared" si="68"/>
        <v>313247</v>
      </c>
      <c r="BN209" s="161">
        <f t="shared" si="68"/>
        <v>307029</v>
      </c>
      <c r="BO209" s="161">
        <f t="shared" si="68"/>
        <v>305919</v>
      </c>
      <c r="BP209" s="161">
        <f t="shared" si="68"/>
        <v>309486</v>
      </c>
      <c r="BQ209" s="161">
        <f t="shared" si="68"/>
        <v>317419</v>
      </c>
      <c r="BR209" s="161">
        <f t="shared" si="67"/>
        <v>320153</v>
      </c>
      <c r="BS209" s="161">
        <f t="shared" si="67"/>
        <v>316325</v>
      </c>
      <c r="BT209" s="161">
        <f t="shared" si="67"/>
        <v>311696</v>
      </c>
      <c r="BU209" s="161">
        <f t="shared" si="67"/>
        <v>298610</v>
      </c>
      <c r="BV209" s="161">
        <f t="shared" si="67"/>
        <v>290416</v>
      </c>
      <c r="BW209" s="161">
        <f t="shared" si="67"/>
        <v>280769</v>
      </c>
      <c r="BX209" s="161">
        <f t="shared" si="67"/>
        <v>270705</v>
      </c>
      <c r="BY209" s="161">
        <f t="shared" si="67"/>
        <v>262266</v>
      </c>
      <c r="BZ209" s="161">
        <f t="shared" si="67"/>
        <v>251371</v>
      </c>
      <c r="CA209" s="161">
        <f t="shared" si="67"/>
        <v>240875</v>
      </c>
      <c r="CB209" s="161">
        <f t="shared" si="67"/>
        <v>234529</v>
      </c>
      <c r="CC209" s="161">
        <f t="shared" si="67"/>
        <v>224008</v>
      </c>
      <c r="CD209" s="161">
        <f t="shared" si="67"/>
        <v>217369</v>
      </c>
      <c r="CE209" s="161">
        <f t="shared" si="67"/>
        <v>208923</v>
      </c>
      <c r="CF209" s="161">
        <f t="shared" si="67"/>
        <v>197779</v>
      </c>
      <c r="CG209" s="161">
        <f t="shared" si="67"/>
        <v>192779</v>
      </c>
      <c r="CH209" s="161">
        <f t="shared" si="67"/>
        <v>190773</v>
      </c>
      <c r="CI209" s="161">
        <f t="shared" si="67"/>
        <v>153293</v>
      </c>
      <c r="CJ209" s="161">
        <f t="shared" si="67"/>
        <v>139842</v>
      </c>
      <c r="CK209" s="161">
        <f t="shared" si="67"/>
        <v>125451</v>
      </c>
      <c r="CL209" s="161">
        <f t="shared" si="67"/>
        <v>106908</v>
      </c>
      <c r="CM209" s="161">
        <f t="shared" si="67"/>
        <v>98274</v>
      </c>
      <c r="CN209" s="161">
        <f t="shared" si="67"/>
        <v>84692</v>
      </c>
      <c r="CO209" s="161">
        <f t="shared" si="67"/>
        <v>75108</v>
      </c>
      <c r="CP209" s="161">
        <f t="shared" si="67"/>
        <v>65053</v>
      </c>
      <c r="CQ209" s="161">
        <f t="shared" si="67"/>
        <v>54982</v>
      </c>
      <c r="CR209" s="161">
        <f t="shared" si="67"/>
        <v>45885</v>
      </c>
      <c r="CS209" s="161">
        <f t="shared" si="67"/>
        <v>37007</v>
      </c>
      <c r="CT209" s="161">
        <f t="shared" si="67"/>
        <v>29165</v>
      </c>
      <c r="CU209" s="161">
        <f t="shared" si="67"/>
        <v>22567</v>
      </c>
      <c r="CV209" s="161">
        <f t="shared" si="67"/>
        <v>17489</v>
      </c>
      <c r="CW209" s="161">
        <f t="shared" si="67"/>
        <v>13163</v>
      </c>
      <c r="CX209" s="161">
        <f t="shared" si="67"/>
        <v>10105</v>
      </c>
      <c r="CY209" s="161">
        <f t="shared" si="67"/>
        <v>7374</v>
      </c>
      <c r="CZ209" s="161">
        <f t="shared" si="67"/>
        <v>4966</v>
      </c>
      <c r="DA209" s="161">
        <f t="shared" si="67"/>
        <v>10593</v>
      </c>
      <c r="DB209" s="162">
        <f t="shared" si="63"/>
        <v>28581272</v>
      </c>
      <c r="DC209" s="163">
        <f t="shared" si="64"/>
        <v>28.581271999999998</v>
      </c>
      <c r="DD209" s="165">
        <f t="shared" si="66"/>
        <v>1.3480966376694365E-2</v>
      </c>
    </row>
    <row r="210" spans="1:108" x14ac:dyDescent="0.2">
      <c r="A210" s="159"/>
      <c r="B210" s="159"/>
      <c r="C210" s="159"/>
      <c r="D210" s="160">
        <v>2029</v>
      </c>
      <c r="E210" s="161">
        <f t="shared" si="62"/>
        <v>311946</v>
      </c>
      <c r="F210" s="161">
        <f t="shared" si="68"/>
        <v>311534</v>
      </c>
      <c r="G210" s="161">
        <f t="shared" si="68"/>
        <v>313166</v>
      </c>
      <c r="H210" s="161">
        <f t="shared" si="68"/>
        <v>315714</v>
      </c>
      <c r="I210" s="161">
        <f t="shared" si="68"/>
        <v>318522</v>
      </c>
      <c r="J210" s="161">
        <f t="shared" si="68"/>
        <v>321287</v>
      </c>
      <c r="K210" s="161">
        <f t="shared" si="68"/>
        <v>322705</v>
      </c>
      <c r="L210" s="161">
        <f t="shared" si="68"/>
        <v>333221</v>
      </c>
      <c r="M210" s="161">
        <f t="shared" si="68"/>
        <v>327798</v>
      </c>
      <c r="N210" s="161">
        <f t="shared" si="68"/>
        <v>325557</v>
      </c>
      <c r="O210" s="161">
        <f t="shared" si="68"/>
        <v>332048</v>
      </c>
      <c r="P210" s="161">
        <f t="shared" si="68"/>
        <v>333743</v>
      </c>
      <c r="Q210" s="161">
        <f t="shared" si="68"/>
        <v>339495</v>
      </c>
      <c r="R210" s="161">
        <f t="shared" si="68"/>
        <v>347824</v>
      </c>
      <c r="S210" s="161">
        <f t="shared" si="68"/>
        <v>345195</v>
      </c>
      <c r="T210" s="161">
        <f t="shared" si="68"/>
        <v>349023</v>
      </c>
      <c r="U210" s="161">
        <f t="shared" si="68"/>
        <v>352902</v>
      </c>
      <c r="V210" s="161">
        <f t="shared" si="68"/>
        <v>354847</v>
      </c>
      <c r="W210" s="161">
        <f t="shared" si="68"/>
        <v>361107</v>
      </c>
      <c r="X210" s="161">
        <f t="shared" si="68"/>
        <v>377903</v>
      </c>
      <c r="Y210" s="161">
        <f t="shared" si="68"/>
        <v>384498</v>
      </c>
      <c r="Z210" s="161">
        <f t="shared" si="68"/>
        <v>390412</v>
      </c>
      <c r="AA210" s="161">
        <f t="shared" si="68"/>
        <v>395052</v>
      </c>
      <c r="AB210" s="161">
        <f t="shared" si="68"/>
        <v>393792</v>
      </c>
      <c r="AC210" s="161">
        <f t="shared" si="68"/>
        <v>390659</v>
      </c>
      <c r="AD210" s="161">
        <f t="shared" si="68"/>
        <v>384365</v>
      </c>
      <c r="AE210" s="161">
        <f t="shared" si="68"/>
        <v>375127</v>
      </c>
      <c r="AF210" s="161">
        <f t="shared" si="68"/>
        <v>373167</v>
      </c>
      <c r="AG210" s="161">
        <f t="shared" si="68"/>
        <v>385194</v>
      </c>
      <c r="AH210" s="161">
        <f t="shared" si="68"/>
        <v>389295</v>
      </c>
      <c r="AI210" s="161">
        <f t="shared" si="68"/>
        <v>381379</v>
      </c>
      <c r="AJ210" s="161">
        <f t="shared" si="68"/>
        <v>380777</v>
      </c>
      <c r="AK210" s="161">
        <f t="shared" si="68"/>
        <v>389112</v>
      </c>
      <c r="AL210" s="161">
        <f t="shared" si="68"/>
        <v>398736</v>
      </c>
      <c r="AM210" s="161">
        <f t="shared" si="68"/>
        <v>409236</v>
      </c>
      <c r="AN210" s="161">
        <f t="shared" si="68"/>
        <v>409359</v>
      </c>
      <c r="AO210" s="161">
        <f t="shared" si="68"/>
        <v>410222</v>
      </c>
      <c r="AP210" s="161">
        <f t="shared" si="68"/>
        <v>411319</v>
      </c>
      <c r="AQ210" s="161">
        <f t="shared" si="68"/>
        <v>417712</v>
      </c>
      <c r="AR210" s="161">
        <f t="shared" si="68"/>
        <v>417293</v>
      </c>
      <c r="AS210" s="161">
        <f t="shared" si="68"/>
        <v>410631</v>
      </c>
      <c r="AT210" s="161">
        <f t="shared" si="68"/>
        <v>405962</v>
      </c>
      <c r="AU210" s="161">
        <f t="shared" si="68"/>
        <v>403326</v>
      </c>
      <c r="AV210" s="161">
        <f t="shared" si="68"/>
        <v>403067</v>
      </c>
      <c r="AW210" s="161">
        <f t="shared" si="68"/>
        <v>398908</v>
      </c>
      <c r="AX210" s="161">
        <f t="shared" si="68"/>
        <v>393264</v>
      </c>
      <c r="AY210" s="161">
        <f t="shared" si="68"/>
        <v>390082</v>
      </c>
      <c r="AZ210" s="161">
        <f t="shared" si="68"/>
        <v>376045</v>
      </c>
      <c r="BA210" s="161">
        <f t="shared" si="68"/>
        <v>364594</v>
      </c>
      <c r="BB210" s="161">
        <f t="shared" si="68"/>
        <v>345984</v>
      </c>
      <c r="BC210" s="161">
        <f t="shared" si="68"/>
        <v>337260</v>
      </c>
      <c r="BD210" s="161">
        <f t="shared" si="68"/>
        <v>327385</v>
      </c>
      <c r="BE210" s="161">
        <f t="shared" si="68"/>
        <v>324211</v>
      </c>
      <c r="BF210" s="161">
        <f t="shared" si="68"/>
        <v>323816</v>
      </c>
      <c r="BG210" s="161">
        <f t="shared" si="68"/>
        <v>326134</v>
      </c>
      <c r="BH210" s="161">
        <f t="shared" si="68"/>
        <v>330935</v>
      </c>
      <c r="BI210" s="161">
        <f t="shared" si="68"/>
        <v>338188</v>
      </c>
      <c r="BJ210" s="161">
        <f t="shared" si="68"/>
        <v>349872</v>
      </c>
      <c r="BK210" s="161">
        <f t="shared" si="68"/>
        <v>352781</v>
      </c>
      <c r="BL210" s="161">
        <f t="shared" si="68"/>
        <v>330397</v>
      </c>
      <c r="BM210" s="161">
        <f t="shared" si="68"/>
        <v>326233</v>
      </c>
      <c r="BN210" s="161">
        <f t="shared" si="68"/>
        <v>313865</v>
      </c>
      <c r="BO210" s="161">
        <f t="shared" si="68"/>
        <v>307687</v>
      </c>
      <c r="BP210" s="161">
        <f t="shared" si="68"/>
        <v>306534</v>
      </c>
      <c r="BQ210" s="161">
        <f t="shared" si="68"/>
        <v>309901</v>
      </c>
      <c r="BR210" s="161">
        <f t="shared" si="67"/>
        <v>317424</v>
      </c>
      <c r="BS210" s="161">
        <f t="shared" si="67"/>
        <v>319747</v>
      </c>
      <c r="BT210" s="161">
        <f t="shared" si="67"/>
        <v>315546</v>
      </c>
      <c r="BU210" s="161">
        <f t="shared" si="67"/>
        <v>310514</v>
      </c>
      <c r="BV210" s="161">
        <f t="shared" si="67"/>
        <v>297209</v>
      </c>
      <c r="BW210" s="161">
        <f t="shared" si="67"/>
        <v>288757</v>
      </c>
      <c r="BX210" s="161">
        <f t="shared" si="67"/>
        <v>278746</v>
      </c>
      <c r="BY210" s="161">
        <f t="shared" si="67"/>
        <v>268388</v>
      </c>
      <c r="BZ210" s="161">
        <f t="shared" si="67"/>
        <v>259595</v>
      </c>
      <c r="CA210" s="161">
        <f t="shared" si="67"/>
        <v>248225</v>
      </c>
      <c r="CB210" s="161">
        <f t="shared" si="67"/>
        <v>237396</v>
      </c>
      <c r="CC210" s="161">
        <f t="shared" si="67"/>
        <v>230682</v>
      </c>
      <c r="CD210" s="161">
        <f t="shared" si="67"/>
        <v>219743</v>
      </c>
      <c r="CE210" s="161">
        <f t="shared" si="67"/>
        <v>212575</v>
      </c>
      <c r="CF210" s="161">
        <f t="shared" si="67"/>
        <v>203596</v>
      </c>
      <c r="CG210" s="161">
        <f t="shared" si="67"/>
        <v>191971</v>
      </c>
      <c r="CH210" s="161">
        <f t="shared" si="67"/>
        <v>186267</v>
      </c>
      <c r="CI210" s="161">
        <f t="shared" si="67"/>
        <v>183383</v>
      </c>
      <c r="CJ210" s="161">
        <f t="shared" si="67"/>
        <v>146467</v>
      </c>
      <c r="CK210" s="161">
        <f t="shared" si="67"/>
        <v>132723</v>
      </c>
      <c r="CL210" s="161">
        <f t="shared" si="67"/>
        <v>118177</v>
      </c>
      <c r="CM210" s="161">
        <f t="shared" si="67"/>
        <v>99834</v>
      </c>
      <c r="CN210" s="161">
        <f t="shared" si="67"/>
        <v>90753</v>
      </c>
      <c r="CO210" s="161">
        <f t="shared" si="67"/>
        <v>77217</v>
      </c>
      <c r="CP210" s="161">
        <f t="shared" si="67"/>
        <v>67605</v>
      </c>
      <c r="CQ210" s="161">
        <f t="shared" si="67"/>
        <v>57628</v>
      </c>
      <c r="CR210" s="161">
        <f t="shared" si="67"/>
        <v>47791</v>
      </c>
      <c r="CS210" s="161">
        <f t="shared" si="67"/>
        <v>39247</v>
      </c>
      <c r="CT210" s="161">
        <f t="shared" si="67"/>
        <v>31009</v>
      </c>
      <c r="CU210" s="161">
        <f t="shared" si="67"/>
        <v>23777</v>
      </c>
      <c r="CV210" s="161">
        <f t="shared" si="67"/>
        <v>17859</v>
      </c>
      <c r="CW210" s="161">
        <f t="shared" si="67"/>
        <v>13478</v>
      </c>
      <c r="CX210" s="161">
        <f t="shared" si="67"/>
        <v>9933</v>
      </c>
      <c r="CY210" s="161">
        <f t="shared" si="67"/>
        <v>7404</v>
      </c>
      <c r="CZ210" s="161">
        <f t="shared" si="67"/>
        <v>5222</v>
      </c>
      <c r="DA210" s="161">
        <f t="shared" si="67"/>
        <v>11124</v>
      </c>
      <c r="DB210" s="162">
        <f t="shared" si="63"/>
        <v>28946317</v>
      </c>
      <c r="DC210" s="163">
        <f t="shared" si="64"/>
        <v>28.946317000000001</v>
      </c>
      <c r="DD210" s="165">
        <f t="shared" si="66"/>
        <v>1.2772174730361968E-2</v>
      </c>
    </row>
    <row r="211" spans="1:108" x14ac:dyDescent="0.2">
      <c r="A211" s="159"/>
      <c r="B211" s="159"/>
      <c r="C211" s="159"/>
      <c r="D211" s="160">
        <v>2030</v>
      </c>
      <c r="E211" s="161">
        <f t="shared" si="62"/>
        <v>313459</v>
      </c>
      <c r="F211" s="161">
        <f t="shared" si="68"/>
        <v>313041</v>
      </c>
      <c r="G211" s="161">
        <f t="shared" si="68"/>
        <v>314237</v>
      </c>
      <c r="H211" s="161">
        <f t="shared" si="68"/>
        <v>316437</v>
      </c>
      <c r="I211" s="161">
        <f t="shared" si="68"/>
        <v>319441</v>
      </c>
      <c r="J211" s="161">
        <f t="shared" si="68"/>
        <v>322459</v>
      </c>
      <c r="K211" s="161">
        <f t="shared" si="68"/>
        <v>324870</v>
      </c>
      <c r="L211" s="161">
        <f t="shared" si="68"/>
        <v>325868</v>
      </c>
      <c r="M211" s="161">
        <f t="shared" si="68"/>
        <v>336224</v>
      </c>
      <c r="N211" s="161">
        <f t="shared" si="68"/>
        <v>330703</v>
      </c>
      <c r="O211" s="161">
        <f t="shared" si="68"/>
        <v>328394</v>
      </c>
      <c r="P211" s="161">
        <f t="shared" si="68"/>
        <v>334833</v>
      </c>
      <c r="Q211" s="161">
        <f t="shared" si="68"/>
        <v>336366</v>
      </c>
      <c r="R211" s="161">
        <f t="shared" si="68"/>
        <v>342015</v>
      </c>
      <c r="S211" s="161">
        <f t="shared" si="68"/>
        <v>350497</v>
      </c>
      <c r="T211" s="161">
        <f t="shared" si="68"/>
        <v>348221</v>
      </c>
      <c r="U211" s="161">
        <f t="shared" si="68"/>
        <v>352359</v>
      </c>
      <c r="V211" s="161">
        <f t="shared" si="68"/>
        <v>357794</v>
      </c>
      <c r="W211" s="161">
        <f t="shared" si="68"/>
        <v>365482</v>
      </c>
      <c r="X211" s="161">
        <f t="shared" si="68"/>
        <v>375756</v>
      </c>
      <c r="Y211" s="161">
        <f t="shared" si="68"/>
        <v>388774</v>
      </c>
      <c r="Z211" s="161">
        <f t="shared" si="68"/>
        <v>391508</v>
      </c>
      <c r="AA211" s="161">
        <f t="shared" si="68"/>
        <v>399870</v>
      </c>
      <c r="AB211" s="161">
        <f t="shared" si="68"/>
        <v>407218</v>
      </c>
      <c r="AC211" s="161">
        <f t="shared" si="68"/>
        <v>402758</v>
      </c>
      <c r="AD211" s="161">
        <f t="shared" si="68"/>
        <v>395442</v>
      </c>
      <c r="AE211" s="161">
        <f t="shared" si="68"/>
        <v>388430</v>
      </c>
      <c r="AF211" s="161">
        <f t="shared" si="68"/>
        <v>379725</v>
      </c>
      <c r="AG211" s="161">
        <f t="shared" si="68"/>
        <v>378110</v>
      </c>
      <c r="AH211" s="161">
        <f t="shared" si="68"/>
        <v>390322</v>
      </c>
      <c r="AI211" s="161">
        <f t="shared" si="68"/>
        <v>394174</v>
      </c>
      <c r="AJ211" s="161">
        <f t="shared" si="68"/>
        <v>385684</v>
      </c>
      <c r="AK211" s="161">
        <f t="shared" si="68"/>
        <v>384702</v>
      </c>
      <c r="AL211" s="161">
        <f t="shared" si="68"/>
        <v>393130</v>
      </c>
      <c r="AM211" s="161">
        <f t="shared" si="68"/>
        <v>402705</v>
      </c>
      <c r="AN211" s="161">
        <f t="shared" si="68"/>
        <v>412852</v>
      </c>
      <c r="AO211" s="161">
        <f t="shared" si="68"/>
        <v>412752</v>
      </c>
      <c r="AP211" s="161">
        <f t="shared" si="68"/>
        <v>413408</v>
      </c>
      <c r="AQ211" s="161">
        <f t="shared" si="68"/>
        <v>414165</v>
      </c>
      <c r="AR211" s="161">
        <f t="shared" si="68"/>
        <v>420295</v>
      </c>
      <c r="AS211" s="161">
        <f t="shared" si="68"/>
        <v>419709</v>
      </c>
      <c r="AT211" s="161">
        <f t="shared" si="68"/>
        <v>412747</v>
      </c>
      <c r="AU211" s="161">
        <f t="shared" si="68"/>
        <v>407713</v>
      </c>
      <c r="AV211" s="161">
        <f t="shared" si="68"/>
        <v>404741</v>
      </c>
      <c r="AW211" s="161">
        <f t="shared" si="68"/>
        <v>404238</v>
      </c>
      <c r="AX211" s="161">
        <f t="shared" si="68"/>
        <v>399940</v>
      </c>
      <c r="AY211" s="161">
        <f t="shared" si="68"/>
        <v>394154</v>
      </c>
      <c r="AZ211" s="161">
        <f t="shared" si="68"/>
        <v>390780</v>
      </c>
      <c r="BA211" s="161">
        <f t="shared" si="68"/>
        <v>376569</v>
      </c>
      <c r="BB211" s="161">
        <f t="shared" si="68"/>
        <v>364980</v>
      </c>
      <c r="BC211" s="161">
        <f t="shared" si="68"/>
        <v>346294</v>
      </c>
      <c r="BD211" s="161">
        <f t="shared" si="68"/>
        <v>337530</v>
      </c>
      <c r="BE211" s="161">
        <f t="shared" si="68"/>
        <v>327597</v>
      </c>
      <c r="BF211" s="161">
        <f t="shared" si="68"/>
        <v>324363</v>
      </c>
      <c r="BG211" s="161">
        <f t="shared" si="68"/>
        <v>324045</v>
      </c>
      <c r="BH211" s="161">
        <f t="shared" si="68"/>
        <v>326521</v>
      </c>
      <c r="BI211" s="161">
        <f t="shared" si="68"/>
        <v>331389</v>
      </c>
      <c r="BJ211" s="161">
        <f t="shared" si="68"/>
        <v>338489</v>
      </c>
      <c r="BK211" s="161">
        <f t="shared" si="68"/>
        <v>350018</v>
      </c>
      <c r="BL211" s="161">
        <f t="shared" si="68"/>
        <v>353008</v>
      </c>
      <c r="BM211" s="161">
        <f t="shared" si="68"/>
        <v>330805</v>
      </c>
      <c r="BN211" s="161">
        <f t="shared" si="68"/>
        <v>326702</v>
      </c>
      <c r="BO211" s="161">
        <f t="shared" si="68"/>
        <v>314397</v>
      </c>
      <c r="BP211" s="161">
        <f t="shared" si="68"/>
        <v>308195</v>
      </c>
      <c r="BQ211" s="161">
        <f t="shared" si="68"/>
        <v>306871</v>
      </c>
      <c r="BR211" s="161">
        <f t="shared" si="67"/>
        <v>309874</v>
      </c>
      <c r="BS211" s="161">
        <f t="shared" si="67"/>
        <v>316969</v>
      </c>
      <c r="BT211" s="161">
        <f t="shared" si="67"/>
        <v>318883</v>
      </c>
      <c r="BU211" s="161">
        <f t="shared" si="67"/>
        <v>314280</v>
      </c>
      <c r="BV211" s="161">
        <f t="shared" si="67"/>
        <v>308953</v>
      </c>
      <c r="BW211" s="161">
        <f t="shared" si="67"/>
        <v>295440</v>
      </c>
      <c r="BX211" s="161">
        <f t="shared" si="67"/>
        <v>286613</v>
      </c>
      <c r="BY211" s="161">
        <f t="shared" si="67"/>
        <v>276314</v>
      </c>
      <c r="BZ211" s="161">
        <f t="shared" si="67"/>
        <v>265627</v>
      </c>
      <c r="CA211" s="161">
        <f t="shared" si="67"/>
        <v>256316</v>
      </c>
      <c r="CB211" s="161">
        <f t="shared" si="67"/>
        <v>244631</v>
      </c>
      <c r="CC211" s="161">
        <f t="shared" si="67"/>
        <v>233513</v>
      </c>
      <c r="CD211" s="161">
        <f t="shared" si="67"/>
        <v>226297</v>
      </c>
      <c r="CE211" s="161">
        <f t="shared" si="67"/>
        <v>214919</v>
      </c>
      <c r="CF211" s="161">
        <f t="shared" si="67"/>
        <v>207181</v>
      </c>
      <c r="CG211" s="161">
        <f t="shared" si="67"/>
        <v>197654</v>
      </c>
      <c r="CH211" s="161">
        <f t="shared" si="67"/>
        <v>185542</v>
      </c>
      <c r="CI211" s="161">
        <f t="shared" si="67"/>
        <v>179112</v>
      </c>
      <c r="CJ211" s="161">
        <f t="shared" si="67"/>
        <v>175259</v>
      </c>
      <c r="CK211" s="161">
        <f t="shared" si="67"/>
        <v>139052</v>
      </c>
      <c r="CL211" s="161">
        <f t="shared" si="67"/>
        <v>125077</v>
      </c>
      <c r="CM211" s="161">
        <f t="shared" si="67"/>
        <v>110396</v>
      </c>
      <c r="CN211" s="161">
        <f t="shared" si="67"/>
        <v>92252</v>
      </c>
      <c r="CO211" s="161">
        <f t="shared" si="67"/>
        <v>82785</v>
      </c>
      <c r="CP211" s="161">
        <f t="shared" si="67"/>
        <v>69550</v>
      </c>
      <c r="CQ211" s="161">
        <f t="shared" si="67"/>
        <v>59926</v>
      </c>
      <c r="CR211" s="161">
        <f t="shared" si="67"/>
        <v>50142</v>
      </c>
      <c r="CS211" s="161">
        <f t="shared" si="67"/>
        <v>40920</v>
      </c>
      <c r="CT211" s="161">
        <f t="shared" si="67"/>
        <v>32917</v>
      </c>
      <c r="CU211" s="161">
        <f t="shared" si="67"/>
        <v>25301</v>
      </c>
      <c r="CV211" s="161">
        <f t="shared" si="67"/>
        <v>18832</v>
      </c>
      <c r="CW211" s="161">
        <f t="shared" si="67"/>
        <v>13770</v>
      </c>
      <c r="CX211" s="161">
        <f t="shared" si="67"/>
        <v>10176</v>
      </c>
      <c r="CY211" s="161">
        <f t="shared" si="67"/>
        <v>7282</v>
      </c>
      <c r="CZ211" s="161">
        <f t="shared" si="67"/>
        <v>5247</v>
      </c>
      <c r="DA211" s="161">
        <f t="shared" si="67"/>
        <v>11693</v>
      </c>
      <c r="DB211" s="162">
        <f t="shared" si="63"/>
        <v>29294970</v>
      </c>
      <c r="DC211" s="163">
        <f t="shared" si="64"/>
        <v>29.294969999999999</v>
      </c>
      <c r="DD211" s="165">
        <f t="shared" si="66"/>
        <v>1.2044813853175129E-2</v>
      </c>
    </row>
    <row r="212" spans="1:108" x14ac:dyDescent="0.2">
      <c r="A212" s="159"/>
      <c r="B212" s="159"/>
      <c r="C212" s="159"/>
      <c r="D212" s="160">
        <v>2031</v>
      </c>
      <c r="E212" s="161">
        <f t="shared" si="62"/>
        <v>315010</v>
      </c>
      <c r="F212" s="161">
        <f t="shared" si="68"/>
        <v>314499</v>
      </c>
      <c r="G212" s="161">
        <f t="shared" si="68"/>
        <v>315621</v>
      </c>
      <c r="H212" s="161">
        <f t="shared" si="68"/>
        <v>317363</v>
      </c>
      <c r="I212" s="161">
        <f t="shared" si="68"/>
        <v>320000</v>
      </c>
      <c r="J212" s="161">
        <f t="shared" si="68"/>
        <v>323203</v>
      </c>
      <c r="K212" s="161">
        <f t="shared" si="68"/>
        <v>325883</v>
      </c>
      <c r="L212" s="161">
        <f t="shared" si="68"/>
        <v>327891</v>
      </c>
      <c r="M212" s="161">
        <f t="shared" si="68"/>
        <v>328737</v>
      </c>
      <c r="N212" s="161">
        <f t="shared" si="68"/>
        <v>338998</v>
      </c>
      <c r="O212" s="161">
        <f t="shared" si="68"/>
        <v>333413</v>
      </c>
      <c r="P212" s="161">
        <f t="shared" si="68"/>
        <v>331055</v>
      </c>
      <c r="Q212" s="161">
        <f t="shared" si="68"/>
        <v>337339</v>
      </c>
      <c r="R212" s="161">
        <f t="shared" si="68"/>
        <v>338773</v>
      </c>
      <c r="S212" s="161">
        <f t="shared" si="68"/>
        <v>344568</v>
      </c>
      <c r="T212" s="161">
        <f t="shared" si="68"/>
        <v>353388</v>
      </c>
      <c r="U212" s="161">
        <f t="shared" si="68"/>
        <v>351408</v>
      </c>
      <c r="V212" s="161">
        <f t="shared" si="68"/>
        <v>357035</v>
      </c>
      <c r="W212" s="161">
        <f t="shared" si="68"/>
        <v>367952</v>
      </c>
      <c r="X212" s="161">
        <f t="shared" si="68"/>
        <v>379476</v>
      </c>
      <c r="Y212" s="161">
        <f t="shared" si="68"/>
        <v>386139</v>
      </c>
      <c r="Z212" s="161">
        <f t="shared" si="68"/>
        <v>395464</v>
      </c>
      <c r="AA212" s="161">
        <f t="shared" si="68"/>
        <v>400539</v>
      </c>
      <c r="AB212" s="161">
        <f t="shared" si="68"/>
        <v>411491</v>
      </c>
      <c r="AC212" s="161">
        <f t="shared" si="68"/>
        <v>415774</v>
      </c>
      <c r="AD212" s="161">
        <f t="shared" si="68"/>
        <v>407318</v>
      </c>
      <c r="AE212" s="161">
        <f t="shared" si="68"/>
        <v>399322</v>
      </c>
      <c r="AF212" s="161">
        <f t="shared" si="68"/>
        <v>392812</v>
      </c>
      <c r="AG212" s="161">
        <f t="shared" si="68"/>
        <v>384440</v>
      </c>
      <c r="AH212" s="161">
        <f t="shared" si="68"/>
        <v>383008</v>
      </c>
      <c r="AI212" s="161">
        <f t="shared" si="68"/>
        <v>394977</v>
      </c>
      <c r="AJ212" s="161">
        <f t="shared" si="68"/>
        <v>398274</v>
      </c>
      <c r="AK212" s="161">
        <f t="shared" si="68"/>
        <v>389425</v>
      </c>
      <c r="AL212" s="161">
        <f t="shared" si="68"/>
        <v>388536</v>
      </c>
      <c r="AM212" s="161">
        <f t="shared" si="68"/>
        <v>396919</v>
      </c>
      <c r="AN212" s="161">
        <f t="shared" si="68"/>
        <v>406156</v>
      </c>
      <c r="AO212" s="161">
        <f t="shared" si="68"/>
        <v>416083</v>
      </c>
      <c r="AP212" s="161">
        <f t="shared" si="68"/>
        <v>415785</v>
      </c>
      <c r="AQ212" s="161">
        <f t="shared" si="68"/>
        <v>416114</v>
      </c>
      <c r="AR212" s="161">
        <f t="shared" si="68"/>
        <v>416626</v>
      </c>
      <c r="AS212" s="161">
        <f t="shared" si="68"/>
        <v>422587</v>
      </c>
      <c r="AT212" s="161">
        <f t="shared" si="68"/>
        <v>421708</v>
      </c>
      <c r="AU212" s="161">
        <f t="shared" si="68"/>
        <v>414399</v>
      </c>
      <c r="AV212" s="161">
        <f t="shared" si="68"/>
        <v>409043</v>
      </c>
      <c r="AW212" s="161">
        <f t="shared" si="68"/>
        <v>405840</v>
      </c>
      <c r="AX212" s="161">
        <f t="shared" si="68"/>
        <v>405201</v>
      </c>
      <c r="AY212" s="161">
        <f t="shared" si="68"/>
        <v>400759</v>
      </c>
      <c r="AZ212" s="161">
        <f t="shared" si="68"/>
        <v>394793</v>
      </c>
      <c r="BA212" s="161">
        <f t="shared" si="68"/>
        <v>391231</v>
      </c>
      <c r="BB212" s="161">
        <f t="shared" si="68"/>
        <v>376885</v>
      </c>
      <c r="BC212" s="161">
        <f t="shared" si="68"/>
        <v>365214</v>
      </c>
      <c r="BD212" s="161">
        <f t="shared" si="68"/>
        <v>346504</v>
      </c>
      <c r="BE212" s="161">
        <f t="shared" si="68"/>
        <v>337684</v>
      </c>
      <c r="BF212" s="161">
        <f t="shared" si="68"/>
        <v>327702</v>
      </c>
      <c r="BG212" s="161">
        <f t="shared" si="68"/>
        <v>324547</v>
      </c>
      <c r="BH212" s="161">
        <f t="shared" si="68"/>
        <v>324386</v>
      </c>
      <c r="BI212" s="161">
        <f t="shared" si="68"/>
        <v>326929</v>
      </c>
      <c r="BJ212" s="161">
        <f t="shared" si="68"/>
        <v>331657</v>
      </c>
      <c r="BK212" s="161">
        <f t="shared" si="68"/>
        <v>338622</v>
      </c>
      <c r="BL212" s="161">
        <f t="shared" si="68"/>
        <v>350189</v>
      </c>
      <c r="BM212" s="161">
        <f t="shared" si="68"/>
        <v>353246</v>
      </c>
      <c r="BN212" s="161">
        <f t="shared" si="68"/>
        <v>331172</v>
      </c>
      <c r="BO212" s="161">
        <f t="shared" si="68"/>
        <v>327085</v>
      </c>
      <c r="BP212" s="161">
        <f t="shared" si="68"/>
        <v>314780</v>
      </c>
      <c r="BQ212" s="161">
        <f t="shared" ref="BQ212:DA215" si="69">SUM(BQ237,BQ262)</f>
        <v>308434</v>
      </c>
      <c r="BR212" s="161">
        <f t="shared" si="69"/>
        <v>306789</v>
      </c>
      <c r="BS212" s="161">
        <f t="shared" si="69"/>
        <v>309408</v>
      </c>
      <c r="BT212" s="161">
        <f t="shared" si="69"/>
        <v>316075</v>
      </c>
      <c r="BU212" s="161">
        <f t="shared" si="69"/>
        <v>317540</v>
      </c>
      <c r="BV212" s="161">
        <f t="shared" si="69"/>
        <v>312644</v>
      </c>
      <c r="BW212" s="161">
        <f t="shared" si="69"/>
        <v>307028</v>
      </c>
      <c r="BX212" s="161">
        <f t="shared" si="69"/>
        <v>293199</v>
      </c>
      <c r="BY212" s="161">
        <f t="shared" si="69"/>
        <v>284069</v>
      </c>
      <c r="BZ212" s="161">
        <f t="shared" si="69"/>
        <v>273441</v>
      </c>
      <c r="CA212" s="161">
        <f t="shared" si="69"/>
        <v>262264</v>
      </c>
      <c r="CB212" s="161">
        <f t="shared" si="69"/>
        <v>252593</v>
      </c>
      <c r="CC212" s="161">
        <f t="shared" si="69"/>
        <v>240631</v>
      </c>
      <c r="CD212" s="161">
        <f t="shared" si="69"/>
        <v>229097</v>
      </c>
      <c r="CE212" s="161">
        <f t="shared" si="69"/>
        <v>221348</v>
      </c>
      <c r="CF212" s="161">
        <f t="shared" si="69"/>
        <v>209499</v>
      </c>
      <c r="CG212" s="161">
        <f t="shared" si="69"/>
        <v>201170</v>
      </c>
      <c r="CH212" s="161">
        <f t="shared" si="69"/>
        <v>191081</v>
      </c>
      <c r="CI212" s="161">
        <f t="shared" si="69"/>
        <v>178476</v>
      </c>
      <c r="CJ212" s="161">
        <f t="shared" si="69"/>
        <v>171242</v>
      </c>
      <c r="CK212" s="161">
        <f t="shared" si="69"/>
        <v>166438</v>
      </c>
      <c r="CL212" s="161">
        <f t="shared" si="69"/>
        <v>131087</v>
      </c>
      <c r="CM212" s="161">
        <f t="shared" si="69"/>
        <v>116897</v>
      </c>
      <c r="CN212" s="161">
        <f t="shared" si="69"/>
        <v>102055</v>
      </c>
      <c r="CO212" s="161">
        <f t="shared" si="69"/>
        <v>84210</v>
      </c>
      <c r="CP212" s="161">
        <f t="shared" si="69"/>
        <v>74610</v>
      </c>
      <c r="CQ212" s="161">
        <f t="shared" si="69"/>
        <v>61701</v>
      </c>
      <c r="CR212" s="161">
        <f t="shared" si="69"/>
        <v>52182</v>
      </c>
      <c r="CS212" s="161">
        <f t="shared" si="69"/>
        <v>42978</v>
      </c>
      <c r="CT212" s="161">
        <f t="shared" si="69"/>
        <v>34356</v>
      </c>
      <c r="CU212" s="161">
        <f t="shared" si="69"/>
        <v>26882</v>
      </c>
      <c r="CV212" s="161">
        <f t="shared" si="69"/>
        <v>20052</v>
      </c>
      <c r="CW212" s="161">
        <f t="shared" si="69"/>
        <v>14530</v>
      </c>
      <c r="CX212" s="161">
        <f t="shared" si="69"/>
        <v>10401</v>
      </c>
      <c r="CY212" s="161">
        <f t="shared" si="69"/>
        <v>7463</v>
      </c>
      <c r="CZ212" s="161">
        <f t="shared" si="69"/>
        <v>5164</v>
      </c>
      <c r="DA212" s="161">
        <f t="shared" si="69"/>
        <v>12130</v>
      </c>
      <c r="DB212" s="162">
        <f t="shared" si="63"/>
        <v>29628141</v>
      </c>
      <c r="DC212" s="163">
        <f t="shared" si="64"/>
        <v>29.628140999999999</v>
      </c>
      <c r="DD212" s="165">
        <f t="shared" si="66"/>
        <v>1.1372976316412002E-2</v>
      </c>
    </row>
    <row r="213" spans="1:108" x14ac:dyDescent="0.2">
      <c r="A213" s="159"/>
      <c r="B213" s="159"/>
      <c r="C213" s="159"/>
      <c r="D213" s="160">
        <v>2032</v>
      </c>
      <c r="E213" s="161">
        <f t="shared" si="62"/>
        <v>316675</v>
      </c>
      <c r="F213" s="161">
        <f t="shared" ref="F213:BQ216" si="70">SUM(F238,F263)</f>
        <v>315991</v>
      </c>
      <c r="G213" s="161">
        <f t="shared" si="70"/>
        <v>316947</v>
      </c>
      <c r="H213" s="161">
        <f t="shared" si="70"/>
        <v>318586</v>
      </c>
      <c r="I213" s="161">
        <f t="shared" si="70"/>
        <v>320743</v>
      </c>
      <c r="J213" s="161">
        <f t="shared" si="70"/>
        <v>323570</v>
      </c>
      <c r="K213" s="161">
        <f t="shared" si="70"/>
        <v>326454</v>
      </c>
      <c r="L213" s="161">
        <f t="shared" si="70"/>
        <v>328750</v>
      </c>
      <c r="M213" s="161">
        <f t="shared" si="70"/>
        <v>330615</v>
      </c>
      <c r="N213" s="161">
        <f t="shared" si="70"/>
        <v>331371</v>
      </c>
      <c r="O213" s="161">
        <f t="shared" si="70"/>
        <v>341569</v>
      </c>
      <c r="P213" s="161">
        <f t="shared" si="70"/>
        <v>335937</v>
      </c>
      <c r="Q213" s="161">
        <f t="shared" si="70"/>
        <v>333432</v>
      </c>
      <c r="R213" s="161">
        <f t="shared" si="70"/>
        <v>339622</v>
      </c>
      <c r="S213" s="161">
        <f t="shared" si="70"/>
        <v>341197</v>
      </c>
      <c r="T213" s="161">
        <f t="shared" si="70"/>
        <v>347311</v>
      </c>
      <c r="U213" s="161">
        <f t="shared" si="70"/>
        <v>356410</v>
      </c>
      <c r="V213" s="161">
        <f t="shared" si="70"/>
        <v>355842</v>
      </c>
      <c r="W213" s="161">
        <f t="shared" si="70"/>
        <v>366674</v>
      </c>
      <c r="X213" s="161">
        <f t="shared" si="70"/>
        <v>381230</v>
      </c>
      <c r="Y213" s="161">
        <f t="shared" si="70"/>
        <v>389326</v>
      </c>
      <c r="Z213" s="161">
        <f t="shared" si="70"/>
        <v>392484</v>
      </c>
      <c r="AA213" s="161">
        <f t="shared" si="70"/>
        <v>404029</v>
      </c>
      <c r="AB213" s="161">
        <f t="shared" si="70"/>
        <v>411563</v>
      </c>
      <c r="AC213" s="161">
        <f t="shared" si="70"/>
        <v>419605</v>
      </c>
      <c r="AD213" s="161">
        <f t="shared" si="70"/>
        <v>420090</v>
      </c>
      <c r="AE213" s="161">
        <f t="shared" si="70"/>
        <v>410988</v>
      </c>
      <c r="AF213" s="161">
        <f t="shared" si="70"/>
        <v>403470</v>
      </c>
      <c r="AG213" s="161">
        <f t="shared" si="70"/>
        <v>397275</v>
      </c>
      <c r="AH213" s="161">
        <f t="shared" si="70"/>
        <v>389079</v>
      </c>
      <c r="AI213" s="161">
        <f t="shared" si="70"/>
        <v>387422</v>
      </c>
      <c r="AJ213" s="161">
        <f t="shared" si="70"/>
        <v>398859</v>
      </c>
      <c r="AK213" s="161">
        <f t="shared" si="70"/>
        <v>401809</v>
      </c>
      <c r="AL213" s="161">
        <f t="shared" si="70"/>
        <v>393051</v>
      </c>
      <c r="AM213" s="161">
        <f t="shared" si="70"/>
        <v>392125</v>
      </c>
      <c r="AN213" s="161">
        <f t="shared" si="70"/>
        <v>400188</v>
      </c>
      <c r="AO213" s="161">
        <f t="shared" si="70"/>
        <v>409215</v>
      </c>
      <c r="AP213" s="161">
        <f t="shared" si="70"/>
        <v>418945</v>
      </c>
      <c r="AQ213" s="161">
        <f t="shared" si="70"/>
        <v>418341</v>
      </c>
      <c r="AR213" s="161">
        <f t="shared" si="70"/>
        <v>418435</v>
      </c>
      <c r="AS213" s="161">
        <f t="shared" si="70"/>
        <v>418789</v>
      </c>
      <c r="AT213" s="161">
        <f t="shared" si="70"/>
        <v>424464</v>
      </c>
      <c r="AU213" s="161">
        <f t="shared" si="70"/>
        <v>423249</v>
      </c>
      <c r="AV213" s="161">
        <f t="shared" si="70"/>
        <v>415634</v>
      </c>
      <c r="AW213" s="161">
        <f t="shared" si="70"/>
        <v>410058</v>
      </c>
      <c r="AX213" s="161">
        <f t="shared" si="70"/>
        <v>406725</v>
      </c>
      <c r="AY213" s="161">
        <f t="shared" si="70"/>
        <v>405947</v>
      </c>
      <c r="AZ213" s="161">
        <f t="shared" si="70"/>
        <v>401329</v>
      </c>
      <c r="BA213" s="161">
        <f t="shared" si="70"/>
        <v>395183</v>
      </c>
      <c r="BB213" s="161">
        <f t="shared" si="70"/>
        <v>391473</v>
      </c>
      <c r="BC213" s="161">
        <f t="shared" si="70"/>
        <v>377047</v>
      </c>
      <c r="BD213" s="161">
        <f t="shared" si="70"/>
        <v>365339</v>
      </c>
      <c r="BE213" s="161">
        <f t="shared" si="70"/>
        <v>346590</v>
      </c>
      <c r="BF213" s="161">
        <f t="shared" si="70"/>
        <v>337719</v>
      </c>
      <c r="BG213" s="161">
        <f t="shared" si="70"/>
        <v>327828</v>
      </c>
      <c r="BH213" s="161">
        <f t="shared" si="70"/>
        <v>324826</v>
      </c>
      <c r="BI213" s="161">
        <f t="shared" si="70"/>
        <v>324734</v>
      </c>
      <c r="BJ213" s="161">
        <f t="shared" si="70"/>
        <v>327144</v>
      </c>
      <c r="BK213" s="161">
        <f t="shared" si="70"/>
        <v>331747</v>
      </c>
      <c r="BL213" s="161">
        <f t="shared" si="70"/>
        <v>338760</v>
      </c>
      <c r="BM213" s="161">
        <f t="shared" si="70"/>
        <v>350358</v>
      </c>
      <c r="BN213" s="161">
        <f t="shared" si="70"/>
        <v>353417</v>
      </c>
      <c r="BO213" s="161">
        <f t="shared" si="70"/>
        <v>331437</v>
      </c>
      <c r="BP213" s="161">
        <f t="shared" si="70"/>
        <v>327295</v>
      </c>
      <c r="BQ213" s="161">
        <f t="shared" si="70"/>
        <v>314883</v>
      </c>
      <c r="BR213" s="161">
        <f t="shared" si="69"/>
        <v>308250</v>
      </c>
      <c r="BS213" s="161">
        <f t="shared" si="69"/>
        <v>306266</v>
      </c>
      <c r="BT213" s="161">
        <f t="shared" si="69"/>
        <v>308503</v>
      </c>
      <c r="BU213" s="161">
        <f t="shared" si="69"/>
        <v>314700</v>
      </c>
      <c r="BV213" s="161">
        <f t="shared" si="69"/>
        <v>315821</v>
      </c>
      <c r="BW213" s="161">
        <f t="shared" si="69"/>
        <v>310636</v>
      </c>
      <c r="BX213" s="161">
        <f t="shared" si="69"/>
        <v>304618</v>
      </c>
      <c r="BY213" s="161">
        <f t="shared" si="69"/>
        <v>290545</v>
      </c>
      <c r="BZ213" s="161">
        <f t="shared" si="69"/>
        <v>281068</v>
      </c>
      <c r="CA213" s="161">
        <f t="shared" si="69"/>
        <v>269948</v>
      </c>
      <c r="CB213" s="161">
        <f t="shared" si="69"/>
        <v>258439</v>
      </c>
      <c r="CC213" s="161">
        <f t="shared" si="69"/>
        <v>248441</v>
      </c>
      <c r="CD213" s="161">
        <f t="shared" si="69"/>
        <v>236069</v>
      </c>
      <c r="CE213" s="161">
        <f t="shared" si="69"/>
        <v>224095</v>
      </c>
      <c r="CF213" s="161">
        <f t="shared" si="69"/>
        <v>215769</v>
      </c>
      <c r="CG213" s="161">
        <f t="shared" si="69"/>
        <v>203438</v>
      </c>
      <c r="CH213" s="161">
        <f t="shared" si="69"/>
        <v>194498</v>
      </c>
      <c r="CI213" s="161">
        <f t="shared" si="69"/>
        <v>183832</v>
      </c>
      <c r="CJ213" s="161">
        <f t="shared" si="69"/>
        <v>170676</v>
      </c>
      <c r="CK213" s="161">
        <f t="shared" si="69"/>
        <v>162661</v>
      </c>
      <c r="CL213" s="161">
        <f t="shared" si="69"/>
        <v>156930</v>
      </c>
      <c r="CM213" s="161">
        <f t="shared" si="69"/>
        <v>122537</v>
      </c>
      <c r="CN213" s="161">
        <f t="shared" si="69"/>
        <v>108097</v>
      </c>
      <c r="CO213" s="161">
        <f t="shared" si="69"/>
        <v>93185</v>
      </c>
      <c r="CP213" s="161">
        <f t="shared" si="69"/>
        <v>75930</v>
      </c>
      <c r="CQ213" s="161">
        <f t="shared" si="69"/>
        <v>66211</v>
      </c>
      <c r="CR213" s="161">
        <f t="shared" si="69"/>
        <v>53755</v>
      </c>
      <c r="CS213" s="161">
        <f t="shared" si="69"/>
        <v>44744</v>
      </c>
      <c r="CT213" s="161">
        <f t="shared" si="69"/>
        <v>36105</v>
      </c>
      <c r="CU213" s="161">
        <f t="shared" si="69"/>
        <v>28073</v>
      </c>
      <c r="CV213" s="161">
        <f t="shared" si="69"/>
        <v>21315</v>
      </c>
      <c r="CW213" s="161">
        <f t="shared" si="69"/>
        <v>15475</v>
      </c>
      <c r="CX213" s="161">
        <f t="shared" si="69"/>
        <v>10979</v>
      </c>
      <c r="CY213" s="161">
        <f t="shared" si="69"/>
        <v>7631</v>
      </c>
      <c r="CZ213" s="161">
        <f t="shared" si="69"/>
        <v>5293</v>
      </c>
      <c r="DA213" s="161">
        <f t="shared" si="69"/>
        <v>12406</v>
      </c>
      <c r="DB213" s="162">
        <f t="shared" si="63"/>
        <v>29944139</v>
      </c>
      <c r="DC213" s="163">
        <f t="shared" si="64"/>
        <v>29.944139</v>
      </c>
      <c r="DD213" s="165">
        <f t="shared" si="66"/>
        <v>1.0665468346461577E-2</v>
      </c>
    </row>
    <row r="214" spans="1:108" x14ac:dyDescent="0.2">
      <c r="A214" s="159"/>
      <c r="B214" s="159"/>
      <c r="C214" s="159"/>
      <c r="D214" s="160">
        <v>2033</v>
      </c>
      <c r="E214" s="161">
        <f t="shared" si="62"/>
        <v>318588</v>
      </c>
      <c r="F214" s="161">
        <f t="shared" si="70"/>
        <v>317656</v>
      </c>
      <c r="G214" s="161">
        <f t="shared" si="70"/>
        <v>318439</v>
      </c>
      <c r="H214" s="161">
        <f t="shared" si="70"/>
        <v>319912</v>
      </c>
      <c r="I214" s="161">
        <f t="shared" si="70"/>
        <v>321966</v>
      </c>
      <c r="J214" s="161">
        <f t="shared" si="70"/>
        <v>324313</v>
      </c>
      <c r="K214" s="161">
        <f t="shared" si="70"/>
        <v>326821</v>
      </c>
      <c r="L214" s="161">
        <f t="shared" si="70"/>
        <v>329321</v>
      </c>
      <c r="M214" s="161">
        <f t="shared" si="70"/>
        <v>331474</v>
      </c>
      <c r="N214" s="161">
        <f t="shared" si="70"/>
        <v>333248</v>
      </c>
      <c r="O214" s="161">
        <f t="shared" si="70"/>
        <v>333942</v>
      </c>
      <c r="P214" s="161">
        <f t="shared" si="70"/>
        <v>344093</v>
      </c>
      <c r="Q214" s="161">
        <f t="shared" si="70"/>
        <v>338314</v>
      </c>
      <c r="R214" s="161">
        <f t="shared" si="70"/>
        <v>335715</v>
      </c>
      <c r="S214" s="161">
        <f t="shared" si="70"/>
        <v>342046</v>
      </c>
      <c r="T214" s="161">
        <f t="shared" si="70"/>
        <v>343941</v>
      </c>
      <c r="U214" s="161">
        <f t="shared" si="70"/>
        <v>350333</v>
      </c>
      <c r="V214" s="161">
        <f t="shared" si="70"/>
        <v>360844</v>
      </c>
      <c r="W214" s="161">
        <f t="shared" si="70"/>
        <v>365483</v>
      </c>
      <c r="X214" s="161">
        <f t="shared" si="70"/>
        <v>379956</v>
      </c>
      <c r="Y214" s="161">
        <f t="shared" si="70"/>
        <v>391078</v>
      </c>
      <c r="Z214" s="161">
        <f t="shared" si="70"/>
        <v>395670</v>
      </c>
      <c r="AA214" s="161">
        <f t="shared" si="70"/>
        <v>401057</v>
      </c>
      <c r="AB214" s="161">
        <f t="shared" si="70"/>
        <v>415053</v>
      </c>
      <c r="AC214" s="161">
        <f t="shared" si="70"/>
        <v>419681</v>
      </c>
      <c r="AD214" s="161">
        <f t="shared" si="70"/>
        <v>423919</v>
      </c>
      <c r="AE214" s="161">
        <f t="shared" si="70"/>
        <v>423756</v>
      </c>
      <c r="AF214" s="161">
        <f t="shared" si="70"/>
        <v>415131</v>
      </c>
      <c r="AG214" s="161">
        <f t="shared" si="70"/>
        <v>407929</v>
      </c>
      <c r="AH214" s="161">
        <f t="shared" si="70"/>
        <v>401907</v>
      </c>
      <c r="AI214" s="161">
        <f t="shared" si="70"/>
        <v>393492</v>
      </c>
      <c r="AJ214" s="161">
        <f t="shared" si="70"/>
        <v>391309</v>
      </c>
      <c r="AK214" s="161">
        <f t="shared" si="70"/>
        <v>402398</v>
      </c>
      <c r="AL214" s="161">
        <f t="shared" si="70"/>
        <v>405428</v>
      </c>
      <c r="AM214" s="161">
        <f t="shared" si="70"/>
        <v>396637</v>
      </c>
      <c r="AN214" s="161">
        <f t="shared" si="70"/>
        <v>395399</v>
      </c>
      <c r="AO214" s="161">
        <f t="shared" si="70"/>
        <v>403251</v>
      </c>
      <c r="AP214" s="161">
        <f t="shared" si="70"/>
        <v>412079</v>
      </c>
      <c r="AQ214" s="161">
        <f t="shared" si="70"/>
        <v>421501</v>
      </c>
      <c r="AR214" s="161">
        <f t="shared" si="70"/>
        <v>420660</v>
      </c>
      <c r="AS214" s="161">
        <f t="shared" si="70"/>
        <v>420598</v>
      </c>
      <c r="AT214" s="161">
        <f t="shared" si="70"/>
        <v>420674</v>
      </c>
      <c r="AU214" s="161">
        <f t="shared" si="70"/>
        <v>426003</v>
      </c>
      <c r="AV214" s="161">
        <f t="shared" si="70"/>
        <v>424476</v>
      </c>
      <c r="AW214" s="161">
        <f t="shared" si="70"/>
        <v>416643</v>
      </c>
      <c r="AX214" s="161">
        <f t="shared" si="70"/>
        <v>410940</v>
      </c>
      <c r="AY214" s="161">
        <f t="shared" si="70"/>
        <v>407471</v>
      </c>
      <c r="AZ214" s="161">
        <f t="shared" si="70"/>
        <v>406508</v>
      </c>
      <c r="BA214" s="161">
        <f t="shared" si="70"/>
        <v>401708</v>
      </c>
      <c r="BB214" s="161">
        <f t="shared" si="70"/>
        <v>395419</v>
      </c>
      <c r="BC214" s="161">
        <f t="shared" si="70"/>
        <v>391610</v>
      </c>
      <c r="BD214" s="161">
        <f t="shared" si="70"/>
        <v>377153</v>
      </c>
      <c r="BE214" s="161">
        <f t="shared" si="70"/>
        <v>365387</v>
      </c>
      <c r="BF214" s="161">
        <f t="shared" si="70"/>
        <v>346605</v>
      </c>
      <c r="BG214" s="161">
        <f t="shared" si="70"/>
        <v>337821</v>
      </c>
      <c r="BH214" s="161">
        <f t="shared" si="70"/>
        <v>328102</v>
      </c>
      <c r="BI214" s="161">
        <f t="shared" si="70"/>
        <v>325179</v>
      </c>
      <c r="BJ214" s="161">
        <f t="shared" si="70"/>
        <v>324960</v>
      </c>
      <c r="BK214" s="161">
        <f t="shared" si="70"/>
        <v>327252</v>
      </c>
      <c r="BL214" s="161">
        <f t="shared" si="70"/>
        <v>331921</v>
      </c>
      <c r="BM214" s="161">
        <f t="shared" si="70"/>
        <v>338979</v>
      </c>
      <c r="BN214" s="161">
        <f t="shared" si="70"/>
        <v>350549</v>
      </c>
      <c r="BO214" s="161">
        <f t="shared" si="70"/>
        <v>353575</v>
      </c>
      <c r="BP214" s="161">
        <f t="shared" si="70"/>
        <v>331632</v>
      </c>
      <c r="BQ214" s="161">
        <f t="shared" si="70"/>
        <v>327329</v>
      </c>
      <c r="BR214" s="161">
        <f t="shared" si="69"/>
        <v>314666</v>
      </c>
      <c r="BS214" s="161">
        <f t="shared" si="69"/>
        <v>307727</v>
      </c>
      <c r="BT214" s="161">
        <f t="shared" si="69"/>
        <v>305393</v>
      </c>
      <c r="BU214" s="161">
        <f t="shared" si="69"/>
        <v>307205</v>
      </c>
      <c r="BV214" s="161">
        <f t="shared" si="69"/>
        <v>313018</v>
      </c>
      <c r="BW214" s="161">
        <f t="shared" si="69"/>
        <v>313793</v>
      </c>
      <c r="BX214" s="161">
        <f t="shared" si="69"/>
        <v>308202</v>
      </c>
      <c r="BY214" s="161">
        <f t="shared" si="69"/>
        <v>301841</v>
      </c>
      <c r="BZ214" s="161">
        <f t="shared" si="69"/>
        <v>287477</v>
      </c>
      <c r="CA214" s="161">
        <f t="shared" si="69"/>
        <v>277476</v>
      </c>
      <c r="CB214" s="161">
        <f t="shared" si="69"/>
        <v>266019</v>
      </c>
      <c r="CC214" s="161">
        <f t="shared" si="69"/>
        <v>254206</v>
      </c>
      <c r="CD214" s="161">
        <f t="shared" si="69"/>
        <v>243738</v>
      </c>
      <c r="CE214" s="161">
        <f t="shared" si="69"/>
        <v>230932</v>
      </c>
      <c r="CF214" s="161">
        <f t="shared" si="69"/>
        <v>218477</v>
      </c>
      <c r="CG214" s="161">
        <f t="shared" si="69"/>
        <v>209550</v>
      </c>
      <c r="CH214" s="161">
        <f t="shared" si="69"/>
        <v>196723</v>
      </c>
      <c r="CI214" s="161">
        <f t="shared" si="69"/>
        <v>187152</v>
      </c>
      <c r="CJ214" s="161">
        <f t="shared" si="69"/>
        <v>175835</v>
      </c>
      <c r="CK214" s="161">
        <f t="shared" si="69"/>
        <v>162173</v>
      </c>
      <c r="CL214" s="161">
        <f t="shared" si="69"/>
        <v>153414</v>
      </c>
      <c r="CM214" s="161">
        <f t="shared" si="69"/>
        <v>146731</v>
      </c>
      <c r="CN214" s="161">
        <f t="shared" si="69"/>
        <v>113341</v>
      </c>
      <c r="CO214" s="161">
        <f t="shared" si="69"/>
        <v>98736</v>
      </c>
      <c r="CP214" s="161">
        <f t="shared" si="69"/>
        <v>84050</v>
      </c>
      <c r="CQ214" s="161">
        <f t="shared" si="69"/>
        <v>67423</v>
      </c>
      <c r="CR214" s="161">
        <f t="shared" si="69"/>
        <v>57709</v>
      </c>
      <c r="CS214" s="161">
        <f t="shared" si="69"/>
        <v>46120</v>
      </c>
      <c r="CT214" s="161">
        <f t="shared" si="69"/>
        <v>37603</v>
      </c>
      <c r="CU214" s="161">
        <f t="shared" si="69"/>
        <v>29519</v>
      </c>
      <c r="CV214" s="161">
        <f t="shared" si="69"/>
        <v>22269</v>
      </c>
      <c r="CW214" s="161">
        <f t="shared" si="69"/>
        <v>16455</v>
      </c>
      <c r="CX214" s="161">
        <f t="shared" si="69"/>
        <v>11695</v>
      </c>
      <c r="CY214" s="161">
        <f t="shared" si="69"/>
        <v>8056</v>
      </c>
      <c r="CZ214" s="161">
        <f t="shared" si="69"/>
        <v>5415</v>
      </c>
      <c r="DA214" s="161">
        <f t="shared" si="69"/>
        <v>12709</v>
      </c>
      <c r="DB214" s="162">
        <f t="shared" si="63"/>
        <v>30255082</v>
      </c>
      <c r="DC214" s="163">
        <f t="shared" si="64"/>
        <v>30.255082000000002</v>
      </c>
      <c r="DD214" s="165">
        <f t="shared" si="66"/>
        <v>1.0384102211120572E-2</v>
      </c>
    </row>
    <row r="215" spans="1:108" x14ac:dyDescent="0.2">
      <c r="A215" s="159"/>
      <c r="B215" s="159"/>
      <c r="C215" s="159"/>
      <c r="D215" s="160">
        <v>2034</v>
      </c>
      <c r="E215" s="161">
        <f t="shared" si="62"/>
        <v>320860</v>
      </c>
      <c r="F215" s="161">
        <f t="shared" si="70"/>
        <v>319569</v>
      </c>
      <c r="G215" s="161">
        <f t="shared" si="70"/>
        <v>320104</v>
      </c>
      <c r="H215" s="161">
        <f t="shared" si="70"/>
        <v>321404</v>
      </c>
      <c r="I215" s="161">
        <f t="shared" si="70"/>
        <v>323292</v>
      </c>
      <c r="J215" s="161">
        <f t="shared" si="70"/>
        <v>325536</v>
      </c>
      <c r="K215" s="161">
        <f t="shared" si="70"/>
        <v>327564</v>
      </c>
      <c r="L215" s="161">
        <f t="shared" si="70"/>
        <v>329688</v>
      </c>
      <c r="M215" s="161">
        <f t="shared" si="70"/>
        <v>332045</v>
      </c>
      <c r="N215" s="161">
        <f t="shared" si="70"/>
        <v>334107</v>
      </c>
      <c r="O215" s="161">
        <f t="shared" si="70"/>
        <v>335819</v>
      </c>
      <c r="P215" s="161">
        <f t="shared" si="70"/>
        <v>336466</v>
      </c>
      <c r="Q215" s="161">
        <f t="shared" si="70"/>
        <v>346468</v>
      </c>
      <c r="R215" s="161">
        <f t="shared" si="70"/>
        <v>340597</v>
      </c>
      <c r="S215" s="161">
        <f t="shared" si="70"/>
        <v>338140</v>
      </c>
      <c r="T215" s="161">
        <f t="shared" si="70"/>
        <v>344789</v>
      </c>
      <c r="U215" s="161">
        <f t="shared" si="70"/>
        <v>346964</v>
      </c>
      <c r="V215" s="161">
        <f t="shared" si="70"/>
        <v>354768</v>
      </c>
      <c r="W215" s="161">
        <f t="shared" si="70"/>
        <v>370484</v>
      </c>
      <c r="X215" s="161">
        <f t="shared" si="70"/>
        <v>378766</v>
      </c>
      <c r="Y215" s="161">
        <f t="shared" si="70"/>
        <v>389806</v>
      </c>
      <c r="Z215" s="161">
        <f t="shared" si="70"/>
        <v>397425</v>
      </c>
      <c r="AA215" s="161">
        <f t="shared" si="70"/>
        <v>404241</v>
      </c>
      <c r="AB215" s="161">
        <f t="shared" si="70"/>
        <v>412082</v>
      </c>
      <c r="AC215" s="161">
        <f t="shared" si="70"/>
        <v>423172</v>
      </c>
      <c r="AD215" s="161">
        <f t="shared" si="70"/>
        <v>423995</v>
      </c>
      <c r="AE215" s="161">
        <f t="shared" si="70"/>
        <v>427583</v>
      </c>
      <c r="AF215" s="161">
        <f t="shared" si="70"/>
        <v>427894</v>
      </c>
      <c r="AG215" s="161">
        <f t="shared" si="70"/>
        <v>419586</v>
      </c>
      <c r="AH215" s="161">
        <f t="shared" si="70"/>
        <v>412556</v>
      </c>
      <c r="AI215" s="161">
        <f t="shared" si="70"/>
        <v>406316</v>
      </c>
      <c r="AJ215" s="161">
        <f t="shared" si="70"/>
        <v>397375</v>
      </c>
      <c r="AK215" s="161">
        <f t="shared" si="70"/>
        <v>394851</v>
      </c>
      <c r="AL215" s="161">
        <f t="shared" si="70"/>
        <v>406019</v>
      </c>
      <c r="AM215" s="161">
        <f t="shared" si="70"/>
        <v>409006</v>
      </c>
      <c r="AN215" s="161">
        <f t="shared" si="70"/>
        <v>399908</v>
      </c>
      <c r="AO215" s="161">
        <f t="shared" si="70"/>
        <v>398467</v>
      </c>
      <c r="AP215" s="161">
        <f t="shared" si="70"/>
        <v>406122</v>
      </c>
      <c r="AQ215" s="161">
        <f t="shared" si="70"/>
        <v>414640</v>
      </c>
      <c r="AR215" s="161">
        <f t="shared" si="70"/>
        <v>423817</v>
      </c>
      <c r="AS215" s="161">
        <f t="shared" si="70"/>
        <v>422821</v>
      </c>
      <c r="AT215" s="161">
        <f t="shared" si="70"/>
        <v>422481</v>
      </c>
      <c r="AU215" s="161">
        <f t="shared" si="70"/>
        <v>422221</v>
      </c>
      <c r="AV215" s="161">
        <f t="shared" si="70"/>
        <v>427228</v>
      </c>
      <c r="AW215" s="161">
        <f t="shared" si="70"/>
        <v>425476</v>
      </c>
      <c r="AX215" s="161">
        <f t="shared" si="70"/>
        <v>417519</v>
      </c>
      <c r="AY215" s="161">
        <f t="shared" si="70"/>
        <v>411681</v>
      </c>
      <c r="AZ215" s="161">
        <f t="shared" si="70"/>
        <v>408034</v>
      </c>
      <c r="BA215" s="161">
        <f t="shared" si="70"/>
        <v>406880</v>
      </c>
      <c r="BB215" s="161">
        <f t="shared" si="70"/>
        <v>401933</v>
      </c>
      <c r="BC215" s="161">
        <f t="shared" si="70"/>
        <v>395550</v>
      </c>
      <c r="BD215" s="161">
        <f t="shared" si="70"/>
        <v>391688</v>
      </c>
      <c r="BE215" s="161">
        <f t="shared" si="70"/>
        <v>377176</v>
      </c>
      <c r="BF215" s="161">
        <f t="shared" si="70"/>
        <v>365360</v>
      </c>
      <c r="BG215" s="161">
        <f t="shared" si="70"/>
        <v>346684</v>
      </c>
      <c r="BH215" s="161">
        <f t="shared" si="70"/>
        <v>338070</v>
      </c>
      <c r="BI215" s="161">
        <f t="shared" si="70"/>
        <v>328445</v>
      </c>
      <c r="BJ215" s="161">
        <f t="shared" si="70"/>
        <v>325410</v>
      </c>
      <c r="BK215" s="161">
        <f t="shared" si="70"/>
        <v>325083</v>
      </c>
      <c r="BL215" s="161">
        <f t="shared" si="70"/>
        <v>327448</v>
      </c>
      <c r="BM215" s="161">
        <f t="shared" si="70"/>
        <v>332173</v>
      </c>
      <c r="BN215" s="161">
        <f t="shared" si="70"/>
        <v>339227</v>
      </c>
      <c r="BO215" s="161">
        <f t="shared" si="70"/>
        <v>350727</v>
      </c>
      <c r="BP215" s="161">
        <f t="shared" si="70"/>
        <v>353654</v>
      </c>
      <c r="BQ215" s="161">
        <f t="shared" si="70"/>
        <v>331647</v>
      </c>
      <c r="BR215" s="161">
        <f t="shared" si="69"/>
        <v>327042</v>
      </c>
      <c r="BS215" s="161">
        <f t="shared" si="69"/>
        <v>314107</v>
      </c>
      <c r="BT215" s="161">
        <f t="shared" si="69"/>
        <v>306856</v>
      </c>
      <c r="BU215" s="161">
        <f t="shared" si="69"/>
        <v>304129</v>
      </c>
      <c r="BV215" s="161">
        <f t="shared" si="69"/>
        <v>305607</v>
      </c>
      <c r="BW215" s="161">
        <f t="shared" si="69"/>
        <v>311032</v>
      </c>
      <c r="BX215" s="161">
        <f t="shared" si="69"/>
        <v>311341</v>
      </c>
      <c r="BY215" s="161">
        <f t="shared" si="69"/>
        <v>305395</v>
      </c>
      <c r="BZ215" s="161">
        <f t="shared" si="69"/>
        <v>298642</v>
      </c>
      <c r="CA215" s="161">
        <f t="shared" si="69"/>
        <v>283814</v>
      </c>
      <c r="CB215" s="161">
        <f t="shared" si="69"/>
        <v>273440</v>
      </c>
      <c r="CC215" s="161">
        <f t="shared" si="69"/>
        <v>261674</v>
      </c>
      <c r="CD215" s="161">
        <f t="shared" si="69"/>
        <v>249412</v>
      </c>
      <c r="CE215" s="161">
        <f t="shared" si="69"/>
        <v>238441</v>
      </c>
      <c r="CF215" s="161">
        <f t="shared" si="69"/>
        <v>225167</v>
      </c>
      <c r="CG215" s="161">
        <f t="shared" si="69"/>
        <v>212215</v>
      </c>
      <c r="CH215" s="161">
        <f t="shared" si="69"/>
        <v>202666</v>
      </c>
      <c r="CI215" s="161">
        <f t="shared" si="69"/>
        <v>189331</v>
      </c>
      <c r="CJ215" s="161">
        <f t="shared" si="69"/>
        <v>179047</v>
      </c>
      <c r="CK215" s="161">
        <f t="shared" si="69"/>
        <v>167117</v>
      </c>
      <c r="CL215" s="161">
        <f t="shared" si="69"/>
        <v>153002</v>
      </c>
      <c r="CM215" s="161">
        <f t="shared" si="69"/>
        <v>143486</v>
      </c>
      <c r="CN215" s="161">
        <f t="shared" si="69"/>
        <v>135762</v>
      </c>
      <c r="CO215" s="161">
        <f t="shared" si="69"/>
        <v>103554</v>
      </c>
      <c r="CP215" s="161">
        <f t="shared" si="69"/>
        <v>89094</v>
      </c>
      <c r="CQ215" s="161">
        <f t="shared" si="69"/>
        <v>74663</v>
      </c>
      <c r="CR215" s="161">
        <f t="shared" si="69"/>
        <v>58805</v>
      </c>
      <c r="CS215" s="161">
        <f t="shared" si="69"/>
        <v>49534</v>
      </c>
      <c r="CT215" s="161">
        <f t="shared" si="69"/>
        <v>38782</v>
      </c>
      <c r="CU215" s="161">
        <f t="shared" si="69"/>
        <v>30755</v>
      </c>
      <c r="CV215" s="161">
        <f t="shared" si="69"/>
        <v>23428</v>
      </c>
      <c r="CW215" s="161">
        <f t="shared" si="69"/>
        <v>17197</v>
      </c>
      <c r="CX215" s="161">
        <f t="shared" si="69"/>
        <v>12439</v>
      </c>
      <c r="CY215" s="161">
        <f t="shared" si="69"/>
        <v>8586</v>
      </c>
      <c r="CZ215" s="161">
        <f t="shared" si="69"/>
        <v>5717</v>
      </c>
      <c r="DA215" s="161">
        <f t="shared" si="69"/>
        <v>13028</v>
      </c>
      <c r="DB215" s="162">
        <f t="shared" si="63"/>
        <v>30561214</v>
      </c>
      <c r="DC215" s="163">
        <f t="shared" si="64"/>
        <v>30.561214</v>
      </c>
      <c r="DD215" s="165">
        <f t="shared" si="66"/>
        <v>1.0118366230175745E-2</v>
      </c>
    </row>
    <row r="216" spans="1:108" x14ac:dyDescent="0.2">
      <c r="A216" s="159"/>
      <c r="B216" s="159"/>
      <c r="C216" s="159"/>
      <c r="D216" s="160">
        <v>2035</v>
      </c>
      <c r="E216" s="161">
        <f t="shared" si="62"/>
        <v>323484</v>
      </c>
      <c r="F216" s="161">
        <f t="shared" si="70"/>
        <v>321841</v>
      </c>
      <c r="G216" s="161">
        <f t="shared" si="70"/>
        <v>322019</v>
      </c>
      <c r="H216" s="161">
        <f t="shared" si="70"/>
        <v>323071</v>
      </c>
      <c r="I216" s="161">
        <f t="shared" si="70"/>
        <v>324784</v>
      </c>
      <c r="J216" s="161">
        <f t="shared" si="70"/>
        <v>326862</v>
      </c>
      <c r="K216" s="161">
        <f t="shared" si="70"/>
        <v>328787</v>
      </c>
      <c r="L216" s="161">
        <f t="shared" si="70"/>
        <v>330431</v>
      </c>
      <c r="M216" s="161">
        <f t="shared" si="70"/>
        <v>332412</v>
      </c>
      <c r="N216" s="161">
        <f t="shared" si="70"/>
        <v>334678</v>
      </c>
      <c r="O216" s="161">
        <f t="shared" si="70"/>
        <v>336678</v>
      </c>
      <c r="P216" s="161">
        <f t="shared" si="70"/>
        <v>338343</v>
      </c>
      <c r="Q216" s="161">
        <f t="shared" si="70"/>
        <v>338843</v>
      </c>
      <c r="R216" s="161">
        <f t="shared" si="70"/>
        <v>348750</v>
      </c>
      <c r="S216" s="161">
        <f t="shared" si="70"/>
        <v>343021</v>
      </c>
      <c r="T216" s="161">
        <f t="shared" si="70"/>
        <v>340882</v>
      </c>
      <c r="U216" s="161">
        <f t="shared" si="70"/>
        <v>347813</v>
      </c>
      <c r="V216" s="161">
        <f t="shared" si="70"/>
        <v>351400</v>
      </c>
      <c r="W216" s="161">
        <f t="shared" si="70"/>
        <v>364409</v>
      </c>
      <c r="X216" s="161">
        <f t="shared" si="70"/>
        <v>383767</v>
      </c>
      <c r="Y216" s="161">
        <f t="shared" si="70"/>
        <v>388616</v>
      </c>
      <c r="Z216" s="161">
        <f t="shared" si="70"/>
        <v>396153</v>
      </c>
      <c r="AA216" s="161">
        <f t="shared" si="70"/>
        <v>405995</v>
      </c>
      <c r="AB216" s="161">
        <f t="shared" si="70"/>
        <v>415265</v>
      </c>
      <c r="AC216" s="161">
        <f t="shared" si="70"/>
        <v>420203</v>
      </c>
      <c r="AD216" s="161">
        <f t="shared" si="70"/>
        <v>427487</v>
      </c>
      <c r="AE216" s="161">
        <f t="shared" si="70"/>
        <v>427660</v>
      </c>
      <c r="AF216" s="161">
        <f t="shared" si="70"/>
        <v>431723</v>
      </c>
      <c r="AG216" s="161">
        <f t="shared" si="70"/>
        <v>432344</v>
      </c>
      <c r="AH216" s="161">
        <f t="shared" si="70"/>
        <v>424214</v>
      </c>
      <c r="AI216" s="161">
        <f t="shared" si="70"/>
        <v>416960</v>
      </c>
      <c r="AJ216" s="161">
        <f t="shared" si="70"/>
        <v>410193</v>
      </c>
      <c r="AK216" s="161">
        <f t="shared" si="70"/>
        <v>400914</v>
      </c>
      <c r="AL216" s="161">
        <f t="shared" si="70"/>
        <v>398476</v>
      </c>
      <c r="AM216" s="161">
        <f t="shared" si="70"/>
        <v>409598</v>
      </c>
      <c r="AN216" s="161">
        <f t="shared" si="70"/>
        <v>412271</v>
      </c>
      <c r="AO216" s="161">
        <f t="shared" si="70"/>
        <v>402973</v>
      </c>
      <c r="AP216" s="161">
        <f t="shared" si="70"/>
        <v>401341</v>
      </c>
      <c r="AQ216" s="161">
        <f t="shared" si="70"/>
        <v>408690</v>
      </c>
      <c r="AR216" s="161">
        <f t="shared" si="70"/>
        <v>416963</v>
      </c>
      <c r="AS216" s="161">
        <f t="shared" si="70"/>
        <v>425974</v>
      </c>
      <c r="AT216" s="161">
        <f t="shared" si="70"/>
        <v>424701</v>
      </c>
      <c r="AU216" s="161">
        <f t="shared" si="70"/>
        <v>424026</v>
      </c>
      <c r="AV216" s="161">
        <f t="shared" si="70"/>
        <v>423452</v>
      </c>
      <c r="AW216" s="161">
        <f t="shared" si="70"/>
        <v>428225</v>
      </c>
      <c r="AX216" s="161">
        <f t="shared" si="70"/>
        <v>426340</v>
      </c>
      <c r="AY216" s="161">
        <f t="shared" si="70"/>
        <v>418255</v>
      </c>
      <c r="AZ216" s="161">
        <f t="shared" si="70"/>
        <v>412240</v>
      </c>
      <c r="BA216" s="161">
        <f t="shared" si="70"/>
        <v>408406</v>
      </c>
      <c r="BB216" s="161">
        <f t="shared" si="70"/>
        <v>407101</v>
      </c>
      <c r="BC216" s="161">
        <f t="shared" si="70"/>
        <v>402053</v>
      </c>
      <c r="BD216" s="161">
        <f t="shared" si="70"/>
        <v>395624</v>
      </c>
      <c r="BE216" s="161">
        <f t="shared" si="70"/>
        <v>391682</v>
      </c>
      <c r="BF216" s="161">
        <f t="shared" si="70"/>
        <v>377119</v>
      </c>
      <c r="BG216" s="161">
        <f t="shared" si="70"/>
        <v>365391</v>
      </c>
      <c r="BH216" s="161">
        <f t="shared" si="70"/>
        <v>346909</v>
      </c>
      <c r="BI216" s="161">
        <f t="shared" si="70"/>
        <v>338390</v>
      </c>
      <c r="BJ216" s="161">
        <f t="shared" si="70"/>
        <v>328668</v>
      </c>
      <c r="BK216" s="161">
        <f t="shared" si="70"/>
        <v>325537</v>
      </c>
      <c r="BL216" s="161">
        <f t="shared" si="70"/>
        <v>325289</v>
      </c>
      <c r="BM216" s="161">
        <f t="shared" si="70"/>
        <v>327731</v>
      </c>
      <c r="BN216" s="161">
        <f t="shared" si="70"/>
        <v>332455</v>
      </c>
      <c r="BO216" s="161">
        <f t="shared" si="70"/>
        <v>339465</v>
      </c>
      <c r="BP216" s="161">
        <f t="shared" si="70"/>
        <v>350832</v>
      </c>
      <c r="BQ216" s="161">
        <f t="shared" ref="BQ216:DA219" si="71">SUM(BQ241,BQ266)</f>
        <v>353545</v>
      </c>
      <c r="BR216" s="161">
        <f t="shared" si="71"/>
        <v>331338</v>
      </c>
      <c r="BS216" s="161">
        <f t="shared" si="71"/>
        <v>326405</v>
      </c>
      <c r="BT216" s="161">
        <f t="shared" si="71"/>
        <v>313199</v>
      </c>
      <c r="BU216" s="161">
        <f t="shared" si="71"/>
        <v>305595</v>
      </c>
      <c r="BV216" s="161">
        <f t="shared" si="71"/>
        <v>302571</v>
      </c>
      <c r="BW216" s="161">
        <f t="shared" si="71"/>
        <v>303709</v>
      </c>
      <c r="BX216" s="161">
        <f t="shared" si="71"/>
        <v>308625</v>
      </c>
      <c r="BY216" s="161">
        <f t="shared" si="71"/>
        <v>308519</v>
      </c>
      <c r="BZ216" s="161">
        <f t="shared" si="71"/>
        <v>302162</v>
      </c>
      <c r="CA216" s="161">
        <f t="shared" si="71"/>
        <v>294827</v>
      </c>
      <c r="CB216" s="161">
        <f t="shared" si="71"/>
        <v>279696</v>
      </c>
      <c r="CC216" s="161">
        <f t="shared" si="71"/>
        <v>268982</v>
      </c>
      <c r="CD216" s="161">
        <f t="shared" si="71"/>
        <v>256756</v>
      </c>
      <c r="CE216" s="161">
        <f t="shared" si="71"/>
        <v>244017</v>
      </c>
      <c r="CF216" s="161">
        <f t="shared" si="71"/>
        <v>232499</v>
      </c>
      <c r="CG216" s="161">
        <f t="shared" si="71"/>
        <v>218738</v>
      </c>
      <c r="CH216" s="161">
        <f t="shared" si="71"/>
        <v>205282</v>
      </c>
      <c r="CI216" s="161">
        <f t="shared" si="71"/>
        <v>195085</v>
      </c>
      <c r="CJ216" s="161">
        <f t="shared" si="71"/>
        <v>181173</v>
      </c>
      <c r="CK216" s="161">
        <f t="shared" si="71"/>
        <v>170205</v>
      </c>
      <c r="CL216" s="161">
        <f t="shared" si="71"/>
        <v>157708</v>
      </c>
      <c r="CM216" s="161">
        <f t="shared" si="71"/>
        <v>143151</v>
      </c>
      <c r="CN216" s="161">
        <f t="shared" si="71"/>
        <v>132804</v>
      </c>
      <c r="CO216" s="161">
        <f t="shared" si="71"/>
        <v>124087</v>
      </c>
      <c r="CP216" s="161">
        <f t="shared" si="71"/>
        <v>93473</v>
      </c>
      <c r="CQ216" s="161">
        <f t="shared" si="71"/>
        <v>79181</v>
      </c>
      <c r="CR216" s="161">
        <f t="shared" si="71"/>
        <v>65151</v>
      </c>
      <c r="CS216" s="161">
        <f t="shared" si="71"/>
        <v>50511</v>
      </c>
      <c r="CT216" s="161">
        <f t="shared" si="71"/>
        <v>41674</v>
      </c>
      <c r="CU216" s="161">
        <f t="shared" si="71"/>
        <v>31738</v>
      </c>
      <c r="CV216" s="161">
        <f t="shared" si="71"/>
        <v>24416</v>
      </c>
      <c r="CW216" s="161">
        <f t="shared" si="71"/>
        <v>18098</v>
      </c>
      <c r="CX216" s="161">
        <f t="shared" si="71"/>
        <v>13005</v>
      </c>
      <c r="CY216" s="161">
        <f t="shared" si="71"/>
        <v>9134</v>
      </c>
      <c r="CZ216" s="161">
        <f t="shared" si="71"/>
        <v>6095</v>
      </c>
      <c r="DA216" s="161">
        <f t="shared" si="71"/>
        <v>13482</v>
      </c>
      <c r="DB216" s="162">
        <f t="shared" si="63"/>
        <v>30862815</v>
      </c>
      <c r="DC216" s="163">
        <f t="shared" si="64"/>
        <v>30.862815000000001</v>
      </c>
      <c r="DD216" s="165">
        <f t="shared" si="66"/>
        <v>9.8687506327465122E-3</v>
      </c>
    </row>
    <row r="217" spans="1:108" x14ac:dyDescent="0.2">
      <c r="A217" s="159"/>
      <c r="B217" s="159"/>
      <c r="C217" s="159"/>
      <c r="D217" s="160">
        <v>2036</v>
      </c>
      <c r="E217" s="161">
        <f t="shared" si="62"/>
        <v>326396</v>
      </c>
      <c r="F217" s="161">
        <f t="shared" ref="F217:BQ220" si="72">SUM(F242,F267)</f>
        <v>324463</v>
      </c>
      <c r="G217" s="161">
        <f t="shared" si="72"/>
        <v>324291</v>
      </c>
      <c r="H217" s="161">
        <f t="shared" si="72"/>
        <v>324985</v>
      </c>
      <c r="I217" s="161">
        <f t="shared" si="72"/>
        <v>326451</v>
      </c>
      <c r="J217" s="161">
        <f t="shared" si="72"/>
        <v>328353</v>
      </c>
      <c r="K217" s="161">
        <f t="shared" si="72"/>
        <v>330113</v>
      </c>
      <c r="L217" s="161">
        <f t="shared" si="72"/>
        <v>331654</v>
      </c>
      <c r="M217" s="161">
        <f t="shared" si="72"/>
        <v>333155</v>
      </c>
      <c r="N217" s="161">
        <f t="shared" si="72"/>
        <v>335045</v>
      </c>
      <c r="O217" s="161">
        <f t="shared" si="72"/>
        <v>337249</v>
      </c>
      <c r="P217" s="161">
        <f t="shared" si="72"/>
        <v>339202</v>
      </c>
      <c r="Q217" s="161">
        <f t="shared" si="72"/>
        <v>340721</v>
      </c>
      <c r="R217" s="161">
        <f t="shared" si="72"/>
        <v>341126</v>
      </c>
      <c r="S217" s="161">
        <f t="shared" si="72"/>
        <v>351173</v>
      </c>
      <c r="T217" s="161">
        <f t="shared" si="72"/>
        <v>345763</v>
      </c>
      <c r="U217" s="161">
        <f t="shared" si="72"/>
        <v>343907</v>
      </c>
      <c r="V217" s="161">
        <f t="shared" si="72"/>
        <v>352247</v>
      </c>
      <c r="W217" s="161">
        <f t="shared" si="72"/>
        <v>361043</v>
      </c>
      <c r="X217" s="161">
        <f t="shared" si="72"/>
        <v>377696</v>
      </c>
      <c r="Y217" s="161">
        <f t="shared" si="72"/>
        <v>393615</v>
      </c>
      <c r="Z217" s="161">
        <f t="shared" si="72"/>
        <v>394964</v>
      </c>
      <c r="AA217" s="161">
        <f t="shared" si="72"/>
        <v>404724</v>
      </c>
      <c r="AB217" s="161">
        <f t="shared" si="72"/>
        <v>417018</v>
      </c>
      <c r="AC217" s="161">
        <f t="shared" si="72"/>
        <v>423386</v>
      </c>
      <c r="AD217" s="161">
        <f t="shared" si="72"/>
        <v>424520</v>
      </c>
      <c r="AE217" s="161">
        <f t="shared" si="72"/>
        <v>431150</v>
      </c>
      <c r="AF217" s="161">
        <f t="shared" si="72"/>
        <v>431800</v>
      </c>
      <c r="AG217" s="161">
        <f t="shared" si="72"/>
        <v>436171</v>
      </c>
      <c r="AH217" s="161">
        <f t="shared" si="72"/>
        <v>436966</v>
      </c>
      <c r="AI217" s="161">
        <f t="shared" si="72"/>
        <v>428613</v>
      </c>
      <c r="AJ217" s="161">
        <f t="shared" si="72"/>
        <v>420834</v>
      </c>
      <c r="AK217" s="161">
        <f t="shared" si="72"/>
        <v>413726</v>
      </c>
      <c r="AL217" s="161">
        <f t="shared" si="72"/>
        <v>404536</v>
      </c>
      <c r="AM217" s="161">
        <f t="shared" si="72"/>
        <v>402062</v>
      </c>
      <c r="AN217" s="161">
        <f t="shared" si="72"/>
        <v>412862</v>
      </c>
      <c r="AO217" s="161">
        <f t="shared" si="72"/>
        <v>415327</v>
      </c>
      <c r="AP217" s="161">
        <f t="shared" si="72"/>
        <v>405846</v>
      </c>
      <c r="AQ217" s="161">
        <f t="shared" si="72"/>
        <v>403911</v>
      </c>
      <c r="AR217" s="161">
        <f t="shared" si="72"/>
        <v>411020</v>
      </c>
      <c r="AS217" s="161">
        <f t="shared" si="72"/>
        <v>419131</v>
      </c>
      <c r="AT217" s="161">
        <f t="shared" si="72"/>
        <v>427853</v>
      </c>
      <c r="AU217" s="161">
        <f t="shared" si="72"/>
        <v>426247</v>
      </c>
      <c r="AV217" s="161">
        <f t="shared" si="72"/>
        <v>425257</v>
      </c>
      <c r="AW217" s="161">
        <f t="shared" si="72"/>
        <v>424455</v>
      </c>
      <c r="AX217" s="161">
        <f t="shared" si="72"/>
        <v>429088</v>
      </c>
      <c r="AY217" s="161">
        <f t="shared" si="72"/>
        <v>427068</v>
      </c>
      <c r="AZ217" s="161">
        <f t="shared" si="72"/>
        <v>418804</v>
      </c>
      <c r="BA217" s="161">
        <f t="shared" si="72"/>
        <v>412608</v>
      </c>
      <c r="BB217" s="161">
        <f t="shared" si="72"/>
        <v>408625</v>
      </c>
      <c r="BC217" s="161">
        <f t="shared" si="72"/>
        <v>407216</v>
      </c>
      <c r="BD217" s="161">
        <f t="shared" si="72"/>
        <v>402115</v>
      </c>
      <c r="BE217" s="161">
        <f t="shared" si="72"/>
        <v>395612</v>
      </c>
      <c r="BF217" s="161">
        <f t="shared" si="72"/>
        <v>391594</v>
      </c>
      <c r="BG217" s="161">
        <f t="shared" si="72"/>
        <v>377121</v>
      </c>
      <c r="BH217" s="161">
        <f t="shared" si="72"/>
        <v>365566</v>
      </c>
      <c r="BI217" s="161">
        <f t="shared" si="72"/>
        <v>347201</v>
      </c>
      <c r="BJ217" s="161">
        <f t="shared" si="72"/>
        <v>338586</v>
      </c>
      <c r="BK217" s="161">
        <f t="shared" si="72"/>
        <v>328790</v>
      </c>
      <c r="BL217" s="161">
        <f t="shared" si="72"/>
        <v>325750</v>
      </c>
      <c r="BM217" s="161">
        <f t="shared" si="72"/>
        <v>325582</v>
      </c>
      <c r="BN217" s="161">
        <f t="shared" si="72"/>
        <v>328043</v>
      </c>
      <c r="BO217" s="161">
        <f t="shared" si="72"/>
        <v>332736</v>
      </c>
      <c r="BP217" s="161">
        <f t="shared" si="72"/>
        <v>339635</v>
      </c>
      <c r="BQ217" s="161">
        <f t="shared" si="72"/>
        <v>350745</v>
      </c>
      <c r="BR217" s="161">
        <f t="shared" si="71"/>
        <v>353104</v>
      </c>
      <c r="BS217" s="161">
        <f t="shared" si="71"/>
        <v>330682</v>
      </c>
      <c r="BT217" s="161">
        <f t="shared" si="71"/>
        <v>325415</v>
      </c>
      <c r="BU217" s="161">
        <f t="shared" si="71"/>
        <v>311895</v>
      </c>
      <c r="BV217" s="161">
        <f t="shared" si="71"/>
        <v>304035</v>
      </c>
      <c r="BW217" s="161">
        <f t="shared" si="71"/>
        <v>300718</v>
      </c>
      <c r="BX217" s="161">
        <f t="shared" si="71"/>
        <v>301397</v>
      </c>
      <c r="BY217" s="161">
        <f t="shared" si="71"/>
        <v>305849</v>
      </c>
      <c r="BZ217" s="161">
        <f t="shared" si="71"/>
        <v>305267</v>
      </c>
      <c r="CA217" s="161">
        <f t="shared" si="71"/>
        <v>298312</v>
      </c>
      <c r="CB217" s="161">
        <f t="shared" si="71"/>
        <v>290551</v>
      </c>
      <c r="CC217" s="161">
        <f t="shared" si="71"/>
        <v>275150</v>
      </c>
      <c r="CD217" s="161">
        <f t="shared" si="71"/>
        <v>263940</v>
      </c>
      <c r="CE217" s="161">
        <f t="shared" si="71"/>
        <v>251223</v>
      </c>
      <c r="CF217" s="161">
        <f t="shared" si="71"/>
        <v>237964</v>
      </c>
      <c r="CG217" s="161">
        <f t="shared" si="71"/>
        <v>225879</v>
      </c>
      <c r="CH217" s="161">
        <f t="shared" si="71"/>
        <v>211620</v>
      </c>
      <c r="CI217" s="161">
        <f t="shared" si="71"/>
        <v>197645</v>
      </c>
      <c r="CJ217" s="161">
        <f t="shared" si="71"/>
        <v>186716</v>
      </c>
      <c r="CK217" s="161">
        <f t="shared" si="71"/>
        <v>172266</v>
      </c>
      <c r="CL217" s="161">
        <f t="shared" si="71"/>
        <v>160665</v>
      </c>
      <c r="CM217" s="161">
        <f t="shared" si="71"/>
        <v>147597</v>
      </c>
      <c r="CN217" s="161">
        <f t="shared" si="71"/>
        <v>132545</v>
      </c>
      <c r="CO217" s="161">
        <f t="shared" si="71"/>
        <v>121429</v>
      </c>
      <c r="CP217" s="161">
        <f t="shared" si="71"/>
        <v>112055</v>
      </c>
      <c r="CQ217" s="161">
        <f t="shared" si="71"/>
        <v>83108</v>
      </c>
      <c r="CR217" s="161">
        <f t="shared" si="71"/>
        <v>69133</v>
      </c>
      <c r="CS217" s="161">
        <f t="shared" si="71"/>
        <v>55991</v>
      </c>
      <c r="CT217" s="161">
        <f t="shared" si="71"/>
        <v>42525</v>
      </c>
      <c r="CU217" s="161">
        <f t="shared" si="71"/>
        <v>34120</v>
      </c>
      <c r="CV217" s="161">
        <f t="shared" si="71"/>
        <v>25208</v>
      </c>
      <c r="CW217" s="161">
        <f t="shared" si="71"/>
        <v>18866</v>
      </c>
      <c r="CX217" s="161">
        <f t="shared" si="71"/>
        <v>13691</v>
      </c>
      <c r="CY217" s="161">
        <f t="shared" si="71"/>
        <v>9552</v>
      </c>
      <c r="CZ217" s="161">
        <f t="shared" si="71"/>
        <v>6487</v>
      </c>
      <c r="DA217" s="161">
        <f t="shared" si="71"/>
        <v>14089</v>
      </c>
      <c r="DB217" s="162">
        <f t="shared" si="63"/>
        <v>31160201</v>
      </c>
      <c r="DC217" s="163">
        <f t="shared" si="64"/>
        <v>31.160201000000001</v>
      </c>
      <c r="DD217" s="165">
        <f t="shared" si="66"/>
        <v>9.6357380232489961E-3</v>
      </c>
    </row>
    <row r="218" spans="1:108" x14ac:dyDescent="0.2">
      <c r="A218" s="159"/>
      <c r="B218" s="159"/>
      <c r="C218" s="159"/>
      <c r="D218" s="160">
        <v>2037</v>
      </c>
      <c r="E218" s="161">
        <f t="shared" si="62"/>
        <v>329502</v>
      </c>
      <c r="F218" s="161">
        <f t="shared" si="72"/>
        <v>327374</v>
      </c>
      <c r="G218" s="161">
        <f t="shared" si="72"/>
        <v>326913</v>
      </c>
      <c r="H218" s="161">
        <f t="shared" si="72"/>
        <v>327257</v>
      </c>
      <c r="I218" s="161">
        <f t="shared" si="72"/>
        <v>328365</v>
      </c>
      <c r="J218" s="161">
        <f t="shared" si="72"/>
        <v>330020</v>
      </c>
      <c r="K218" s="161">
        <f t="shared" si="72"/>
        <v>331604</v>
      </c>
      <c r="L218" s="161">
        <f t="shared" si="72"/>
        <v>332980</v>
      </c>
      <c r="M218" s="161">
        <f t="shared" si="72"/>
        <v>334377</v>
      </c>
      <c r="N218" s="161">
        <f t="shared" si="72"/>
        <v>335788</v>
      </c>
      <c r="O218" s="161">
        <f t="shared" si="72"/>
        <v>337616</v>
      </c>
      <c r="P218" s="161">
        <f t="shared" si="72"/>
        <v>339773</v>
      </c>
      <c r="Q218" s="161">
        <f t="shared" si="72"/>
        <v>341580</v>
      </c>
      <c r="R218" s="161">
        <f t="shared" si="72"/>
        <v>343004</v>
      </c>
      <c r="S218" s="161">
        <f t="shared" si="72"/>
        <v>343549</v>
      </c>
      <c r="T218" s="161">
        <f t="shared" si="72"/>
        <v>353913</v>
      </c>
      <c r="U218" s="161">
        <f t="shared" si="72"/>
        <v>348787</v>
      </c>
      <c r="V218" s="161">
        <f t="shared" si="72"/>
        <v>348342</v>
      </c>
      <c r="W218" s="161">
        <f t="shared" si="72"/>
        <v>361890</v>
      </c>
      <c r="X218" s="161">
        <f t="shared" si="72"/>
        <v>374331</v>
      </c>
      <c r="Y218" s="161">
        <f t="shared" si="72"/>
        <v>387547</v>
      </c>
      <c r="Z218" s="161">
        <f t="shared" si="72"/>
        <v>399961</v>
      </c>
      <c r="AA218" s="161">
        <f t="shared" si="72"/>
        <v>403535</v>
      </c>
      <c r="AB218" s="161">
        <f t="shared" si="72"/>
        <v>415748</v>
      </c>
      <c r="AC218" s="161">
        <f t="shared" si="72"/>
        <v>425138</v>
      </c>
      <c r="AD218" s="161">
        <f t="shared" si="72"/>
        <v>427701</v>
      </c>
      <c r="AE218" s="161">
        <f t="shared" si="72"/>
        <v>428184</v>
      </c>
      <c r="AF218" s="161">
        <f t="shared" si="72"/>
        <v>435290</v>
      </c>
      <c r="AG218" s="161">
        <f t="shared" si="72"/>
        <v>436248</v>
      </c>
      <c r="AH218" s="161">
        <f t="shared" si="72"/>
        <v>440792</v>
      </c>
      <c r="AI218" s="161">
        <f t="shared" si="72"/>
        <v>441359</v>
      </c>
      <c r="AJ218" s="161">
        <f t="shared" si="72"/>
        <v>432483</v>
      </c>
      <c r="AK218" s="161">
        <f t="shared" si="72"/>
        <v>424361</v>
      </c>
      <c r="AL218" s="161">
        <f t="shared" si="72"/>
        <v>417341</v>
      </c>
      <c r="AM218" s="161">
        <f t="shared" si="72"/>
        <v>408119</v>
      </c>
      <c r="AN218" s="161">
        <f t="shared" si="72"/>
        <v>405333</v>
      </c>
      <c r="AO218" s="161">
        <f t="shared" si="72"/>
        <v>415918</v>
      </c>
      <c r="AP218" s="161">
        <f t="shared" si="72"/>
        <v>418195</v>
      </c>
      <c r="AQ218" s="161">
        <f t="shared" si="72"/>
        <v>408413</v>
      </c>
      <c r="AR218" s="161">
        <f t="shared" si="72"/>
        <v>406245</v>
      </c>
      <c r="AS218" s="161">
        <f t="shared" si="72"/>
        <v>413192</v>
      </c>
      <c r="AT218" s="161">
        <f t="shared" si="72"/>
        <v>421016</v>
      </c>
      <c r="AU218" s="161">
        <f t="shared" si="72"/>
        <v>429398</v>
      </c>
      <c r="AV218" s="161">
        <f t="shared" si="72"/>
        <v>427477</v>
      </c>
      <c r="AW218" s="161">
        <f t="shared" si="72"/>
        <v>426258</v>
      </c>
      <c r="AX218" s="161">
        <f t="shared" si="72"/>
        <v>425323</v>
      </c>
      <c r="AY218" s="161">
        <f t="shared" si="72"/>
        <v>429812</v>
      </c>
      <c r="AZ218" s="161">
        <f t="shared" si="72"/>
        <v>427609</v>
      </c>
      <c r="BA218" s="161">
        <f t="shared" si="72"/>
        <v>419162</v>
      </c>
      <c r="BB218" s="161">
        <f t="shared" si="72"/>
        <v>412822</v>
      </c>
      <c r="BC218" s="161">
        <f t="shared" si="72"/>
        <v>408738</v>
      </c>
      <c r="BD218" s="161">
        <f t="shared" si="72"/>
        <v>407271</v>
      </c>
      <c r="BE218" s="161">
        <f t="shared" si="72"/>
        <v>402093</v>
      </c>
      <c r="BF218" s="161">
        <f t="shared" si="72"/>
        <v>395512</v>
      </c>
      <c r="BG218" s="161">
        <f t="shared" si="72"/>
        <v>391564</v>
      </c>
      <c r="BH218" s="161">
        <f t="shared" si="72"/>
        <v>377264</v>
      </c>
      <c r="BI218" s="161">
        <f t="shared" si="72"/>
        <v>365802</v>
      </c>
      <c r="BJ218" s="161">
        <f t="shared" si="72"/>
        <v>347368</v>
      </c>
      <c r="BK218" s="161">
        <f t="shared" si="72"/>
        <v>338671</v>
      </c>
      <c r="BL218" s="161">
        <f t="shared" si="72"/>
        <v>328995</v>
      </c>
      <c r="BM218" s="161">
        <f t="shared" si="72"/>
        <v>326047</v>
      </c>
      <c r="BN218" s="161">
        <f t="shared" si="72"/>
        <v>325909</v>
      </c>
      <c r="BO218" s="161">
        <f t="shared" si="72"/>
        <v>328349</v>
      </c>
      <c r="BP218" s="161">
        <f t="shared" si="72"/>
        <v>332951</v>
      </c>
      <c r="BQ218" s="161">
        <f t="shared" si="72"/>
        <v>339623</v>
      </c>
      <c r="BR218" s="161">
        <f t="shared" si="71"/>
        <v>350326</v>
      </c>
      <c r="BS218" s="161">
        <f t="shared" si="71"/>
        <v>352306</v>
      </c>
      <c r="BT218" s="161">
        <f t="shared" si="71"/>
        <v>329664</v>
      </c>
      <c r="BU218" s="161">
        <f t="shared" si="71"/>
        <v>324017</v>
      </c>
      <c r="BV218" s="161">
        <f t="shared" si="71"/>
        <v>310286</v>
      </c>
      <c r="BW218" s="161">
        <f t="shared" si="71"/>
        <v>302177</v>
      </c>
      <c r="BX218" s="161">
        <f t="shared" si="71"/>
        <v>298450</v>
      </c>
      <c r="BY218" s="161">
        <f t="shared" si="71"/>
        <v>298722</v>
      </c>
      <c r="BZ218" s="161">
        <f t="shared" si="71"/>
        <v>302645</v>
      </c>
      <c r="CA218" s="161">
        <f t="shared" si="71"/>
        <v>301391</v>
      </c>
      <c r="CB218" s="161">
        <f t="shared" si="71"/>
        <v>293994</v>
      </c>
      <c r="CC218" s="161">
        <f t="shared" si="71"/>
        <v>285828</v>
      </c>
      <c r="CD218" s="161">
        <f t="shared" si="71"/>
        <v>270004</v>
      </c>
      <c r="CE218" s="161">
        <f t="shared" si="71"/>
        <v>258259</v>
      </c>
      <c r="CF218" s="161">
        <f t="shared" si="71"/>
        <v>245009</v>
      </c>
      <c r="CG218" s="161">
        <f t="shared" si="71"/>
        <v>231212</v>
      </c>
      <c r="CH218" s="161">
        <f t="shared" si="71"/>
        <v>218541</v>
      </c>
      <c r="CI218" s="161">
        <f t="shared" si="71"/>
        <v>203771</v>
      </c>
      <c r="CJ218" s="161">
        <f t="shared" si="71"/>
        <v>189199</v>
      </c>
      <c r="CK218" s="161">
        <f t="shared" si="71"/>
        <v>177570</v>
      </c>
      <c r="CL218" s="161">
        <f t="shared" si="71"/>
        <v>162639</v>
      </c>
      <c r="CM218" s="161">
        <f t="shared" si="71"/>
        <v>150393</v>
      </c>
      <c r="CN218" s="161">
        <f t="shared" si="71"/>
        <v>136698</v>
      </c>
      <c r="CO218" s="161">
        <f t="shared" si="71"/>
        <v>121236</v>
      </c>
      <c r="CP218" s="161">
        <f t="shared" si="71"/>
        <v>109691</v>
      </c>
      <c r="CQ218" s="161">
        <f t="shared" si="71"/>
        <v>99667</v>
      </c>
      <c r="CR218" s="161">
        <f t="shared" si="71"/>
        <v>72587</v>
      </c>
      <c r="CS218" s="161">
        <f t="shared" si="71"/>
        <v>59441</v>
      </c>
      <c r="CT218" s="161">
        <f t="shared" si="71"/>
        <v>47157</v>
      </c>
      <c r="CU218" s="161">
        <f t="shared" si="71"/>
        <v>34836</v>
      </c>
      <c r="CV218" s="161">
        <f t="shared" si="71"/>
        <v>27107</v>
      </c>
      <c r="CW218" s="161">
        <f t="shared" si="71"/>
        <v>19484</v>
      </c>
      <c r="CX218" s="161">
        <f t="shared" si="71"/>
        <v>14275</v>
      </c>
      <c r="CY218" s="161">
        <f t="shared" si="71"/>
        <v>10059</v>
      </c>
      <c r="CZ218" s="161">
        <f t="shared" si="71"/>
        <v>6785</v>
      </c>
      <c r="DA218" s="161">
        <f t="shared" si="71"/>
        <v>14807</v>
      </c>
      <c r="DB218" s="162">
        <f t="shared" si="63"/>
        <v>31453335</v>
      </c>
      <c r="DC218" s="163">
        <f t="shared" si="64"/>
        <v>31.453334999999999</v>
      </c>
      <c r="DD218" s="165">
        <f t="shared" si="66"/>
        <v>9.4073205753710774E-3</v>
      </c>
    </row>
    <row r="219" spans="1:108" x14ac:dyDescent="0.2">
      <c r="A219" s="159"/>
      <c r="B219" s="159"/>
      <c r="C219" s="159"/>
      <c r="D219" s="160">
        <v>2038</v>
      </c>
      <c r="E219" s="161">
        <f t="shared" si="62"/>
        <v>332726</v>
      </c>
      <c r="F219" s="161">
        <f t="shared" si="72"/>
        <v>330480</v>
      </c>
      <c r="G219" s="161">
        <f t="shared" si="72"/>
        <v>329824</v>
      </c>
      <c r="H219" s="161">
        <f t="shared" si="72"/>
        <v>329879</v>
      </c>
      <c r="I219" s="161">
        <f t="shared" si="72"/>
        <v>330637</v>
      </c>
      <c r="J219" s="161">
        <f t="shared" si="72"/>
        <v>331934</v>
      </c>
      <c r="K219" s="161">
        <f t="shared" si="72"/>
        <v>333271</v>
      </c>
      <c r="L219" s="161">
        <f t="shared" si="72"/>
        <v>334471</v>
      </c>
      <c r="M219" s="161">
        <f t="shared" si="72"/>
        <v>335703</v>
      </c>
      <c r="N219" s="161">
        <f t="shared" si="72"/>
        <v>337010</v>
      </c>
      <c r="O219" s="161">
        <f t="shared" si="72"/>
        <v>338359</v>
      </c>
      <c r="P219" s="161">
        <f t="shared" si="72"/>
        <v>340140</v>
      </c>
      <c r="Q219" s="161">
        <f t="shared" si="72"/>
        <v>342153</v>
      </c>
      <c r="R219" s="161">
        <f t="shared" si="72"/>
        <v>343863</v>
      </c>
      <c r="S219" s="161">
        <f t="shared" si="72"/>
        <v>345427</v>
      </c>
      <c r="T219" s="161">
        <f t="shared" si="72"/>
        <v>346291</v>
      </c>
      <c r="U219" s="161">
        <f t="shared" si="72"/>
        <v>356935</v>
      </c>
      <c r="V219" s="161">
        <f t="shared" si="72"/>
        <v>353221</v>
      </c>
      <c r="W219" s="161">
        <f t="shared" si="72"/>
        <v>357986</v>
      </c>
      <c r="X219" s="161">
        <f t="shared" si="72"/>
        <v>375177</v>
      </c>
      <c r="Y219" s="161">
        <f t="shared" si="72"/>
        <v>384182</v>
      </c>
      <c r="Z219" s="161">
        <f t="shared" si="72"/>
        <v>393896</v>
      </c>
      <c r="AA219" s="161">
        <f t="shared" si="72"/>
        <v>408531</v>
      </c>
      <c r="AB219" s="161">
        <f t="shared" si="72"/>
        <v>414561</v>
      </c>
      <c r="AC219" s="161">
        <f t="shared" si="72"/>
        <v>423869</v>
      </c>
      <c r="AD219" s="161">
        <f t="shared" si="72"/>
        <v>429454</v>
      </c>
      <c r="AE219" s="161">
        <f t="shared" si="72"/>
        <v>431366</v>
      </c>
      <c r="AF219" s="161">
        <f t="shared" si="72"/>
        <v>432325</v>
      </c>
      <c r="AG219" s="161">
        <f t="shared" si="72"/>
        <v>439737</v>
      </c>
      <c r="AH219" s="161">
        <f t="shared" si="72"/>
        <v>440869</v>
      </c>
      <c r="AI219" s="161">
        <f t="shared" si="72"/>
        <v>445183</v>
      </c>
      <c r="AJ219" s="161">
        <f t="shared" si="72"/>
        <v>445221</v>
      </c>
      <c r="AK219" s="161">
        <f t="shared" si="72"/>
        <v>436004</v>
      </c>
      <c r="AL219" s="161">
        <f t="shared" si="72"/>
        <v>427973</v>
      </c>
      <c r="AM219" s="161">
        <f t="shared" si="72"/>
        <v>420918</v>
      </c>
      <c r="AN219" s="161">
        <f t="shared" si="72"/>
        <v>411387</v>
      </c>
      <c r="AO219" s="161">
        <f t="shared" si="72"/>
        <v>408394</v>
      </c>
      <c r="AP219" s="161">
        <f t="shared" si="72"/>
        <v>418785</v>
      </c>
      <c r="AQ219" s="161">
        <f t="shared" si="72"/>
        <v>420754</v>
      </c>
      <c r="AR219" s="161">
        <f t="shared" si="72"/>
        <v>410744</v>
      </c>
      <c r="AS219" s="161">
        <f t="shared" si="72"/>
        <v>408422</v>
      </c>
      <c r="AT219" s="161">
        <f t="shared" si="72"/>
        <v>415083</v>
      </c>
      <c r="AU219" s="161">
        <f t="shared" si="72"/>
        <v>422567</v>
      </c>
      <c r="AV219" s="161">
        <f t="shared" si="72"/>
        <v>430626</v>
      </c>
      <c r="AW219" s="161">
        <f t="shared" si="72"/>
        <v>428476</v>
      </c>
      <c r="AX219" s="161">
        <f t="shared" si="72"/>
        <v>427125</v>
      </c>
      <c r="AY219" s="161">
        <f t="shared" si="72"/>
        <v>426055</v>
      </c>
      <c r="AZ219" s="161">
        <f t="shared" si="72"/>
        <v>430346</v>
      </c>
      <c r="BA219" s="161">
        <f t="shared" si="72"/>
        <v>427955</v>
      </c>
      <c r="BB219" s="161">
        <f t="shared" si="72"/>
        <v>419370</v>
      </c>
      <c r="BC219" s="161">
        <f t="shared" si="72"/>
        <v>412927</v>
      </c>
      <c r="BD219" s="161">
        <f t="shared" si="72"/>
        <v>408793</v>
      </c>
      <c r="BE219" s="161">
        <f t="shared" si="72"/>
        <v>407237</v>
      </c>
      <c r="BF219" s="161">
        <f t="shared" si="72"/>
        <v>401984</v>
      </c>
      <c r="BG219" s="161">
        <f t="shared" si="72"/>
        <v>395474</v>
      </c>
      <c r="BH219" s="161">
        <f t="shared" si="72"/>
        <v>391670</v>
      </c>
      <c r="BI219" s="161">
        <f t="shared" si="72"/>
        <v>377466</v>
      </c>
      <c r="BJ219" s="161">
        <f t="shared" si="72"/>
        <v>365907</v>
      </c>
      <c r="BK219" s="161">
        <f t="shared" si="72"/>
        <v>347425</v>
      </c>
      <c r="BL219" s="161">
        <f t="shared" si="72"/>
        <v>338843</v>
      </c>
      <c r="BM219" s="161">
        <f t="shared" si="72"/>
        <v>329284</v>
      </c>
      <c r="BN219" s="161">
        <f t="shared" si="72"/>
        <v>326380</v>
      </c>
      <c r="BO219" s="161">
        <f t="shared" si="72"/>
        <v>326230</v>
      </c>
      <c r="BP219" s="161">
        <f t="shared" si="72"/>
        <v>328589</v>
      </c>
      <c r="BQ219" s="161">
        <f t="shared" si="72"/>
        <v>332984</v>
      </c>
      <c r="BR219" s="161">
        <f t="shared" si="71"/>
        <v>339283</v>
      </c>
      <c r="BS219" s="161">
        <f t="shared" si="71"/>
        <v>349557</v>
      </c>
      <c r="BT219" s="161">
        <f t="shared" si="71"/>
        <v>351141</v>
      </c>
      <c r="BU219" s="161">
        <f t="shared" si="71"/>
        <v>328238</v>
      </c>
      <c r="BV219" s="161">
        <f t="shared" si="71"/>
        <v>322311</v>
      </c>
      <c r="BW219" s="161">
        <f t="shared" si="71"/>
        <v>308375</v>
      </c>
      <c r="BX219" s="161">
        <f t="shared" si="71"/>
        <v>299904</v>
      </c>
      <c r="BY219" s="161">
        <f t="shared" si="71"/>
        <v>295819</v>
      </c>
      <c r="BZ219" s="161">
        <f t="shared" si="71"/>
        <v>295622</v>
      </c>
      <c r="CA219" s="161">
        <f t="shared" si="71"/>
        <v>298822</v>
      </c>
      <c r="CB219" s="161">
        <f t="shared" si="71"/>
        <v>297042</v>
      </c>
      <c r="CC219" s="161">
        <f t="shared" si="71"/>
        <v>289226</v>
      </c>
      <c r="CD219" s="161">
        <f t="shared" si="71"/>
        <v>280483</v>
      </c>
      <c r="CE219" s="161">
        <f t="shared" si="71"/>
        <v>264209</v>
      </c>
      <c r="CF219" s="161">
        <f t="shared" si="71"/>
        <v>251883</v>
      </c>
      <c r="CG219" s="161">
        <f t="shared" si="71"/>
        <v>238077</v>
      </c>
      <c r="CH219" s="161">
        <f t="shared" si="71"/>
        <v>223728</v>
      </c>
      <c r="CI219" s="161">
        <f t="shared" si="71"/>
        <v>210450</v>
      </c>
      <c r="CJ219" s="161">
        <f t="shared" si="71"/>
        <v>195091</v>
      </c>
      <c r="CK219" s="161">
        <f t="shared" si="71"/>
        <v>179966</v>
      </c>
      <c r="CL219" s="161">
        <f t="shared" si="71"/>
        <v>167679</v>
      </c>
      <c r="CM219" s="161">
        <f t="shared" si="71"/>
        <v>152274</v>
      </c>
      <c r="CN219" s="161">
        <f t="shared" si="71"/>
        <v>139317</v>
      </c>
      <c r="CO219" s="161">
        <f t="shared" si="71"/>
        <v>125072</v>
      </c>
      <c r="CP219" s="161">
        <f t="shared" si="71"/>
        <v>109559</v>
      </c>
      <c r="CQ219" s="161">
        <f t="shared" si="71"/>
        <v>97604</v>
      </c>
      <c r="CR219" s="161">
        <f t="shared" si="71"/>
        <v>87090</v>
      </c>
      <c r="CS219" s="161">
        <f t="shared" si="71"/>
        <v>62432</v>
      </c>
      <c r="CT219" s="161">
        <f t="shared" si="71"/>
        <v>50086</v>
      </c>
      <c r="CU219" s="161">
        <f t="shared" si="71"/>
        <v>38644</v>
      </c>
      <c r="CV219" s="161">
        <f t="shared" si="71"/>
        <v>27688</v>
      </c>
      <c r="CW219" s="161">
        <f t="shared" si="71"/>
        <v>20958</v>
      </c>
      <c r="CX219" s="161">
        <f t="shared" si="71"/>
        <v>14746</v>
      </c>
      <c r="CY219" s="161">
        <f t="shared" si="71"/>
        <v>10490</v>
      </c>
      <c r="CZ219" s="161">
        <f t="shared" si="71"/>
        <v>7147</v>
      </c>
      <c r="DA219" s="161">
        <f t="shared" si="71"/>
        <v>15543</v>
      </c>
      <c r="DB219" s="162">
        <f t="shared" si="63"/>
        <v>31742414</v>
      </c>
      <c r="DC219" s="163">
        <f t="shared" si="64"/>
        <v>31.742414</v>
      </c>
      <c r="DD219" s="165">
        <f t="shared" si="66"/>
        <v>9.1907265159640768E-3</v>
      </c>
    </row>
    <row r="220" spans="1:108" x14ac:dyDescent="0.2">
      <c r="A220" s="159"/>
      <c r="B220" s="159"/>
      <c r="C220" s="159"/>
      <c r="D220" s="160">
        <v>2039</v>
      </c>
      <c r="E220" s="161">
        <f t="shared" si="62"/>
        <v>335964</v>
      </c>
      <c r="F220" s="161">
        <f t="shared" si="72"/>
        <v>333703</v>
      </c>
      <c r="G220" s="161">
        <f t="shared" si="72"/>
        <v>332929</v>
      </c>
      <c r="H220" s="161">
        <f t="shared" si="72"/>
        <v>332789</v>
      </c>
      <c r="I220" s="161">
        <f t="shared" si="72"/>
        <v>333258</v>
      </c>
      <c r="J220" s="161">
        <f t="shared" si="72"/>
        <v>334206</v>
      </c>
      <c r="K220" s="161">
        <f t="shared" si="72"/>
        <v>335186</v>
      </c>
      <c r="L220" s="161">
        <f t="shared" si="72"/>
        <v>336138</v>
      </c>
      <c r="M220" s="161">
        <f t="shared" si="72"/>
        <v>337194</v>
      </c>
      <c r="N220" s="161">
        <f t="shared" si="72"/>
        <v>338336</v>
      </c>
      <c r="O220" s="161">
        <f t="shared" si="72"/>
        <v>339581</v>
      </c>
      <c r="P220" s="161">
        <f t="shared" si="72"/>
        <v>340883</v>
      </c>
      <c r="Q220" s="161">
        <f t="shared" si="72"/>
        <v>342520</v>
      </c>
      <c r="R220" s="161">
        <f t="shared" si="72"/>
        <v>344438</v>
      </c>
      <c r="S220" s="161">
        <f t="shared" si="72"/>
        <v>346286</v>
      </c>
      <c r="T220" s="161">
        <f t="shared" si="72"/>
        <v>348169</v>
      </c>
      <c r="U220" s="161">
        <f t="shared" si="72"/>
        <v>349315</v>
      </c>
      <c r="V220" s="161">
        <f t="shared" si="72"/>
        <v>361367</v>
      </c>
      <c r="W220" s="161">
        <f t="shared" si="72"/>
        <v>362865</v>
      </c>
      <c r="X220" s="161">
        <f t="shared" si="72"/>
        <v>371275</v>
      </c>
      <c r="Y220" s="161">
        <f t="shared" si="72"/>
        <v>385030</v>
      </c>
      <c r="Z220" s="161">
        <f t="shared" si="72"/>
        <v>390534</v>
      </c>
      <c r="AA220" s="161">
        <f t="shared" si="72"/>
        <v>402467</v>
      </c>
      <c r="AB220" s="161">
        <f t="shared" si="72"/>
        <v>419555</v>
      </c>
      <c r="AC220" s="161">
        <f t="shared" si="72"/>
        <v>422682</v>
      </c>
      <c r="AD220" s="161">
        <f t="shared" si="72"/>
        <v>428186</v>
      </c>
      <c r="AE220" s="161">
        <f t="shared" si="72"/>
        <v>433119</v>
      </c>
      <c r="AF220" s="161">
        <f t="shared" si="72"/>
        <v>435503</v>
      </c>
      <c r="AG220" s="161">
        <f t="shared" si="72"/>
        <v>436776</v>
      </c>
      <c r="AH220" s="161">
        <f t="shared" si="72"/>
        <v>444359</v>
      </c>
      <c r="AI220" s="161">
        <f t="shared" si="72"/>
        <v>445260</v>
      </c>
      <c r="AJ220" s="161">
        <f t="shared" si="72"/>
        <v>449043</v>
      </c>
      <c r="AK220" s="161">
        <f t="shared" si="72"/>
        <v>448736</v>
      </c>
      <c r="AL220" s="161">
        <f t="shared" si="72"/>
        <v>439610</v>
      </c>
      <c r="AM220" s="161">
        <f t="shared" si="72"/>
        <v>431545</v>
      </c>
      <c r="AN220" s="161">
        <f t="shared" si="72"/>
        <v>424176</v>
      </c>
      <c r="AO220" s="161">
        <f t="shared" si="72"/>
        <v>414448</v>
      </c>
      <c r="AP220" s="161">
        <f t="shared" si="72"/>
        <v>411267</v>
      </c>
      <c r="AQ220" s="161">
        <f t="shared" si="72"/>
        <v>421343</v>
      </c>
      <c r="AR220" s="161">
        <f t="shared" si="72"/>
        <v>423078</v>
      </c>
      <c r="AS220" s="161">
        <f t="shared" si="72"/>
        <v>412918</v>
      </c>
      <c r="AT220" s="161">
        <f t="shared" si="72"/>
        <v>410321</v>
      </c>
      <c r="AU220" s="161">
        <f t="shared" si="72"/>
        <v>416640</v>
      </c>
      <c r="AV220" s="161">
        <f t="shared" si="72"/>
        <v>423802</v>
      </c>
      <c r="AW220" s="161">
        <f t="shared" si="72"/>
        <v>431621</v>
      </c>
      <c r="AX220" s="161">
        <f t="shared" si="72"/>
        <v>429342</v>
      </c>
      <c r="AY220" s="161">
        <f t="shared" si="72"/>
        <v>427854</v>
      </c>
      <c r="AZ220" s="161">
        <f t="shared" si="72"/>
        <v>426599</v>
      </c>
      <c r="BA220" s="161">
        <f t="shared" si="72"/>
        <v>430690</v>
      </c>
      <c r="BB220" s="161">
        <f t="shared" si="72"/>
        <v>428146</v>
      </c>
      <c r="BC220" s="161">
        <f t="shared" si="72"/>
        <v>419464</v>
      </c>
      <c r="BD220" s="161">
        <f t="shared" si="72"/>
        <v>412974</v>
      </c>
      <c r="BE220" s="161">
        <f t="shared" si="72"/>
        <v>408761</v>
      </c>
      <c r="BF220" s="161">
        <f t="shared" si="72"/>
        <v>407119</v>
      </c>
      <c r="BG220" s="161">
        <f t="shared" si="72"/>
        <v>401930</v>
      </c>
      <c r="BH220" s="161">
        <f t="shared" si="72"/>
        <v>395574</v>
      </c>
      <c r="BI220" s="161">
        <f t="shared" si="72"/>
        <v>391834</v>
      </c>
      <c r="BJ220" s="161">
        <f t="shared" si="72"/>
        <v>377531</v>
      </c>
      <c r="BK220" s="161">
        <f t="shared" si="72"/>
        <v>365896</v>
      </c>
      <c r="BL220" s="161">
        <f t="shared" si="72"/>
        <v>347565</v>
      </c>
      <c r="BM220" s="161">
        <f t="shared" si="72"/>
        <v>339093</v>
      </c>
      <c r="BN220" s="161">
        <f t="shared" si="72"/>
        <v>329603</v>
      </c>
      <c r="BO220" s="161">
        <f t="shared" si="72"/>
        <v>326706</v>
      </c>
      <c r="BP220" s="161">
        <f t="shared" si="72"/>
        <v>326487</v>
      </c>
      <c r="BQ220" s="161">
        <f t="shared" ref="BQ220:DA221" si="73">SUM(BQ245,BQ270)</f>
        <v>328655</v>
      </c>
      <c r="BR220" s="161">
        <f t="shared" si="73"/>
        <v>332690</v>
      </c>
      <c r="BS220" s="161">
        <f t="shared" si="73"/>
        <v>338592</v>
      </c>
      <c r="BT220" s="161">
        <f t="shared" si="73"/>
        <v>348418</v>
      </c>
      <c r="BU220" s="161">
        <f t="shared" si="73"/>
        <v>349545</v>
      </c>
      <c r="BV220" s="161">
        <f t="shared" si="73"/>
        <v>326501</v>
      </c>
      <c r="BW220" s="161">
        <f t="shared" si="73"/>
        <v>320296</v>
      </c>
      <c r="BX220" s="161">
        <f t="shared" si="73"/>
        <v>306047</v>
      </c>
      <c r="BY220" s="161">
        <f t="shared" si="73"/>
        <v>297268</v>
      </c>
      <c r="BZ220" s="161">
        <f t="shared" si="73"/>
        <v>292774</v>
      </c>
      <c r="CA220" s="161">
        <f t="shared" si="73"/>
        <v>291916</v>
      </c>
      <c r="CB220" s="161">
        <f t="shared" si="73"/>
        <v>294531</v>
      </c>
      <c r="CC220" s="161">
        <f t="shared" si="73"/>
        <v>292241</v>
      </c>
      <c r="CD220" s="161">
        <f t="shared" si="73"/>
        <v>283831</v>
      </c>
      <c r="CE220" s="161">
        <f t="shared" si="73"/>
        <v>274470</v>
      </c>
      <c r="CF220" s="161">
        <f t="shared" si="73"/>
        <v>257704</v>
      </c>
      <c r="CG220" s="161">
        <f t="shared" si="73"/>
        <v>244773</v>
      </c>
      <c r="CH220" s="161">
        <f t="shared" si="73"/>
        <v>230396</v>
      </c>
      <c r="CI220" s="161">
        <f t="shared" si="73"/>
        <v>215475</v>
      </c>
      <c r="CJ220" s="161">
        <f t="shared" si="73"/>
        <v>201505</v>
      </c>
      <c r="CK220" s="161">
        <f t="shared" si="73"/>
        <v>185601</v>
      </c>
      <c r="CL220" s="161">
        <f t="shared" si="73"/>
        <v>169979</v>
      </c>
      <c r="CM220" s="161">
        <f t="shared" si="73"/>
        <v>157025</v>
      </c>
      <c r="CN220" s="161">
        <f t="shared" si="73"/>
        <v>141097</v>
      </c>
      <c r="CO220" s="161">
        <f t="shared" si="73"/>
        <v>127499</v>
      </c>
      <c r="CP220" s="161">
        <f t="shared" si="73"/>
        <v>113065</v>
      </c>
      <c r="CQ220" s="161">
        <f t="shared" si="73"/>
        <v>97533</v>
      </c>
      <c r="CR220" s="161">
        <f t="shared" si="73"/>
        <v>85326</v>
      </c>
      <c r="CS220" s="161">
        <f t="shared" si="73"/>
        <v>74944</v>
      </c>
      <c r="CT220" s="161">
        <f t="shared" si="73"/>
        <v>52626</v>
      </c>
      <c r="CU220" s="161">
        <f t="shared" si="73"/>
        <v>41064</v>
      </c>
      <c r="CV220" s="161">
        <f t="shared" si="73"/>
        <v>30726</v>
      </c>
      <c r="CW220" s="161">
        <f t="shared" si="73"/>
        <v>21413</v>
      </c>
      <c r="CX220" s="161">
        <f t="shared" si="73"/>
        <v>15864</v>
      </c>
      <c r="CY220" s="161">
        <f t="shared" si="73"/>
        <v>10839</v>
      </c>
      <c r="CZ220" s="161">
        <f t="shared" si="73"/>
        <v>7454</v>
      </c>
      <c r="DA220" s="161">
        <f t="shared" si="73"/>
        <v>16337</v>
      </c>
      <c r="DB220" s="162">
        <f>SUM(E220:DA220)</f>
        <v>32027609</v>
      </c>
      <c r="DC220" s="163">
        <f>DB220/1000000</f>
        <v>32.027608999999998</v>
      </c>
      <c r="DD220" s="165">
        <f>(DC220-DC219)/DC219</f>
        <v>8.9846663835963479E-3</v>
      </c>
    </row>
    <row r="221" spans="1:108" x14ac:dyDescent="0.2">
      <c r="A221" s="159"/>
      <c r="B221" s="159"/>
      <c r="C221" s="159"/>
      <c r="D221" s="160">
        <v>2040</v>
      </c>
      <c r="E221" s="161">
        <f t="shared" si="62"/>
        <v>339079</v>
      </c>
      <c r="F221" s="161">
        <f t="shared" ref="F221:BQ221" si="74">SUM(F246,F271)</f>
        <v>336940</v>
      </c>
      <c r="G221" s="161">
        <f t="shared" si="74"/>
        <v>336152</v>
      </c>
      <c r="H221" s="161">
        <f t="shared" si="74"/>
        <v>335894</v>
      </c>
      <c r="I221" s="161">
        <f t="shared" si="74"/>
        <v>336168</v>
      </c>
      <c r="J221" s="161">
        <f t="shared" si="74"/>
        <v>336827</v>
      </c>
      <c r="K221" s="161">
        <f t="shared" si="74"/>
        <v>337457</v>
      </c>
      <c r="L221" s="161">
        <f t="shared" si="74"/>
        <v>338053</v>
      </c>
      <c r="M221" s="161">
        <f t="shared" si="74"/>
        <v>338861</v>
      </c>
      <c r="N221" s="161">
        <f t="shared" si="74"/>
        <v>339828</v>
      </c>
      <c r="O221" s="161">
        <f t="shared" si="74"/>
        <v>340907</v>
      </c>
      <c r="P221" s="161">
        <f t="shared" si="74"/>
        <v>342105</v>
      </c>
      <c r="Q221" s="161">
        <f t="shared" si="74"/>
        <v>343263</v>
      </c>
      <c r="R221" s="161">
        <f t="shared" si="74"/>
        <v>344805</v>
      </c>
      <c r="S221" s="161">
        <f t="shared" si="74"/>
        <v>346861</v>
      </c>
      <c r="T221" s="161">
        <f t="shared" si="74"/>
        <v>349026</v>
      </c>
      <c r="U221" s="161">
        <f t="shared" si="74"/>
        <v>351193</v>
      </c>
      <c r="V221" s="161">
        <f t="shared" si="74"/>
        <v>353749</v>
      </c>
      <c r="W221" s="161">
        <f t="shared" si="74"/>
        <v>371009</v>
      </c>
      <c r="X221" s="161">
        <f t="shared" si="74"/>
        <v>376153</v>
      </c>
      <c r="Y221" s="161">
        <f t="shared" si="74"/>
        <v>381129</v>
      </c>
      <c r="Z221" s="161">
        <f t="shared" si="74"/>
        <v>391381</v>
      </c>
      <c r="AA221" s="161">
        <f t="shared" si="74"/>
        <v>399107</v>
      </c>
      <c r="AB221" s="161">
        <f t="shared" si="74"/>
        <v>413493</v>
      </c>
      <c r="AC221" s="161">
        <f t="shared" si="74"/>
        <v>427675</v>
      </c>
      <c r="AD221" s="161">
        <f t="shared" si="74"/>
        <v>427000</v>
      </c>
      <c r="AE221" s="161">
        <f t="shared" si="74"/>
        <v>431851</v>
      </c>
      <c r="AF221" s="161">
        <f t="shared" si="74"/>
        <v>437262</v>
      </c>
      <c r="AG221" s="161">
        <f t="shared" si="74"/>
        <v>439954</v>
      </c>
      <c r="AH221" s="161">
        <f t="shared" si="74"/>
        <v>441399</v>
      </c>
      <c r="AI221" s="161">
        <f t="shared" si="74"/>
        <v>448752</v>
      </c>
      <c r="AJ221" s="161">
        <f t="shared" si="74"/>
        <v>449120</v>
      </c>
      <c r="AK221" s="161">
        <f t="shared" si="74"/>
        <v>452561</v>
      </c>
      <c r="AL221" s="161">
        <f t="shared" si="74"/>
        <v>452335</v>
      </c>
      <c r="AM221" s="161">
        <f t="shared" si="74"/>
        <v>443174</v>
      </c>
      <c r="AN221" s="161">
        <f t="shared" si="74"/>
        <v>434801</v>
      </c>
      <c r="AO221" s="161">
        <f t="shared" si="74"/>
        <v>427229</v>
      </c>
      <c r="AP221" s="161">
        <f t="shared" si="74"/>
        <v>417316</v>
      </c>
      <c r="AQ221" s="161">
        <f t="shared" si="74"/>
        <v>413832</v>
      </c>
      <c r="AR221" s="161">
        <f t="shared" si="74"/>
        <v>423667</v>
      </c>
      <c r="AS221" s="161">
        <f t="shared" si="74"/>
        <v>425241</v>
      </c>
      <c r="AT221" s="161">
        <f t="shared" si="74"/>
        <v>414814</v>
      </c>
      <c r="AU221" s="161">
        <f t="shared" si="74"/>
        <v>411882</v>
      </c>
      <c r="AV221" s="161">
        <f t="shared" si="74"/>
        <v>417882</v>
      </c>
      <c r="AW221" s="161">
        <f t="shared" si="74"/>
        <v>424810</v>
      </c>
      <c r="AX221" s="161">
        <f t="shared" si="74"/>
        <v>432482</v>
      </c>
      <c r="AY221" s="161">
        <f t="shared" si="74"/>
        <v>430070</v>
      </c>
      <c r="AZ221" s="161">
        <f t="shared" si="74"/>
        <v>428395</v>
      </c>
      <c r="BA221" s="161">
        <f t="shared" si="74"/>
        <v>426949</v>
      </c>
      <c r="BB221" s="161">
        <f t="shared" si="74"/>
        <v>430879</v>
      </c>
      <c r="BC221" s="161">
        <f t="shared" si="74"/>
        <v>428225</v>
      </c>
      <c r="BD221" s="161">
        <f t="shared" si="74"/>
        <v>419499</v>
      </c>
      <c r="BE221" s="161">
        <f t="shared" si="74"/>
        <v>412936</v>
      </c>
      <c r="BF221" s="161">
        <f t="shared" si="74"/>
        <v>408640</v>
      </c>
      <c r="BG221" s="161">
        <f t="shared" si="74"/>
        <v>407053</v>
      </c>
      <c r="BH221" s="161">
        <f t="shared" si="74"/>
        <v>402015</v>
      </c>
      <c r="BI221" s="161">
        <f t="shared" si="74"/>
        <v>395726</v>
      </c>
      <c r="BJ221" s="161">
        <f t="shared" si="74"/>
        <v>391856</v>
      </c>
      <c r="BK221" s="161">
        <f t="shared" si="74"/>
        <v>377479</v>
      </c>
      <c r="BL221" s="161">
        <f t="shared" si="74"/>
        <v>365965</v>
      </c>
      <c r="BM221" s="161">
        <f t="shared" si="74"/>
        <v>347781</v>
      </c>
      <c r="BN221" s="161">
        <f t="shared" si="74"/>
        <v>339372</v>
      </c>
      <c r="BO221" s="161">
        <f t="shared" si="74"/>
        <v>329921</v>
      </c>
      <c r="BP221" s="161">
        <f t="shared" si="74"/>
        <v>326969</v>
      </c>
      <c r="BQ221" s="161">
        <f t="shared" si="74"/>
        <v>326568</v>
      </c>
      <c r="BR221" s="161">
        <f t="shared" si="73"/>
        <v>328395</v>
      </c>
      <c r="BS221" s="161">
        <f t="shared" si="73"/>
        <v>332054</v>
      </c>
      <c r="BT221" s="161">
        <f t="shared" si="73"/>
        <v>337538</v>
      </c>
      <c r="BU221" s="161">
        <f t="shared" si="73"/>
        <v>346856</v>
      </c>
      <c r="BV221" s="161">
        <f t="shared" si="73"/>
        <v>347626</v>
      </c>
      <c r="BW221" s="161">
        <f t="shared" si="73"/>
        <v>324455</v>
      </c>
      <c r="BX221" s="161">
        <f t="shared" si="73"/>
        <v>317851</v>
      </c>
      <c r="BY221" s="161">
        <f t="shared" si="73"/>
        <v>303354</v>
      </c>
      <c r="BZ221" s="161">
        <f t="shared" si="73"/>
        <v>294215</v>
      </c>
      <c r="CA221" s="161">
        <f t="shared" si="73"/>
        <v>289127</v>
      </c>
      <c r="CB221" s="161">
        <f t="shared" si="73"/>
        <v>287753</v>
      </c>
      <c r="CC221" s="161">
        <f t="shared" si="73"/>
        <v>289790</v>
      </c>
      <c r="CD221" s="161">
        <f t="shared" si="73"/>
        <v>286808</v>
      </c>
      <c r="CE221" s="161">
        <f t="shared" si="73"/>
        <v>277761</v>
      </c>
      <c r="CF221" s="161">
        <f t="shared" si="73"/>
        <v>267721</v>
      </c>
      <c r="CG221" s="161">
        <f t="shared" si="73"/>
        <v>250452</v>
      </c>
      <c r="CH221" s="161">
        <f t="shared" si="73"/>
        <v>236895</v>
      </c>
      <c r="CI221" s="161">
        <f t="shared" si="73"/>
        <v>221927</v>
      </c>
      <c r="CJ221" s="161">
        <f t="shared" si="73"/>
        <v>206350</v>
      </c>
      <c r="CK221" s="161">
        <f t="shared" si="73"/>
        <v>191724</v>
      </c>
      <c r="CL221" s="161">
        <f t="shared" si="73"/>
        <v>175330</v>
      </c>
      <c r="CM221" s="161">
        <f t="shared" si="73"/>
        <v>159218</v>
      </c>
      <c r="CN221" s="161">
        <f t="shared" si="73"/>
        <v>145532</v>
      </c>
      <c r="CO221" s="161">
        <f t="shared" si="73"/>
        <v>129164</v>
      </c>
      <c r="CP221" s="161">
        <f t="shared" si="73"/>
        <v>115291</v>
      </c>
      <c r="CQ221" s="161">
        <f t="shared" si="73"/>
        <v>100694</v>
      </c>
      <c r="CR221" s="161">
        <f t="shared" si="73"/>
        <v>85311</v>
      </c>
      <c r="CS221" s="161">
        <f t="shared" si="73"/>
        <v>73462</v>
      </c>
      <c r="CT221" s="161">
        <f t="shared" si="73"/>
        <v>63204</v>
      </c>
      <c r="CU221" s="161">
        <f t="shared" si="73"/>
        <v>43162</v>
      </c>
      <c r="CV221" s="161">
        <f t="shared" si="73"/>
        <v>32661</v>
      </c>
      <c r="CW221" s="161">
        <f t="shared" si="73"/>
        <v>23769</v>
      </c>
      <c r="CX221" s="161">
        <f t="shared" si="73"/>
        <v>16213</v>
      </c>
      <c r="CY221" s="161">
        <f t="shared" si="73"/>
        <v>11664</v>
      </c>
      <c r="CZ221" s="161">
        <f t="shared" si="73"/>
        <v>7705</v>
      </c>
      <c r="DA221" s="161">
        <f t="shared" si="73"/>
        <v>17135</v>
      </c>
      <c r="DB221" s="162">
        <f>SUM(E221:DA221)</f>
        <v>32308944</v>
      </c>
      <c r="DC221" s="163">
        <f>DB221/1000000</f>
        <v>32.308943999999997</v>
      </c>
      <c r="DD221" s="165">
        <f>(DC221-DC220)/DC220</f>
        <v>8.7841399587461743E-3</v>
      </c>
    </row>
    <row r="222" spans="1:108" x14ac:dyDescent="0.2">
      <c r="A222" s="159"/>
      <c r="B222" s="159"/>
      <c r="C222" s="159"/>
      <c r="D222" s="166"/>
      <c r="E222" s="167"/>
      <c r="F222" s="167"/>
      <c r="G222" s="167"/>
      <c r="H222" s="167"/>
      <c r="I222" s="167"/>
      <c r="J222" s="167"/>
      <c r="K222" s="167"/>
      <c r="L222" s="167"/>
      <c r="M222" s="167"/>
      <c r="N222" s="167"/>
      <c r="O222" s="167"/>
      <c r="P222" s="167"/>
      <c r="Q222" s="167"/>
      <c r="R222" s="167"/>
      <c r="S222" s="167"/>
      <c r="T222" s="167"/>
      <c r="U222" s="167"/>
      <c r="V222" s="167"/>
      <c r="W222" s="167"/>
      <c r="X222" s="167"/>
      <c r="Y222" s="167"/>
      <c r="Z222" s="167"/>
      <c r="AA222" s="167"/>
      <c r="AB222" s="167"/>
      <c r="AC222" s="167"/>
      <c r="AD222" s="167"/>
      <c r="AE222" s="167"/>
      <c r="AF222" s="167"/>
      <c r="AG222" s="167"/>
      <c r="AH222" s="167"/>
      <c r="AI222" s="167"/>
      <c r="AJ222" s="167"/>
      <c r="AK222" s="167"/>
      <c r="AL222" s="167"/>
      <c r="AM222" s="167"/>
      <c r="AN222" s="167"/>
      <c r="AO222" s="167"/>
      <c r="AP222" s="167"/>
      <c r="AQ222" s="167"/>
      <c r="AR222" s="167"/>
      <c r="AS222" s="167"/>
      <c r="AT222" s="167"/>
      <c r="AU222" s="167"/>
      <c r="AV222" s="167"/>
      <c r="AW222" s="167"/>
      <c r="AX222" s="167"/>
      <c r="AY222" s="167"/>
      <c r="AZ222" s="167"/>
      <c r="BA222" s="167"/>
      <c r="BB222" s="167"/>
      <c r="BC222" s="167"/>
      <c r="BD222" s="167"/>
      <c r="BE222" s="167"/>
      <c r="BF222" s="167"/>
      <c r="BG222" s="167"/>
      <c r="BH222" s="167"/>
      <c r="BI222" s="167"/>
      <c r="BJ222" s="167"/>
      <c r="BK222" s="167"/>
      <c r="BL222" s="167"/>
      <c r="BM222" s="167"/>
      <c r="BN222" s="167"/>
      <c r="BO222" s="167"/>
      <c r="BP222" s="167"/>
      <c r="BQ222" s="167"/>
      <c r="BR222" s="167"/>
      <c r="BS222" s="167"/>
      <c r="BT222" s="167"/>
      <c r="BU222" s="167"/>
      <c r="BV222" s="167"/>
      <c r="BW222" s="167"/>
      <c r="BX222" s="167"/>
      <c r="BY222" s="167"/>
      <c r="BZ222" s="167"/>
      <c r="CA222" s="167"/>
      <c r="CB222" s="167"/>
      <c r="CC222" s="167"/>
      <c r="CD222" s="167"/>
      <c r="CE222" s="167"/>
      <c r="CF222" s="167"/>
      <c r="CG222" s="167"/>
      <c r="CH222" s="167"/>
      <c r="CI222" s="167"/>
      <c r="CJ222" s="167"/>
      <c r="CK222" s="167"/>
      <c r="CL222" s="167"/>
      <c r="CM222" s="168"/>
      <c r="CN222" s="168"/>
      <c r="CO222" s="168"/>
      <c r="CP222" s="168"/>
      <c r="CQ222" s="168"/>
      <c r="CR222" s="168"/>
      <c r="CS222" s="168"/>
      <c r="CT222" s="168"/>
      <c r="CU222" s="168"/>
      <c r="CV222" s="168"/>
      <c r="CW222" s="168"/>
      <c r="CX222" s="168"/>
      <c r="CY222" s="168"/>
      <c r="CZ222" s="168"/>
      <c r="DA222" s="168"/>
      <c r="DB222" s="169"/>
      <c r="DC222" s="170"/>
      <c r="DD222" s="171"/>
    </row>
    <row r="223" spans="1:108" x14ac:dyDescent="0.2">
      <c r="A223" s="159"/>
      <c r="B223" s="159"/>
      <c r="C223" s="159"/>
      <c r="D223" s="166"/>
      <c r="E223" s="167"/>
      <c r="F223" s="167"/>
      <c r="G223" s="167"/>
      <c r="H223" s="167"/>
      <c r="I223" s="167"/>
      <c r="J223" s="167"/>
      <c r="K223" s="167"/>
      <c r="L223" s="167"/>
      <c r="M223" s="167"/>
      <c r="N223" s="167"/>
      <c r="O223" s="167"/>
      <c r="P223" s="167"/>
      <c r="Q223" s="167"/>
      <c r="R223" s="167"/>
      <c r="S223" s="167"/>
      <c r="T223" s="167"/>
      <c r="U223" s="167"/>
      <c r="V223" s="167"/>
      <c r="W223" s="167"/>
      <c r="X223" s="167"/>
      <c r="Y223" s="167"/>
      <c r="Z223" s="167"/>
      <c r="AA223" s="167"/>
      <c r="AB223" s="167"/>
      <c r="AC223" s="167"/>
      <c r="AD223" s="167"/>
      <c r="AE223" s="167"/>
      <c r="AF223" s="167"/>
      <c r="AG223" s="167"/>
      <c r="AH223" s="167"/>
      <c r="AI223" s="167"/>
      <c r="AJ223" s="167"/>
      <c r="AK223" s="167"/>
      <c r="AL223" s="167"/>
      <c r="AM223" s="167"/>
      <c r="AN223" s="167"/>
      <c r="AO223" s="167"/>
      <c r="AP223" s="167"/>
      <c r="AQ223" s="167"/>
      <c r="AR223" s="167"/>
      <c r="AS223" s="167"/>
      <c r="AT223" s="167"/>
      <c r="AU223" s="167"/>
      <c r="AV223" s="167"/>
      <c r="AW223" s="167"/>
      <c r="AX223" s="167"/>
      <c r="AY223" s="167"/>
      <c r="AZ223" s="167"/>
      <c r="BA223" s="167"/>
      <c r="BB223" s="167"/>
      <c r="BC223" s="167"/>
      <c r="BD223" s="167"/>
      <c r="BE223" s="167"/>
      <c r="BF223" s="167"/>
      <c r="BG223" s="167"/>
      <c r="BH223" s="167"/>
      <c r="BI223" s="167"/>
      <c r="BJ223" s="167"/>
      <c r="BK223" s="167"/>
      <c r="BL223" s="167"/>
      <c r="BM223" s="167"/>
      <c r="BN223" s="167"/>
      <c r="BO223" s="167"/>
      <c r="BP223" s="167"/>
      <c r="BQ223" s="167"/>
      <c r="BR223" s="167"/>
      <c r="BS223" s="167"/>
      <c r="BT223" s="167"/>
      <c r="BU223" s="167"/>
      <c r="BV223" s="167"/>
      <c r="BW223" s="167"/>
      <c r="BX223" s="167"/>
      <c r="BY223" s="167"/>
      <c r="BZ223" s="167"/>
      <c r="CA223" s="167"/>
      <c r="CB223" s="167"/>
      <c r="CC223" s="167"/>
      <c r="CD223" s="167"/>
      <c r="CE223" s="167"/>
      <c r="CF223" s="167"/>
      <c r="CG223" s="167"/>
      <c r="CH223" s="167"/>
      <c r="CI223" s="167"/>
      <c r="CJ223" s="167"/>
      <c r="CK223" s="167"/>
      <c r="CL223" s="167"/>
      <c r="CM223" s="168"/>
      <c r="CN223" s="168"/>
      <c r="CO223" s="168"/>
      <c r="CP223" s="168"/>
      <c r="CQ223" s="168"/>
      <c r="CR223" s="168"/>
      <c r="CS223" s="168"/>
      <c r="CT223" s="168"/>
      <c r="CU223" s="168"/>
      <c r="CV223" s="168"/>
      <c r="CW223" s="168"/>
      <c r="CX223" s="168"/>
      <c r="CY223" s="168"/>
      <c r="CZ223" s="168"/>
      <c r="DA223" s="168"/>
      <c r="DB223" s="169"/>
      <c r="DC223" s="170"/>
      <c r="DD223" s="171"/>
    </row>
    <row r="224" spans="1:108" ht="15.75" x14ac:dyDescent="0.2">
      <c r="D224" s="111" t="s">
        <v>868</v>
      </c>
      <c r="E224" s="113"/>
      <c r="F224" s="113"/>
      <c r="G224" s="113"/>
      <c r="H224" s="113"/>
      <c r="I224" s="113"/>
      <c r="J224" s="113"/>
      <c r="K224" s="113"/>
      <c r="L224" s="113"/>
      <c r="M224" s="113"/>
      <c r="N224" s="113"/>
      <c r="O224" s="113"/>
      <c r="P224" s="113"/>
      <c r="Q224" s="113"/>
      <c r="R224" s="113"/>
      <c r="S224" s="113"/>
      <c r="T224" s="113"/>
      <c r="U224" s="113"/>
      <c r="V224" s="113"/>
      <c r="W224" s="113"/>
      <c r="X224" s="113"/>
      <c r="Y224" s="113"/>
      <c r="Z224" s="113"/>
      <c r="AA224" s="113"/>
      <c r="AB224" s="113"/>
      <c r="AC224" s="113"/>
      <c r="AD224" s="113"/>
      <c r="AE224" s="113"/>
      <c r="AF224" s="113"/>
      <c r="AG224" s="113"/>
      <c r="AH224" s="113"/>
      <c r="AI224" s="113"/>
      <c r="AJ224" s="113"/>
      <c r="AK224" s="113"/>
      <c r="AL224" s="113"/>
      <c r="AM224" s="113"/>
      <c r="AN224" s="113"/>
      <c r="AO224" s="113"/>
      <c r="AP224" s="113"/>
      <c r="AQ224" s="113"/>
      <c r="AR224" s="113"/>
      <c r="AS224" s="113"/>
      <c r="AT224" s="113"/>
      <c r="AU224" s="113"/>
      <c r="AV224" s="113"/>
      <c r="AW224" s="113"/>
      <c r="AX224" s="113"/>
      <c r="AY224" s="113"/>
      <c r="AZ224" s="113"/>
      <c r="BA224" s="113"/>
      <c r="BB224" s="113"/>
      <c r="BC224" s="113"/>
      <c r="BD224" s="113"/>
      <c r="BE224" s="113"/>
      <c r="BF224" s="113"/>
      <c r="BG224" s="113"/>
      <c r="BH224" s="113"/>
      <c r="BI224" s="113"/>
      <c r="BJ224" s="113"/>
      <c r="BK224" s="113"/>
      <c r="BL224" s="113"/>
      <c r="BM224" s="113"/>
      <c r="BN224" s="113"/>
      <c r="BO224" s="113"/>
      <c r="BP224" s="113"/>
      <c r="BQ224" s="113"/>
      <c r="BR224" s="113"/>
      <c r="BS224" s="113"/>
      <c r="BT224" s="113"/>
      <c r="BU224" s="113"/>
      <c r="BV224" s="113"/>
      <c r="BW224" s="113"/>
      <c r="BX224" s="113"/>
      <c r="BY224" s="113"/>
      <c r="BZ224" s="113"/>
      <c r="CA224" s="113"/>
      <c r="CB224" s="113"/>
      <c r="CC224" s="113"/>
      <c r="CD224" s="113"/>
      <c r="CE224" s="113"/>
      <c r="CF224" s="113"/>
      <c r="CG224" s="113"/>
      <c r="CH224" s="113"/>
      <c r="CI224" s="113"/>
      <c r="CJ224" s="113"/>
      <c r="CK224" s="113"/>
      <c r="CL224" s="113"/>
      <c r="CM224" s="113"/>
      <c r="CN224" s="113"/>
      <c r="CO224" s="113"/>
      <c r="CP224" s="113"/>
      <c r="CQ224" s="113"/>
      <c r="CR224" s="113"/>
      <c r="CS224" s="113"/>
      <c r="CT224" s="113"/>
      <c r="CU224" s="113"/>
      <c r="CV224" s="113"/>
      <c r="CW224" s="113"/>
      <c r="CX224" s="113"/>
      <c r="CY224" s="113"/>
      <c r="CZ224" s="113"/>
      <c r="DA224" s="113"/>
      <c r="DB224" s="113"/>
      <c r="DC224" s="113"/>
      <c r="DD224" s="113"/>
    </row>
    <row r="225" spans="1:108" x14ac:dyDescent="0.2"/>
    <row r="226" spans="1:108" x14ac:dyDescent="0.2">
      <c r="E226" s="157" t="s">
        <v>232</v>
      </c>
    </row>
    <row r="227" spans="1:108" x14ac:dyDescent="0.2">
      <c r="A227" s="158"/>
      <c r="B227" s="158"/>
      <c r="C227" s="158"/>
      <c r="D227" s="158"/>
      <c r="E227" s="32">
        <v>0</v>
      </c>
      <c r="F227" s="32">
        <v>1</v>
      </c>
      <c r="G227" s="32">
        <v>2</v>
      </c>
      <c r="H227" s="32">
        <v>3</v>
      </c>
      <c r="I227" s="32">
        <v>4</v>
      </c>
      <c r="J227" s="32">
        <v>5</v>
      </c>
      <c r="K227" s="32">
        <v>6</v>
      </c>
      <c r="L227" s="32">
        <v>7</v>
      </c>
      <c r="M227" s="32">
        <v>8</v>
      </c>
      <c r="N227" s="32">
        <v>9</v>
      </c>
      <c r="O227" s="32">
        <v>10</v>
      </c>
      <c r="P227" s="32">
        <v>11</v>
      </c>
      <c r="Q227" s="32">
        <v>12</v>
      </c>
      <c r="R227" s="32">
        <v>13</v>
      </c>
      <c r="S227" s="32">
        <v>14</v>
      </c>
      <c r="T227" s="32">
        <v>15</v>
      </c>
      <c r="U227" s="32">
        <v>16</v>
      </c>
      <c r="V227" s="32">
        <v>17</v>
      </c>
      <c r="W227" s="32">
        <v>18</v>
      </c>
      <c r="X227" s="32">
        <v>19</v>
      </c>
      <c r="Y227" s="32">
        <v>20</v>
      </c>
      <c r="Z227" s="32">
        <v>21</v>
      </c>
      <c r="AA227" s="32">
        <v>22</v>
      </c>
      <c r="AB227" s="32">
        <v>23</v>
      </c>
      <c r="AC227" s="32">
        <v>24</v>
      </c>
      <c r="AD227" s="32">
        <v>25</v>
      </c>
      <c r="AE227" s="32">
        <v>26</v>
      </c>
      <c r="AF227" s="32">
        <v>27</v>
      </c>
      <c r="AG227" s="32">
        <v>28</v>
      </c>
      <c r="AH227" s="32">
        <v>29</v>
      </c>
      <c r="AI227" s="32">
        <v>30</v>
      </c>
      <c r="AJ227" s="32">
        <v>31</v>
      </c>
      <c r="AK227" s="32">
        <v>32</v>
      </c>
      <c r="AL227" s="32">
        <v>33</v>
      </c>
      <c r="AM227" s="32">
        <v>34</v>
      </c>
      <c r="AN227" s="32">
        <v>35</v>
      </c>
      <c r="AO227" s="32">
        <v>36</v>
      </c>
      <c r="AP227" s="32">
        <v>37</v>
      </c>
      <c r="AQ227" s="32">
        <v>38</v>
      </c>
      <c r="AR227" s="32">
        <v>39</v>
      </c>
      <c r="AS227" s="32">
        <v>40</v>
      </c>
      <c r="AT227" s="32">
        <v>41</v>
      </c>
      <c r="AU227" s="32">
        <v>42</v>
      </c>
      <c r="AV227" s="32">
        <v>43</v>
      </c>
      <c r="AW227" s="32">
        <v>44</v>
      </c>
      <c r="AX227" s="32">
        <v>45</v>
      </c>
      <c r="AY227" s="32">
        <v>46</v>
      </c>
      <c r="AZ227" s="32">
        <v>47</v>
      </c>
      <c r="BA227" s="32">
        <v>48</v>
      </c>
      <c r="BB227" s="32">
        <v>49</v>
      </c>
      <c r="BC227" s="32">
        <v>50</v>
      </c>
      <c r="BD227" s="32">
        <v>51</v>
      </c>
      <c r="BE227" s="32">
        <v>52</v>
      </c>
      <c r="BF227" s="32">
        <v>53</v>
      </c>
      <c r="BG227" s="32">
        <v>54</v>
      </c>
      <c r="BH227" s="32">
        <v>55</v>
      </c>
      <c r="BI227" s="32">
        <v>56</v>
      </c>
      <c r="BJ227" s="32">
        <v>57</v>
      </c>
      <c r="BK227" s="32">
        <v>58</v>
      </c>
      <c r="BL227" s="32">
        <v>59</v>
      </c>
      <c r="BM227" s="32">
        <v>60</v>
      </c>
      <c r="BN227" s="32">
        <v>61</v>
      </c>
      <c r="BO227" s="32">
        <v>62</v>
      </c>
      <c r="BP227" s="32">
        <v>63</v>
      </c>
      <c r="BQ227" s="32">
        <v>64</v>
      </c>
      <c r="BR227" s="32">
        <v>65</v>
      </c>
      <c r="BS227" s="32">
        <v>66</v>
      </c>
      <c r="BT227" s="32">
        <v>67</v>
      </c>
      <c r="BU227" s="32">
        <v>68</v>
      </c>
      <c r="BV227" s="32">
        <v>69</v>
      </c>
      <c r="BW227" s="32">
        <v>70</v>
      </c>
      <c r="BX227" s="32">
        <v>71</v>
      </c>
      <c r="BY227" s="32">
        <v>72</v>
      </c>
      <c r="BZ227" s="32">
        <v>73</v>
      </c>
      <c r="CA227" s="32">
        <v>74</v>
      </c>
      <c r="CB227" s="32">
        <v>75</v>
      </c>
      <c r="CC227" s="32">
        <v>76</v>
      </c>
      <c r="CD227" s="32">
        <v>77</v>
      </c>
      <c r="CE227" s="32">
        <v>78</v>
      </c>
      <c r="CF227" s="32">
        <v>79</v>
      </c>
      <c r="CG227" s="32">
        <v>80</v>
      </c>
      <c r="CH227" s="32">
        <v>81</v>
      </c>
      <c r="CI227" s="32">
        <v>82</v>
      </c>
      <c r="CJ227" s="32">
        <v>83</v>
      </c>
      <c r="CK227" s="32">
        <v>84</v>
      </c>
      <c r="CL227" s="32">
        <v>85</v>
      </c>
      <c r="CM227" s="32">
        <v>86</v>
      </c>
      <c r="CN227" s="32">
        <v>87</v>
      </c>
      <c r="CO227" s="32">
        <v>88</v>
      </c>
      <c r="CP227" s="32">
        <v>89</v>
      </c>
      <c r="CQ227" s="32">
        <v>90</v>
      </c>
      <c r="CR227" s="32">
        <v>91</v>
      </c>
      <c r="CS227" s="32">
        <v>92</v>
      </c>
      <c r="CT227" s="32">
        <v>93</v>
      </c>
      <c r="CU227" s="32">
        <v>94</v>
      </c>
      <c r="CV227" s="32">
        <v>95</v>
      </c>
      <c r="CW227" s="32">
        <v>96</v>
      </c>
      <c r="CX227" s="32">
        <v>97</v>
      </c>
      <c r="CY227" s="32">
        <v>98</v>
      </c>
      <c r="CZ227" s="32">
        <v>99</v>
      </c>
      <c r="DA227" s="32">
        <v>100</v>
      </c>
      <c r="DB227" s="46" t="s">
        <v>73</v>
      </c>
      <c r="DC227" s="46" t="s">
        <v>290</v>
      </c>
      <c r="DD227" s="46" t="s">
        <v>291</v>
      </c>
    </row>
    <row r="228" spans="1:108" x14ac:dyDescent="0.2">
      <c r="A228" s="159"/>
      <c r="B228" s="159"/>
      <c r="C228" s="159"/>
      <c r="D228" s="160">
        <f>D203</f>
        <v>2022</v>
      </c>
      <c r="E228" s="530">
        <v>157702</v>
      </c>
      <c r="F228" s="530">
        <v>153638</v>
      </c>
      <c r="G228" s="530">
        <v>152246</v>
      </c>
      <c r="H228" s="530">
        <v>156313</v>
      </c>
      <c r="I228" s="530">
        <v>157342</v>
      </c>
      <c r="J228" s="530">
        <v>161236</v>
      </c>
      <c r="K228" s="530">
        <v>166192</v>
      </c>
      <c r="L228" s="530">
        <v>165553</v>
      </c>
      <c r="M228" s="530">
        <v>167224</v>
      </c>
      <c r="N228" s="530">
        <v>169269</v>
      </c>
      <c r="O228" s="530">
        <v>168556</v>
      </c>
      <c r="P228" s="530">
        <v>167690</v>
      </c>
      <c r="Q228" s="530">
        <v>169415</v>
      </c>
      <c r="R228" s="530">
        <v>168319</v>
      </c>
      <c r="S228" s="530">
        <v>168098</v>
      </c>
      <c r="T228" s="530">
        <v>166771</v>
      </c>
      <c r="U228" s="530">
        <v>159811</v>
      </c>
      <c r="V228" s="530">
        <v>154738</v>
      </c>
      <c r="W228" s="530">
        <v>153763</v>
      </c>
      <c r="X228" s="530">
        <v>155729</v>
      </c>
      <c r="Y228" s="530">
        <v>159727</v>
      </c>
      <c r="Z228" s="530">
        <v>167749</v>
      </c>
      <c r="AA228" s="530">
        <v>171697</v>
      </c>
      <c r="AB228" s="530">
        <v>172033</v>
      </c>
      <c r="AC228" s="530">
        <v>174706</v>
      </c>
      <c r="AD228" s="530">
        <v>178899</v>
      </c>
      <c r="AE228" s="530">
        <v>183301</v>
      </c>
      <c r="AF228" s="530">
        <v>188031</v>
      </c>
      <c r="AG228" s="530">
        <v>187161</v>
      </c>
      <c r="AH228" s="530">
        <v>186971</v>
      </c>
      <c r="AI228" s="530">
        <v>187309</v>
      </c>
      <c r="AJ228" s="530">
        <v>191296</v>
      </c>
      <c r="AK228" s="530">
        <v>191873</v>
      </c>
      <c r="AL228" s="530">
        <v>189404</v>
      </c>
      <c r="AM228" s="530">
        <v>187566</v>
      </c>
      <c r="AN228" s="530">
        <v>188120</v>
      </c>
      <c r="AO228" s="530">
        <v>189689</v>
      </c>
      <c r="AP228" s="530">
        <v>188446</v>
      </c>
      <c r="AQ228" s="530">
        <v>187159</v>
      </c>
      <c r="AR228" s="530">
        <v>186891</v>
      </c>
      <c r="AS228" s="530">
        <v>180849</v>
      </c>
      <c r="AT228" s="530">
        <v>175260</v>
      </c>
      <c r="AU228" s="530">
        <v>166038</v>
      </c>
      <c r="AV228" s="530">
        <v>161947</v>
      </c>
      <c r="AW228" s="530">
        <v>157655</v>
      </c>
      <c r="AX228" s="530">
        <v>156978</v>
      </c>
      <c r="AY228" s="530">
        <v>158603</v>
      </c>
      <c r="AZ228" s="530">
        <v>159708</v>
      </c>
      <c r="BA228" s="530">
        <v>162161</v>
      </c>
      <c r="BB228" s="530">
        <v>165601</v>
      </c>
      <c r="BC228" s="530">
        <v>170796</v>
      </c>
      <c r="BD228" s="530">
        <v>171857</v>
      </c>
      <c r="BE228" s="530">
        <v>161018</v>
      </c>
      <c r="BF228" s="530">
        <v>158221</v>
      </c>
      <c r="BG228" s="530">
        <v>151978</v>
      </c>
      <c r="BH228" s="530">
        <v>148860</v>
      </c>
      <c r="BI228" s="530">
        <v>148153</v>
      </c>
      <c r="BJ228" s="530">
        <v>149624</v>
      </c>
      <c r="BK228" s="530">
        <v>153294</v>
      </c>
      <c r="BL228" s="530">
        <v>154572</v>
      </c>
      <c r="BM228" s="530">
        <v>152985</v>
      </c>
      <c r="BN228" s="530">
        <v>150571</v>
      </c>
      <c r="BO228" s="530">
        <v>144192</v>
      </c>
      <c r="BP228" s="530">
        <v>141104</v>
      </c>
      <c r="BQ228" s="530">
        <v>136641</v>
      </c>
      <c r="BR228" s="530">
        <v>132860</v>
      </c>
      <c r="BS228" s="530">
        <v>130165</v>
      </c>
      <c r="BT228" s="530">
        <v>124713</v>
      </c>
      <c r="BU228" s="530">
        <v>120481</v>
      </c>
      <c r="BV228" s="530">
        <v>119065</v>
      </c>
      <c r="BW228" s="530">
        <v>115138</v>
      </c>
      <c r="BX228" s="530">
        <v>113246</v>
      </c>
      <c r="BY228" s="530">
        <v>110306</v>
      </c>
      <c r="BZ228" s="530">
        <v>106299</v>
      </c>
      <c r="CA228" s="530">
        <v>106175</v>
      </c>
      <c r="CB228" s="530">
        <v>107240</v>
      </c>
      <c r="CC228" s="530">
        <v>88148</v>
      </c>
      <c r="CD228" s="530">
        <v>81867</v>
      </c>
      <c r="CE228" s="530">
        <v>75502</v>
      </c>
      <c r="CF228" s="530">
        <v>65903</v>
      </c>
      <c r="CG228" s="530">
        <v>63216</v>
      </c>
      <c r="CH228" s="530">
        <v>56177</v>
      </c>
      <c r="CI228" s="530">
        <v>52051</v>
      </c>
      <c r="CJ228" s="530">
        <v>46799</v>
      </c>
      <c r="CK228" s="530">
        <v>42036</v>
      </c>
      <c r="CL228" s="530">
        <v>37647</v>
      </c>
      <c r="CM228" s="530">
        <v>32496</v>
      </c>
      <c r="CN228" s="530">
        <v>27432</v>
      </c>
      <c r="CO228" s="530">
        <v>23509</v>
      </c>
      <c r="CP228" s="530">
        <v>20168</v>
      </c>
      <c r="CQ228" s="530">
        <v>17002</v>
      </c>
      <c r="CR228" s="530">
        <v>14536</v>
      </c>
      <c r="CS228" s="530">
        <v>12004</v>
      </c>
      <c r="CT228" s="530">
        <v>9162</v>
      </c>
      <c r="CU228" s="530">
        <v>6783</v>
      </c>
      <c r="CV228" s="530">
        <v>4988</v>
      </c>
      <c r="CW228" s="530">
        <v>3789</v>
      </c>
      <c r="CX228" s="530">
        <v>2541</v>
      </c>
      <c r="CY228" s="530">
        <v>1574</v>
      </c>
      <c r="CZ228" s="530">
        <v>1010</v>
      </c>
      <c r="DA228" s="530">
        <v>1175</v>
      </c>
      <c r="DB228" s="162">
        <f t="shared" ref="DB228:DB244" si="75">SUM(E228:DA228)</f>
        <v>12909502</v>
      </c>
      <c r="DC228" s="163">
        <f t="shared" ref="DC228:DC244" si="76">DB228/1000000</f>
        <v>12.909502</v>
      </c>
      <c r="DD228" s="164"/>
    </row>
    <row r="229" spans="1:108" x14ac:dyDescent="0.2">
      <c r="A229" s="159"/>
      <c r="B229" s="159"/>
      <c r="C229" s="159"/>
      <c r="D229" s="160">
        <f t="shared" ref="D229:D246" si="77">D204</f>
        <v>2023</v>
      </c>
      <c r="E229" s="530">
        <v>154905</v>
      </c>
      <c r="F229" s="530">
        <v>158594</v>
      </c>
      <c r="G229" s="530">
        <v>155829</v>
      </c>
      <c r="H229" s="530">
        <v>154913</v>
      </c>
      <c r="I229" s="530">
        <v>159381</v>
      </c>
      <c r="J229" s="530">
        <v>160592</v>
      </c>
      <c r="K229" s="530">
        <v>164172</v>
      </c>
      <c r="L229" s="530">
        <v>168780</v>
      </c>
      <c r="M229" s="530">
        <v>168025</v>
      </c>
      <c r="N229" s="530">
        <v>169614</v>
      </c>
      <c r="O229" s="530">
        <v>171598</v>
      </c>
      <c r="P229" s="530">
        <v>170832</v>
      </c>
      <c r="Q229" s="530">
        <v>169829</v>
      </c>
      <c r="R229" s="530">
        <v>171469</v>
      </c>
      <c r="S229" s="530">
        <v>170483</v>
      </c>
      <c r="T229" s="530">
        <v>170533</v>
      </c>
      <c r="U229" s="530">
        <v>169453</v>
      </c>
      <c r="V229" s="530">
        <v>163825</v>
      </c>
      <c r="W229" s="530">
        <v>163781</v>
      </c>
      <c r="X229" s="530">
        <v>166429</v>
      </c>
      <c r="Y229" s="530">
        <v>165075</v>
      </c>
      <c r="Z229" s="530">
        <v>165611</v>
      </c>
      <c r="AA229" s="530">
        <v>175713</v>
      </c>
      <c r="AB229" s="530">
        <v>181982</v>
      </c>
      <c r="AC229" s="530">
        <v>179620</v>
      </c>
      <c r="AD229" s="530">
        <v>178425</v>
      </c>
      <c r="AE229" s="530">
        <v>181482</v>
      </c>
      <c r="AF229" s="530">
        <v>186121</v>
      </c>
      <c r="AG229" s="530">
        <v>191175</v>
      </c>
      <c r="AH229" s="530">
        <v>190546</v>
      </c>
      <c r="AI229" s="530">
        <v>190241</v>
      </c>
      <c r="AJ229" s="530">
        <v>190231</v>
      </c>
      <c r="AK229" s="530">
        <v>194075</v>
      </c>
      <c r="AL229" s="530">
        <v>194824</v>
      </c>
      <c r="AM229" s="530">
        <v>192342</v>
      </c>
      <c r="AN229" s="530">
        <v>190271</v>
      </c>
      <c r="AO229" s="530">
        <v>190694</v>
      </c>
      <c r="AP229" s="530">
        <v>192104</v>
      </c>
      <c r="AQ229" s="530">
        <v>190594</v>
      </c>
      <c r="AR229" s="530">
        <v>189140</v>
      </c>
      <c r="AS229" s="530">
        <v>188779</v>
      </c>
      <c r="AT229" s="530">
        <v>182487</v>
      </c>
      <c r="AU229" s="530">
        <v>176608</v>
      </c>
      <c r="AV229" s="530">
        <v>167169</v>
      </c>
      <c r="AW229" s="530">
        <v>162920</v>
      </c>
      <c r="AX229" s="530">
        <v>158537</v>
      </c>
      <c r="AY229" s="530">
        <v>157747</v>
      </c>
      <c r="AZ229" s="530">
        <v>159225</v>
      </c>
      <c r="BA229" s="530">
        <v>160211</v>
      </c>
      <c r="BB229" s="530">
        <v>162541</v>
      </c>
      <c r="BC229" s="530">
        <v>165868</v>
      </c>
      <c r="BD229" s="530">
        <v>171003</v>
      </c>
      <c r="BE229" s="530">
        <v>171989</v>
      </c>
      <c r="BF229" s="530">
        <v>161123</v>
      </c>
      <c r="BG229" s="530">
        <v>158356</v>
      </c>
      <c r="BH229" s="530">
        <v>152212</v>
      </c>
      <c r="BI229" s="530">
        <v>149168</v>
      </c>
      <c r="BJ229" s="530">
        <v>148404</v>
      </c>
      <c r="BK229" s="530">
        <v>149809</v>
      </c>
      <c r="BL229" s="530">
        <v>153550</v>
      </c>
      <c r="BM229" s="530">
        <v>154933</v>
      </c>
      <c r="BN229" s="530">
        <v>153438</v>
      </c>
      <c r="BO229" s="530">
        <v>151100</v>
      </c>
      <c r="BP229" s="530">
        <v>144741</v>
      </c>
      <c r="BQ229" s="530">
        <v>141579</v>
      </c>
      <c r="BR229" s="530">
        <v>136968</v>
      </c>
      <c r="BS229" s="530">
        <v>132963</v>
      </c>
      <c r="BT229" s="530">
        <v>130040</v>
      </c>
      <c r="BU229" s="530">
        <v>124396</v>
      </c>
      <c r="BV229" s="530">
        <v>120029</v>
      </c>
      <c r="BW229" s="530">
        <v>118441</v>
      </c>
      <c r="BX229" s="530">
        <v>114314</v>
      </c>
      <c r="BY229" s="530">
        <v>112196</v>
      </c>
      <c r="BZ229" s="530">
        <v>108984</v>
      </c>
      <c r="CA229" s="530">
        <v>104661</v>
      </c>
      <c r="CB229" s="530">
        <v>104239</v>
      </c>
      <c r="CC229" s="530">
        <v>105010</v>
      </c>
      <c r="CD229" s="530">
        <v>86055</v>
      </c>
      <c r="CE229" s="530">
        <v>79596</v>
      </c>
      <c r="CF229" s="530">
        <v>73085</v>
      </c>
      <c r="CG229" s="530">
        <v>63476</v>
      </c>
      <c r="CH229" s="530">
        <v>60508</v>
      </c>
      <c r="CI229" s="530">
        <v>53424</v>
      </c>
      <c r="CJ229" s="530">
        <v>49154</v>
      </c>
      <c r="CK229" s="530">
        <v>43837</v>
      </c>
      <c r="CL229" s="530">
        <v>39025</v>
      </c>
      <c r="CM229" s="530">
        <v>34586</v>
      </c>
      <c r="CN229" s="530">
        <v>29415</v>
      </c>
      <c r="CO229" s="530">
        <v>24469</v>
      </c>
      <c r="CP229" s="530">
        <v>20661</v>
      </c>
      <c r="CQ229" s="530">
        <v>17358</v>
      </c>
      <c r="CR229" s="530">
        <v>14309</v>
      </c>
      <c r="CS229" s="530">
        <v>12011</v>
      </c>
      <c r="CT229" s="530">
        <v>9722</v>
      </c>
      <c r="CU229" s="530">
        <v>7213</v>
      </c>
      <c r="CV229" s="530">
        <v>5199</v>
      </c>
      <c r="CW229" s="530">
        <v>3754</v>
      </c>
      <c r="CX229" s="530">
        <v>2797</v>
      </c>
      <c r="CY229" s="530">
        <v>1823</v>
      </c>
      <c r="CZ229" s="530">
        <v>1089</v>
      </c>
      <c r="DA229" s="530">
        <v>1498</v>
      </c>
      <c r="DB229" s="162">
        <f t="shared" si="75"/>
        <v>13163105</v>
      </c>
      <c r="DC229" s="163">
        <f t="shared" si="76"/>
        <v>13.163105</v>
      </c>
      <c r="DD229" s="165">
        <f>(DC229-DC228)/DC228</f>
        <v>1.9644677230771568E-2</v>
      </c>
    </row>
    <row r="230" spans="1:108" x14ac:dyDescent="0.2">
      <c r="A230" s="159"/>
      <c r="B230" s="159"/>
      <c r="C230" s="159"/>
      <c r="D230" s="160">
        <f t="shared" si="77"/>
        <v>2024</v>
      </c>
      <c r="E230" s="530">
        <v>156448</v>
      </c>
      <c r="F230" s="530">
        <v>155594</v>
      </c>
      <c r="G230" s="530">
        <v>160314</v>
      </c>
      <c r="H230" s="530">
        <v>157923</v>
      </c>
      <c r="I230" s="530">
        <v>157327</v>
      </c>
      <c r="J230" s="530">
        <v>161937</v>
      </c>
      <c r="K230" s="530">
        <v>162901</v>
      </c>
      <c r="L230" s="530">
        <v>166208</v>
      </c>
      <c r="M230" s="530">
        <v>170724</v>
      </c>
      <c r="N230" s="530">
        <v>169904</v>
      </c>
      <c r="O230" s="530">
        <v>171445</v>
      </c>
      <c r="P230" s="530">
        <v>173387</v>
      </c>
      <c r="Q230" s="530">
        <v>172511</v>
      </c>
      <c r="R230" s="530">
        <v>171444</v>
      </c>
      <c r="S230" s="530">
        <v>173168</v>
      </c>
      <c r="T230" s="530">
        <v>172396</v>
      </c>
      <c r="U230" s="530">
        <v>172637</v>
      </c>
      <c r="V230" s="530">
        <v>172599</v>
      </c>
      <c r="W230" s="530">
        <v>170929</v>
      </c>
      <c r="X230" s="530">
        <v>173737</v>
      </c>
      <c r="Y230" s="530">
        <v>173767</v>
      </c>
      <c r="Z230" s="530">
        <v>169687</v>
      </c>
      <c r="AA230" s="530">
        <v>171867</v>
      </c>
      <c r="AB230" s="530">
        <v>183793</v>
      </c>
      <c r="AC230" s="530">
        <v>187931</v>
      </c>
      <c r="AD230" s="530">
        <v>182523</v>
      </c>
      <c r="AE230" s="530">
        <v>180436</v>
      </c>
      <c r="AF230" s="530">
        <v>183680</v>
      </c>
      <c r="AG230" s="530">
        <v>188571</v>
      </c>
      <c r="AH230" s="530">
        <v>193812</v>
      </c>
      <c r="AI230" s="530">
        <v>193093</v>
      </c>
      <c r="AJ230" s="530">
        <v>192509</v>
      </c>
      <c r="AK230" s="530">
        <v>192392</v>
      </c>
      <c r="AL230" s="530">
        <v>196364</v>
      </c>
      <c r="AM230" s="530">
        <v>197100</v>
      </c>
      <c r="AN230" s="530">
        <v>194437</v>
      </c>
      <c r="AO230" s="530">
        <v>192262</v>
      </c>
      <c r="AP230" s="530">
        <v>192558</v>
      </c>
      <c r="AQ230" s="530">
        <v>193752</v>
      </c>
      <c r="AR230" s="530">
        <v>192110</v>
      </c>
      <c r="AS230" s="530">
        <v>190585</v>
      </c>
      <c r="AT230" s="530">
        <v>190016</v>
      </c>
      <c r="AU230" s="530">
        <v>183492</v>
      </c>
      <c r="AV230" s="530">
        <v>177431</v>
      </c>
      <c r="AW230" s="530">
        <v>167871</v>
      </c>
      <c r="AX230" s="530">
        <v>163545</v>
      </c>
      <c r="AY230" s="530">
        <v>159082</v>
      </c>
      <c r="AZ230" s="530">
        <v>158177</v>
      </c>
      <c r="BA230" s="530">
        <v>159550</v>
      </c>
      <c r="BB230" s="530">
        <v>160436</v>
      </c>
      <c r="BC230" s="530">
        <v>162670</v>
      </c>
      <c r="BD230" s="530">
        <v>165952</v>
      </c>
      <c r="BE230" s="530">
        <v>171007</v>
      </c>
      <c r="BF230" s="530">
        <v>171927</v>
      </c>
      <c r="BG230" s="530">
        <v>161105</v>
      </c>
      <c r="BH230" s="530">
        <v>158400</v>
      </c>
      <c r="BI230" s="530">
        <v>152314</v>
      </c>
      <c r="BJ230" s="530">
        <v>149222</v>
      </c>
      <c r="BK230" s="530">
        <v>148402</v>
      </c>
      <c r="BL230" s="530">
        <v>149861</v>
      </c>
      <c r="BM230" s="530">
        <v>153651</v>
      </c>
      <c r="BN230" s="530">
        <v>155080</v>
      </c>
      <c r="BO230" s="530">
        <v>153628</v>
      </c>
      <c r="BP230" s="530">
        <v>151261</v>
      </c>
      <c r="BQ230" s="530">
        <v>144847</v>
      </c>
      <c r="BR230" s="530">
        <v>141547</v>
      </c>
      <c r="BS230" s="530">
        <v>136763</v>
      </c>
      <c r="BT230" s="530">
        <v>132567</v>
      </c>
      <c r="BU230" s="530">
        <v>129434</v>
      </c>
      <c r="BV230" s="530">
        <v>123679</v>
      </c>
      <c r="BW230" s="530">
        <v>119194</v>
      </c>
      <c r="BX230" s="530">
        <v>117400</v>
      </c>
      <c r="BY230" s="530">
        <v>113106</v>
      </c>
      <c r="BZ230" s="530">
        <v>110723</v>
      </c>
      <c r="CA230" s="530">
        <v>107205</v>
      </c>
      <c r="CB230" s="530">
        <v>102698</v>
      </c>
      <c r="CC230" s="530">
        <v>102040</v>
      </c>
      <c r="CD230" s="530">
        <v>102425</v>
      </c>
      <c r="CE230" s="530">
        <v>83628</v>
      </c>
      <c r="CF230" s="530">
        <v>77023</v>
      </c>
      <c r="CG230" s="530">
        <v>70369</v>
      </c>
      <c r="CH230" s="530">
        <v>60761</v>
      </c>
      <c r="CI230" s="530">
        <v>57548</v>
      </c>
      <c r="CJ230" s="530">
        <v>50472</v>
      </c>
      <c r="CK230" s="530">
        <v>46069</v>
      </c>
      <c r="CL230" s="530">
        <v>40726</v>
      </c>
      <c r="CM230" s="530">
        <v>35883</v>
      </c>
      <c r="CN230" s="530">
        <v>31341</v>
      </c>
      <c r="CO230" s="530">
        <v>26271</v>
      </c>
      <c r="CP230" s="530">
        <v>21536</v>
      </c>
      <c r="CQ230" s="530">
        <v>17813</v>
      </c>
      <c r="CR230" s="530">
        <v>14640</v>
      </c>
      <c r="CS230" s="530">
        <v>11851</v>
      </c>
      <c r="CT230" s="530">
        <v>9753</v>
      </c>
      <c r="CU230" s="530">
        <v>7673</v>
      </c>
      <c r="CV230" s="530">
        <v>5542</v>
      </c>
      <c r="CW230" s="530">
        <v>3922</v>
      </c>
      <c r="CX230" s="530">
        <v>2777</v>
      </c>
      <c r="CY230" s="530">
        <v>2011</v>
      </c>
      <c r="CZ230" s="530">
        <v>1265</v>
      </c>
      <c r="DA230" s="530">
        <v>1784</v>
      </c>
      <c r="DB230" s="162">
        <f t="shared" si="75"/>
        <v>13375128</v>
      </c>
      <c r="DC230" s="163">
        <f t="shared" si="76"/>
        <v>13.375128</v>
      </c>
      <c r="DD230" s="165">
        <f t="shared" ref="DD230:DD244" si="78">(DC230-DC229)/DC229</f>
        <v>1.6107369803705151E-2</v>
      </c>
    </row>
    <row r="231" spans="1:108" x14ac:dyDescent="0.2">
      <c r="A231" s="159"/>
      <c r="B231" s="159"/>
      <c r="C231" s="159"/>
      <c r="D231" s="160">
        <f t="shared" si="77"/>
        <v>2025</v>
      </c>
      <c r="E231" s="530">
        <v>157400</v>
      </c>
      <c r="F231" s="530">
        <v>157111</v>
      </c>
      <c r="G231" s="530">
        <v>157253</v>
      </c>
      <c r="H231" s="530">
        <v>162335</v>
      </c>
      <c r="I231" s="530">
        <v>160251</v>
      </c>
      <c r="J231" s="530">
        <v>159794</v>
      </c>
      <c r="K231" s="530">
        <v>164165</v>
      </c>
      <c r="L231" s="530">
        <v>164866</v>
      </c>
      <c r="M231" s="530">
        <v>168085</v>
      </c>
      <c r="N231" s="530">
        <v>172536</v>
      </c>
      <c r="O231" s="530">
        <v>171672</v>
      </c>
      <c r="P231" s="530">
        <v>173173</v>
      </c>
      <c r="Q231" s="530">
        <v>175007</v>
      </c>
      <c r="R231" s="530">
        <v>174068</v>
      </c>
      <c r="S231" s="530">
        <v>173085</v>
      </c>
      <c r="T231" s="530">
        <v>175012</v>
      </c>
      <c r="U231" s="530">
        <v>174425</v>
      </c>
      <c r="V231" s="530">
        <v>175671</v>
      </c>
      <c r="W231" s="530">
        <v>179451</v>
      </c>
      <c r="X231" s="530">
        <v>180531</v>
      </c>
      <c r="Y231" s="530">
        <v>180812</v>
      </c>
      <c r="Z231" s="530">
        <v>178211</v>
      </c>
      <c r="AA231" s="530">
        <v>175722</v>
      </c>
      <c r="AB231" s="530">
        <v>179666</v>
      </c>
      <c r="AC231" s="530">
        <v>189530</v>
      </c>
      <c r="AD231" s="530">
        <v>190726</v>
      </c>
      <c r="AE231" s="530">
        <v>184462</v>
      </c>
      <c r="AF231" s="530">
        <v>182554</v>
      </c>
      <c r="AG231" s="530">
        <v>186044</v>
      </c>
      <c r="AH231" s="530">
        <v>191113</v>
      </c>
      <c r="AI231" s="530">
        <v>196263</v>
      </c>
      <c r="AJ231" s="530">
        <v>195278</v>
      </c>
      <c r="AK231" s="530">
        <v>194587</v>
      </c>
      <c r="AL231" s="530">
        <v>194601</v>
      </c>
      <c r="AM231" s="530">
        <v>198554</v>
      </c>
      <c r="AN231" s="530">
        <v>199113</v>
      </c>
      <c r="AO231" s="530">
        <v>196352</v>
      </c>
      <c r="AP231" s="530">
        <v>194053</v>
      </c>
      <c r="AQ231" s="530">
        <v>194145</v>
      </c>
      <c r="AR231" s="530">
        <v>195209</v>
      </c>
      <c r="AS231" s="530">
        <v>193494</v>
      </c>
      <c r="AT231" s="530">
        <v>191769</v>
      </c>
      <c r="AU231" s="530">
        <v>190972</v>
      </c>
      <c r="AV231" s="530">
        <v>184272</v>
      </c>
      <c r="AW231" s="530">
        <v>178085</v>
      </c>
      <c r="AX231" s="530">
        <v>168458</v>
      </c>
      <c r="AY231" s="530">
        <v>164054</v>
      </c>
      <c r="AZ231" s="530">
        <v>159486</v>
      </c>
      <c r="BA231" s="530">
        <v>158485</v>
      </c>
      <c r="BB231" s="530">
        <v>159760</v>
      </c>
      <c r="BC231" s="530">
        <v>160554</v>
      </c>
      <c r="BD231" s="530">
        <v>162748</v>
      </c>
      <c r="BE231" s="530">
        <v>165959</v>
      </c>
      <c r="BF231" s="530">
        <v>170937</v>
      </c>
      <c r="BG231" s="530">
        <v>171855</v>
      </c>
      <c r="BH231" s="530">
        <v>161119</v>
      </c>
      <c r="BI231" s="530">
        <v>158457</v>
      </c>
      <c r="BJ231" s="530">
        <v>152332</v>
      </c>
      <c r="BK231" s="530">
        <v>149199</v>
      </c>
      <c r="BL231" s="530">
        <v>148439</v>
      </c>
      <c r="BM231" s="530">
        <v>149961</v>
      </c>
      <c r="BN231" s="530">
        <v>153777</v>
      </c>
      <c r="BO231" s="530">
        <v>155227</v>
      </c>
      <c r="BP231" s="530">
        <v>153735</v>
      </c>
      <c r="BQ231" s="530">
        <v>151282</v>
      </c>
      <c r="BR231" s="530">
        <v>144758</v>
      </c>
      <c r="BS231" s="530">
        <v>141281</v>
      </c>
      <c r="BT231" s="530">
        <v>136313</v>
      </c>
      <c r="BU231" s="530">
        <v>131922</v>
      </c>
      <c r="BV231" s="530">
        <v>128645</v>
      </c>
      <c r="BW231" s="530">
        <v>122788</v>
      </c>
      <c r="BX231" s="530">
        <v>118142</v>
      </c>
      <c r="BY231" s="530">
        <v>116147</v>
      </c>
      <c r="BZ231" s="530">
        <v>111630</v>
      </c>
      <c r="CA231" s="530">
        <v>108925</v>
      </c>
      <c r="CB231" s="530">
        <v>105206</v>
      </c>
      <c r="CC231" s="530">
        <v>100562</v>
      </c>
      <c r="CD231" s="530">
        <v>99568</v>
      </c>
      <c r="CE231" s="530">
        <v>99530</v>
      </c>
      <c r="CF231" s="530">
        <v>80951</v>
      </c>
      <c r="CG231" s="530">
        <v>74191</v>
      </c>
      <c r="CH231" s="530">
        <v>67388</v>
      </c>
      <c r="CI231" s="530">
        <v>57831</v>
      </c>
      <c r="CJ231" s="530">
        <v>54408</v>
      </c>
      <c r="CK231" s="530">
        <v>47346</v>
      </c>
      <c r="CL231" s="530">
        <v>42840</v>
      </c>
      <c r="CM231" s="530">
        <v>37487</v>
      </c>
      <c r="CN231" s="530">
        <v>32557</v>
      </c>
      <c r="CO231" s="530">
        <v>28031</v>
      </c>
      <c r="CP231" s="530">
        <v>23157</v>
      </c>
      <c r="CQ231" s="530">
        <v>18601</v>
      </c>
      <c r="CR231" s="530">
        <v>15056</v>
      </c>
      <c r="CS231" s="530">
        <v>12153</v>
      </c>
      <c r="CT231" s="530">
        <v>9647</v>
      </c>
      <c r="CU231" s="530">
        <v>7718</v>
      </c>
      <c r="CV231" s="530">
        <v>5911</v>
      </c>
      <c r="CW231" s="530">
        <v>4191</v>
      </c>
      <c r="CX231" s="530">
        <v>2909</v>
      </c>
      <c r="CY231" s="530">
        <v>2002</v>
      </c>
      <c r="CZ231" s="530">
        <v>1399</v>
      </c>
      <c r="DA231" s="530">
        <v>2111</v>
      </c>
      <c r="DB231" s="162">
        <f t="shared" si="75"/>
        <v>13580604</v>
      </c>
      <c r="DC231" s="163">
        <f t="shared" si="76"/>
        <v>13.580603999999999</v>
      </c>
      <c r="DD231" s="165">
        <f t="shared" si="78"/>
        <v>1.5362544567797714E-2</v>
      </c>
    </row>
    <row r="232" spans="1:108" x14ac:dyDescent="0.2">
      <c r="A232" s="159"/>
      <c r="B232" s="159"/>
      <c r="C232" s="159"/>
      <c r="D232" s="160">
        <f t="shared" si="77"/>
        <v>2026</v>
      </c>
      <c r="E232" s="530">
        <v>158132</v>
      </c>
      <c r="F232" s="530">
        <v>158038</v>
      </c>
      <c r="G232" s="530">
        <v>158710</v>
      </c>
      <c r="H232" s="530">
        <v>159203</v>
      </c>
      <c r="I232" s="530">
        <v>164578</v>
      </c>
      <c r="J232" s="530">
        <v>162627</v>
      </c>
      <c r="K232" s="530">
        <v>161940</v>
      </c>
      <c r="L232" s="530">
        <v>166059</v>
      </c>
      <c r="M232" s="530">
        <v>166675</v>
      </c>
      <c r="N232" s="530">
        <v>169831</v>
      </c>
      <c r="O232" s="530">
        <v>174239</v>
      </c>
      <c r="P232" s="530">
        <v>173337</v>
      </c>
      <c r="Q232" s="530">
        <v>174734</v>
      </c>
      <c r="R232" s="530">
        <v>176507</v>
      </c>
      <c r="S232" s="530">
        <v>175648</v>
      </c>
      <c r="T232" s="530">
        <v>174862</v>
      </c>
      <c r="U232" s="530">
        <v>176967</v>
      </c>
      <c r="V232" s="530">
        <v>177346</v>
      </c>
      <c r="W232" s="530">
        <v>182270</v>
      </c>
      <c r="X232" s="530">
        <v>188701</v>
      </c>
      <c r="Y232" s="530">
        <v>187345</v>
      </c>
      <c r="Z232" s="530">
        <v>185089</v>
      </c>
      <c r="AA232" s="530">
        <v>184020</v>
      </c>
      <c r="AB232" s="530">
        <v>183233</v>
      </c>
      <c r="AC232" s="530">
        <v>185196</v>
      </c>
      <c r="AD232" s="530">
        <v>192223</v>
      </c>
      <c r="AE232" s="530">
        <v>192588</v>
      </c>
      <c r="AF232" s="530">
        <v>186501</v>
      </c>
      <c r="AG232" s="530">
        <v>184829</v>
      </c>
      <c r="AH232" s="530">
        <v>188495</v>
      </c>
      <c r="AI232" s="530">
        <v>193474</v>
      </c>
      <c r="AJ232" s="530">
        <v>198361</v>
      </c>
      <c r="AK232" s="530">
        <v>197277</v>
      </c>
      <c r="AL232" s="530">
        <v>196711</v>
      </c>
      <c r="AM232" s="530">
        <v>196710</v>
      </c>
      <c r="AN232" s="530">
        <v>200490</v>
      </c>
      <c r="AO232" s="530">
        <v>200953</v>
      </c>
      <c r="AP232" s="530">
        <v>198070</v>
      </c>
      <c r="AQ232" s="530">
        <v>195577</v>
      </c>
      <c r="AR232" s="530">
        <v>195546</v>
      </c>
      <c r="AS232" s="530">
        <v>196538</v>
      </c>
      <c r="AT232" s="530">
        <v>194630</v>
      </c>
      <c r="AU232" s="530">
        <v>192682</v>
      </c>
      <c r="AV232" s="530">
        <v>191709</v>
      </c>
      <c r="AW232" s="530">
        <v>184884</v>
      </c>
      <c r="AX232" s="530">
        <v>178626</v>
      </c>
      <c r="AY232" s="530">
        <v>168935</v>
      </c>
      <c r="AZ232" s="530">
        <v>164430</v>
      </c>
      <c r="BA232" s="530">
        <v>159773</v>
      </c>
      <c r="BB232" s="530">
        <v>158681</v>
      </c>
      <c r="BC232" s="530">
        <v>159869</v>
      </c>
      <c r="BD232" s="530">
        <v>160624</v>
      </c>
      <c r="BE232" s="530">
        <v>162752</v>
      </c>
      <c r="BF232" s="530">
        <v>165896</v>
      </c>
      <c r="BG232" s="530">
        <v>170859</v>
      </c>
      <c r="BH232" s="530">
        <v>171816</v>
      </c>
      <c r="BI232" s="530">
        <v>161149</v>
      </c>
      <c r="BJ232" s="530">
        <v>158435</v>
      </c>
      <c r="BK232" s="530">
        <v>152279</v>
      </c>
      <c r="BL232" s="530">
        <v>149214</v>
      </c>
      <c r="BM232" s="530">
        <v>148524</v>
      </c>
      <c r="BN232" s="530">
        <v>150089</v>
      </c>
      <c r="BO232" s="530">
        <v>153909</v>
      </c>
      <c r="BP232" s="530">
        <v>155297</v>
      </c>
      <c r="BQ232" s="530">
        <v>153712</v>
      </c>
      <c r="BR232" s="530">
        <v>151119</v>
      </c>
      <c r="BS232" s="530">
        <v>144449</v>
      </c>
      <c r="BT232" s="530">
        <v>140779</v>
      </c>
      <c r="BU232" s="530">
        <v>135623</v>
      </c>
      <c r="BV232" s="530">
        <v>131105</v>
      </c>
      <c r="BW232" s="530">
        <v>127696</v>
      </c>
      <c r="BX232" s="530">
        <v>121699</v>
      </c>
      <c r="BY232" s="530">
        <v>116895</v>
      </c>
      <c r="BZ232" s="530">
        <v>114644</v>
      </c>
      <c r="CA232" s="530">
        <v>109850</v>
      </c>
      <c r="CB232" s="530">
        <v>106931</v>
      </c>
      <c r="CC232" s="530">
        <v>103055</v>
      </c>
      <c r="CD232" s="530">
        <v>98181</v>
      </c>
      <c r="CE232" s="530">
        <v>96821</v>
      </c>
      <c r="CF232" s="530">
        <v>96380</v>
      </c>
      <c r="CG232" s="530">
        <v>78034</v>
      </c>
      <c r="CH232" s="530">
        <v>71112</v>
      </c>
      <c r="CI232" s="530">
        <v>64202</v>
      </c>
      <c r="CJ232" s="530">
        <v>54746</v>
      </c>
      <c r="CK232" s="530">
        <v>51106</v>
      </c>
      <c r="CL232" s="530">
        <v>44094</v>
      </c>
      <c r="CM232" s="530">
        <v>39498</v>
      </c>
      <c r="CN232" s="530">
        <v>34077</v>
      </c>
      <c r="CO232" s="530">
        <v>29181</v>
      </c>
      <c r="CP232" s="530">
        <v>24769</v>
      </c>
      <c r="CQ232" s="530">
        <v>20058</v>
      </c>
      <c r="CR232" s="530">
        <v>15773</v>
      </c>
      <c r="CS232" s="530">
        <v>12544</v>
      </c>
      <c r="CT232" s="530">
        <v>9930</v>
      </c>
      <c r="CU232" s="530">
        <v>7664</v>
      </c>
      <c r="CV232" s="530">
        <v>5971</v>
      </c>
      <c r="CW232" s="530">
        <v>4487</v>
      </c>
      <c r="CX232" s="530">
        <v>3121</v>
      </c>
      <c r="CY232" s="530">
        <v>2105</v>
      </c>
      <c r="CZ232" s="530">
        <v>1399</v>
      </c>
      <c r="DA232" s="530">
        <v>2443</v>
      </c>
      <c r="DB232" s="162">
        <f t="shared" si="75"/>
        <v>13779945</v>
      </c>
      <c r="DC232" s="163">
        <f t="shared" si="76"/>
        <v>13.779945</v>
      </c>
      <c r="DD232" s="165">
        <f t="shared" si="78"/>
        <v>1.4678360402821587E-2</v>
      </c>
    </row>
    <row r="233" spans="1:108" x14ac:dyDescent="0.2">
      <c r="A233" s="159"/>
      <c r="B233" s="159"/>
      <c r="C233" s="159"/>
      <c r="D233" s="160">
        <f t="shared" si="77"/>
        <v>2027</v>
      </c>
      <c r="E233" s="530">
        <v>158675</v>
      </c>
      <c r="F233" s="530">
        <v>158743</v>
      </c>
      <c r="G233" s="530">
        <v>159575</v>
      </c>
      <c r="H233" s="530">
        <v>160585</v>
      </c>
      <c r="I233" s="530">
        <v>161361</v>
      </c>
      <c r="J233" s="530">
        <v>166864</v>
      </c>
      <c r="K233" s="530">
        <v>164692</v>
      </c>
      <c r="L233" s="530">
        <v>163764</v>
      </c>
      <c r="M233" s="530">
        <v>167800</v>
      </c>
      <c r="N233" s="530">
        <v>168356</v>
      </c>
      <c r="O233" s="530">
        <v>171470</v>
      </c>
      <c r="P233" s="530">
        <v>175841</v>
      </c>
      <c r="Q233" s="530">
        <v>174838</v>
      </c>
      <c r="R233" s="530">
        <v>176177</v>
      </c>
      <c r="S233" s="530">
        <v>178027</v>
      </c>
      <c r="T233" s="530">
        <v>177356</v>
      </c>
      <c r="U233" s="530">
        <v>176742</v>
      </c>
      <c r="V233" s="530">
        <v>179775</v>
      </c>
      <c r="W233" s="530">
        <v>183695</v>
      </c>
      <c r="X233" s="530">
        <v>191168</v>
      </c>
      <c r="Y233" s="530">
        <v>195252</v>
      </c>
      <c r="Z233" s="530">
        <v>191454</v>
      </c>
      <c r="AA233" s="530">
        <v>190675</v>
      </c>
      <c r="AB233" s="530">
        <v>191244</v>
      </c>
      <c r="AC233" s="530">
        <v>188549</v>
      </c>
      <c r="AD233" s="530">
        <v>187786</v>
      </c>
      <c r="AE233" s="530">
        <v>194010</v>
      </c>
      <c r="AF233" s="530">
        <v>194540</v>
      </c>
      <c r="AG233" s="530">
        <v>188687</v>
      </c>
      <c r="AH233" s="530">
        <v>187184</v>
      </c>
      <c r="AI233" s="530">
        <v>190767</v>
      </c>
      <c r="AJ233" s="530">
        <v>195492</v>
      </c>
      <c r="AK233" s="530">
        <v>200277</v>
      </c>
      <c r="AL233" s="530">
        <v>199315</v>
      </c>
      <c r="AM233" s="530">
        <v>198736</v>
      </c>
      <c r="AN233" s="530">
        <v>198568</v>
      </c>
      <c r="AO233" s="530">
        <v>202253</v>
      </c>
      <c r="AP233" s="530">
        <v>202599</v>
      </c>
      <c r="AQ233" s="530">
        <v>199526</v>
      </c>
      <c r="AR233" s="530">
        <v>196917</v>
      </c>
      <c r="AS233" s="530">
        <v>196817</v>
      </c>
      <c r="AT233" s="530">
        <v>197621</v>
      </c>
      <c r="AU233" s="530">
        <v>195499</v>
      </c>
      <c r="AV233" s="530">
        <v>193378</v>
      </c>
      <c r="AW233" s="530">
        <v>192275</v>
      </c>
      <c r="AX233" s="530">
        <v>185384</v>
      </c>
      <c r="AY233" s="530">
        <v>179057</v>
      </c>
      <c r="AZ233" s="530">
        <v>169278</v>
      </c>
      <c r="BA233" s="530">
        <v>164685</v>
      </c>
      <c r="BB233" s="530">
        <v>159944</v>
      </c>
      <c r="BC233" s="530">
        <v>158774</v>
      </c>
      <c r="BD233" s="530">
        <v>159926</v>
      </c>
      <c r="BE233" s="530">
        <v>160620</v>
      </c>
      <c r="BF233" s="530">
        <v>162683</v>
      </c>
      <c r="BG233" s="530">
        <v>165822</v>
      </c>
      <c r="BH233" s="530">
        <v>170807</v>
      </c>
      <c r="BI233" s="530">
        <v>171781</v>
      </c>
      <c r="BJ233" s="530">
        <v>161092</v>
      </c>
      <c r="BK233" s="530">
        <v>158332</v>
      </c>
      <c r="BL233" s="530">
        <v>152254</v>
      </c>
      <c r="BM233" s="530">
        <v>149265</v>
      </c>
      <c r="BN233" s="530">
        <v>148627</v>
      </c>
      <c r="BO233" s="530">
        <v>150210</v>
      </c>
      <c r="BP233" s="530">
        <v>153953</v>
      </c>
      <c r="BQ233" s="530">
        <v>155225</v>
      </c>
      <c r="BR233" s="530">
        <v>153495</v>
      </c>
      <c r="BS233" s="530">
        <v>150728</v>
      </c>
      <c r="BT233" s="530">
        <v>143892</v>
      </c>
      <c r="BU233" s="530">
        <v>140021</v>
      </c>
      <c r="BV233" s="530">
        <v>134745</v>
      </c>
      <c r="BW233" s="530">
        <v>130110</v>
      </c>
      <c r="BX233" s="530">
        <v>126527</v>
      </c>
      <c r="BY233" s="530">
        <v>120393</v>
      </c>
      <c r="BZ233" s="530">
        <v>115379</v>
      </c>
      <c r="CA233" s="530">
        <v>112810</v>
      </c>
      <c r="CB233" s="530">
        <v>107846</v>
      </c>
      <c r="CC233" s="530">
        <v>104754</v>
      </c>
      <c r="CD233" s="530">
        <v>100625</v>
      </c>
      <c r="CE233" s="530">
        <v>95497</v>
      </c>
      <c r="CF233" s="530">
        <v>93786</v>
      </c>
      <c r="CG233" s="530">
        <v>92907</v>
      </c>
      <c r="CH233" s="530">
        <v>74818</v>
      </c>
      <c r="CI233" s="530">
        <v>67774</v>
      </c>
      <c r="CJ233" s="530">
        <v>60799</v>
      </c>
      <c r="CK233" s="530">
        <v>51453</v>
      </c>
      <c r="CL233" s="530">
        <v>47623</v>
      </c>
      <c r="CM233" s="530">
        <v>40682</v>
      </c>
      <c r="CN233" s="530">
        <v>35932</v>
      </c>
      <c r="CO233" s="530">
        <v>30570</v>
      </c>
      <c r="CP233" s="530">
        <v>25810</v>
      </c>
      <c r="CQ233" s="530">
        <v>21479</v>
      </c>
      <c r="CR233" s="530">
        <v>17031</v>
      </c>
      <c r="CS233" s="530">
        <v>13161</v>
      </c>
      <c r="CT233" s="530">
        <v>10265</v>
      </c>
      <c r="CU233" s="530">
        <v>7902</v>
      </c>
      <c r="CV233" s="530">
        <v>5938</v>
      </c>
      <c r="CW233" s="530">
        <v>4540</v>
      </c>
      <c r="CX233" s="530">
        <v>3346</v>
      </c>
      <c r="CY233" s="530">
        <v>2262</v>
      </c>
      <c r="CZ233" s="530">
        <v>1473</v>
      </c>
      <c r="DA233" s="530">
        <v>2685</v>
      </c>
      <c r="DB233" s="162">
        <f t="shared" si="75"/>
        <v>13971702</v>
      </c>
      <c r="DC233" s="163">
        <f t="shared" si="76"/>
        <v>13.971702000000001</v>
      </c>
      <c r="DD233" s="165">
        <f t="shared" si="78"/>
        <v>1.3915657863656266E-2</v>
      </c>
    </row>
    <row r="234" spans="1:108" x14ac:dyDescent="0.2">
      <c r="A234" s="159"/>
      <c r="B234" s="159"/>
      <c r="C234" s="159"/>
      <c r="D234" s="160">
        <f t="shared" si="77"/>
        <v>2028</v>
      </c>
      <c r="E234" s="530">
        <v>159322</v>
      </c>
      <c r="F234" s="530">
        <v>159261</v>
      </c>
      <c r="G234" s="530">
        <v>160221</v>
      </c>
      <c r="H234" s="530">
        <v>161377</v>
      </c>
      <c r="I234" s="530">
        <v>162659</v>
      </c>
      <c r="J234" s="530">
        <v>163557</v>
      </c>
      <c r="K234" s="530">
        <v>168847</v>
      </c>
      <c r="L234" s="530">
        <v>166445</v>
      </c>
      <c r="M234" s="530">
        <v>165436</v>
      </c>
      <c r="N234" s="530">
        <v>169414</v>
      </c>
      <c r="O234" s="530">
        <v>169933</v>
      </c>
      <c r="P234" s="530">
        <v>173009</v>
      </c>
      <c r="Q234" s="530">
        <v>177282</v>
      </c>
      <c r="R234" s="530">
        <v>176224</v>
      </c>
      <c r="S234" s="530">
        <v>177637</v>
      </c>
      <c r="T234" s="530">
        <v>179668</v>
      </c>
      <c r="U234" s="530">
        <v>179161</v>
      </c>
      <c r="V234" s="530">
        <v>179440</v>
      </c>
      <c r="W234" s="530">
        <v>185872</v>
      </c>
      <c r="X234" s="530">
        <v>192242</v>
      </c>
      <c r="Y234" s="530">
        <v>197458</v>
      </c>
      <c r="Z234" s="530">
        <v>199195</v>
      </c>
      <c r="AA234" s="530">
        <v>196815</v>
      </c>
      <c r="AB234" s="530">
        <v>197610</v>
      </c>
      <c r="AC234" s="530">
        <v>196347</v>
      </c>
      <c r="AD234" s="530">
        <v>191034</v>
      </c>
      <c r="AE234" s="530">
        <v>189502</v>
      </c>
      <c r="AF234" s="530">
        <v>195884</v>
      </c>
      <c r="AG234" s="530">
        <v>196631</v>
      </c>
      <c r="AH234" s="530">
        <v>190943</v>
      </c>
      <c r="AI234" s="530">
        <v>189360</v>
      </c>
      <c r="AJ234" s="530">
        <v>192704</v>
      </c>
      <c r="AK234" s="530">
        <v>197334</v>
      </c>
      <c r="AL234" s="530">
        <v>202227</v>
      </c>
      <c r="AM234" s="530">
        <v>201253</v>
      </c>
      <c r="AN234" s="530">
        <v>200518</v>
      </c>
      <c r="AO234" s="530">
        <v>200257</v>
      </c>
      <c r="AP234" s="530">
        <v>203829</v>
      </c>
      <c r="AQ234" s="530">
        <v>203990</v>
      </c>
      <c r="AR234" s="530">
        <v>200802</v>
      </c>
      <c r="AS234" s="530">
        <v>198130</v>
      </c>
      <c r="AT234" s="530">
        <v>197848</v>
      </c>
      <c r="AU234" s="530">
        <v>198443</v>
      </c>
      <c r="AV234" s="530">
        <v>196158</v>
      </c>
      <c r="AW234" s="530">
        <v>193910</v>
      </c>
      <c r="AX234" s="530">
        <v>192729</v>
      </c>
      <c r="AY234" s="530">
        <v>185776</v>
      </c>
      <c r="AZ234" s="530">
        <v>179360</v>
      </c>
      <c r="BA234" s="530">
        <v>169501</v>
      </c>
      <c r="BB234" s="530">
        <v>164826</v>
      </c>
      <c r="BC234" s="530">
        <v>160018</v>
      </c>
      <c r="BD234" s="530">
        <v>158817</v>
      </c>
      <c r="BE234" s="530">
        <v>159911</v>
      </c>
      <c r="BF234" s="530">
        <v>160545</v>
      </c>
      <c r="BG234" s="530">
        <v>162604</v>
      </c>
      <c r="BH234" s="530">
        <v>165770</v>
      </c>
      <c r="BI234" s="530">
        <v>170757</v>
      </c>
      <c r="BJ234" s="530">
        <v>171656</v>
      </c>
      <c r="BK234" s="530">
        <v>160953</v>
      </c>
      <c r="BL234" s="530">
        <v>158251</v>
      </c>
      <c r="BM234" s="530">
        <v>152259</v>
      </c>
      <c r="BN234" s="530">
        <v>149329</v>
      </c>
      <c r="BO234" s="530">
        <v>148722</v>
      </c>
      <c r="BP234" s="530">
        <v>150245</v>
      </c>
      <c r="BQ234" s="530">
        <v>153858</v>
      </c>
      <c r="BR234" s="530">
        <v>154964</v>
      </c>
      <c r="BS234" s="530">
        <v>153057</v>
      </c>
      <c r="BT234" s="530">
        <v>150089</v>
      </c>
      <c r="BU234" s="530">
        <v>143079</v>
      </c>
      <c r="BV234" s="530">
        <v>139073</v>
      </c>
      <c r="BW234" s="530">
        <v>133688</v>
      </c>
      <c r="BX234" s="530">
        <v>128899</v>
      </c>
      <c r="BY234" s="530">
        <v>125144</v>
      </c>
      <c r="BZ234" s="530">
        <v>118817</v>
      </c>
      <c r="CA234" s="530">
        <v>113537</v>
      </c>
      <c r="CB234" s="530">
        <v>110754</v>
      </c>
      <c r="CC234" s="530">
        <v>105662</v>
      </c>
      <c r="CD234" s="530">
        <v>102298</v>
      </c>
      <c r="CE234" s="530">
        <v>97889</v>
      </c>
      <c r="CF234" s="530">
        <v>92530</v>
      </c>
      <c r="CG234" s="530">
        <v>90439</v>
      </c>
      <c r="CH234" s="530">
        <v>89086</v>
      </c>
      <c r="CI234" s="530">
        <v>71332</v>
      </c>
      <c r="CJ234" s="530">
        <v>64211</v>
      </c>
      <c r="CK234" s="530">
        <v>57167</v>
      </c>
      <c r="CL234" s="530">
        <v>47975</v>
      </c>
      <c r="CM234" s="530">
        <v>43966</v>
      </c>
      <c r="CN234" s="530">
        <v>37038</v>
      </c>
      <c r="CO234" s="530">
        <v>32261</v>
      </c>
      <c r="CP234" s="530">
        <v>27064</v>
      </c>
      <c r="CQ234" s="530">
        <v>22407</v>
      </c>
      <c r="CR234" s="530">
        <v>18262</v>
      </c>
      <c r="CS234" s="530">
        <v>14231</v>
      </c>
      <c r="CT234" s="530">
        <v>10787</v>
      </c>
      <c r="CU234" s="530">
        <v>8182</v>
      </c>
      <c r="CV234" s="530">
        <v>6132</v>
      </c>
      <c r="CW234" s="530">
        <v>4522</v>
      </c>
      <c r="CX234" s="530">
        <v>3390</v>
      </c>
      <c r="CY234" s="530">
        <v>2429</v>
      </c>
      <c r="CZ234" s="530">
        <v>1586</v>
      </c>
      <c r="DA234" s="530">
        <v>2913</v>
      </c>
      <c r="DB234" s="162">
        <f t="shared" si="75"/>
        <v>14155936</v>
      </c>
      <c r="DC234" s="163">
        <f t="shared" si="76"/>
        <v>14.155936000000001</v>
      </c>
      <c r="DD234" s="165">
        <f t="shared" si="78"/>
        <v>1.3186224555891616E-2</v>
      </c>
    </row>
    <row r="235" spans="1:108" x14ac:dyDescent="0.2">
      <c r="A235" s="159"/>
      <c r="B235" s="159"/>
      <c r="C235" s="159"/>
      <c r="D235" s="160">
        <f t="shared" si="77"/>
        <v>2029</v>
      </c>
      <c r="E235" s="530">
        <v>160126</v>
      </c>
      <c r="F235" s="530">
        <v>159882</v>
      </c>
      <c r="G235" s="530">
        <v>160678</v>
      </c>
      <c r="H235" s="530">
        <v>161948</v>
      </c>
      <c r="I235" s="530">
        <v>163366</v>
      </c>
      <c r="J235" s="530">
        <v>164766</v>
      </c>
      <c r="K235" s="530">
        <v>165461</v>
      </c>
      <c r="L235" s="530">
        <v>170528</v>
      </c>
      <c r="M235" s="530">
        <v>168049</v>
      </c>
      <c r="N235" s="530">
        <v>166984</v>
      </c>
      <c r="O235" s="530">
        <v>170926</v>
      </c>
      <c r="P235" s="530">
        <v>171409</v>
      </c>
      <c r="Q235" s="530">
        <v>174392</v>
      </c>
      <c r="R235" s="530">
        <v>178611</v>
      </c>
      <c r="S235" s="530">
        <v>177624</v>
      </c>
      <c r="T235" s="530">
        <v>179210</v>
      </c>
      <c r="U235" s="530">
        <v>181397</v>
      </c>
      <c r="V235" s="530">
        <v>181747</v>
      </c>
      <c r="W235" s="530">
        <v>185288</v>
      </c>
      <c r="X235" s="530">
        <v>194068</v>
      </c>
      <c r="Y235" s="530">
        <v>198274</v>
      </c>
      <c r="Z235" s="530">
        <v>201237</v>
      </c>
      <c r="AA235" s="530">
        <v>204331</v>
      </c>
      <c r="AB235" s="530">
        <v>203464</v>
      </c>
      <c r="AC235" s="530">
        <v>202500</v>
      </c>
      <c r="AD235" s="530">
        <v>198722</v>
      </c>
      <c r="AE235" s="530">
        <v>192673</v>
      </c>
      <c r="AF235" s="530">
        <v>191298</v>
      </c>
      <c r="AG235" s="530">
        <v>197885</v>
      </c>
      <c r="AH235" s="530">
        <v>198787</v>
      </c>
      <c r="AI235" s="530">
        <v>193027</v>
      </c>
      <c r="AJ235" s="530">
        <v>191214</v>
      </c>
      <c r="AK235" s="530">
        <v>194467</v>
      </c>
      <c r="AL235" s="530">
        <v>199201</v>
      </c>
      <c r="AM235" s="530">
        <v>204078</v>
      </c>
      <c r="AN235" s="530">
        <v>202956</v>
      </c>
      <c r="AO235" s="530">
        <v>202132</v>
      </c>
      <c r="AP235" s="530">
        <v>201763</v>
      </c>
      <c r="AQ235" s="530">
        <v>205155</v>
      </c>
      <c r="AR235" s="530">
        <v>205204</v>
      </c>
      <c r="AS235" s="530">
        <v>201956</v>
      </c>
      <c r="AT235" s="530">
        <v>199111</v>
      </c>
      <c r="AU235" s="530">
        <v>198631</v>
      </c>
      <c r="AV235" s="530">
        <v>199059</v>
      </c>
      <c r="AW235" s="530">
        <v>196652</v>
      </c>
      <c r="AX235" s="530">
        <v>194332</v>
      </c>
      <c r="AY235" s="530">
        <v>193079</v>
      </c>
      <c r="AZ235" s="530">
        <v>186042</v>
      </c>
      <c r="BA235" s="530">
        <v>179542</v>
      </c>
      <c r="BB235" s="530">
        <v>169613</v>
      </c>
      <c r="BC235" s="530">
        <v>164872</v>
      </c>
      <c r="BD235" s="530">
        <v>160043</v>
      </c>
      <c r="BE235" s="530">
        <v>158789</v>
      </c>
      <c r="BF235" s="530">
        <v>159823</v>
      </c>
      <c r="BG235" s="530">
        <v>160457</v>
      </c>
      <c r="BH235" s="530">
        <v>162546</v>
      </c>
      <c r="BI235" s="530">
        <v>165718</v>
      </c>
      <c r="BJ235" s="530">
        <v>170615</v>
      </c>
      <c r="BK235" s="530">
        <v>171446</v>
      </c>
      <c r="BL235" s="530">
        <v>160833</v>
      </c>
      <c r="BM235" s="530">
        <v>158196</v>
      </c>
      <c r="BN235" s="530">
        <v>152273</v>
      </c>
      <c r="BO235" s="530">
        <v>149383</v>
      </c>
      <c r="BP235" s="530">
        <v>148730</v>
      </c>
      <c r="BQ235" s="530">
        <v>150141</v>
      </c>
      <c r="BR235" s="530">
        <v>153575</v>
      </c>
      <c r="BS235" s="530">
        <v>154486</v>
      </c>
      <c r="BT235" s="530">
        <v>152374</v>
      </c>
      <c r="BU235" s="530">
        <v>149190</v>
      </c>
      <c r="BV235" s="530">
        <v>142078</v>
      </c>
      <c r="BW235" s="530">
        <v>137947</v>
      </c>
      <c r="BX235" s="530">
        <v>132418</v>
      </c>
      <c r="BY235" s="530">
        <v>127475</v>
      </c>
      <c r="BZ235" s="530">
        <v>123489</v>
      </c>
      <c r="CA235" s="530">
        <v>116915</v>
      </c>
      <c r="CB235" s="530">
        <v>111474</v>
      </c>
      <c r="CC235" s="530">
        <v>108517</v>
      </c>
      <c r="CD235" s="530">
        <v>103199</v>
      </c>
      <c r="CE235" s="530">
        <v>99532</v>
      </c>
      <c r="CF235" s="530">
        <v>94868</v>
      </c>
      <c r="CG235" s="530">
        <v>89258</v>
      </c>
      <c r="CH235" s="530">
        <v>86756</v>
      </c>
      <c r="CI235" s="530">
        <v>84955</v>
      </c>
      <c r="CJ235" s="530">
        <v>67610</v>
      </c>
      <c r="CK235" s="530">
        <v>60407</v>
      </c>
      <c r="CL235" s="530">
        <v>53331</v>
      </c>
      <c r="CM235" s="530">
        <v>44321</v>
      </c>
      <c r="CN235" s="530">
        <v>40058</v>
      </c>
      <c r="CO235" s="530">
        <v>33284</v>
      </c>
      <c r="CP235" s="530">
        <v>28589</v>
      </c>
      <c r="CQ235" s="530">
        <v>23522</v>
      </c>
      <c r="CR235" s="530">
        <v>19076</v>
      </c>
      <c r="CS235" s="530">
        <v>15282</v>
      </c>
      <c r="CT235" s="530">
        <v>11681</v>
      </c>
      <c r="CU235" s="530">
        <v>8612</v>
      </c>
      <c r="CV235" s="530">
        <v>6360</v>
      </c>
      <c r="CW235" s="530">
        <v>4677</v>
      </c>
      <c r="CX235" s="530">
        <v>3382</v>
      </c>
      <c r="CY235" s="530">
        <v>2465</v>
      </c>
      <c r="CZ235" s="530">
        <v>1705</v>
      </c>
      <c r="DA235" s="530">
        <v>3158</v>
      </c>
      <c r="DB235" s="162">
        <f t="shared" si="75"/>
        <v>14332736</v>
      </c>
      <c r="DC235" s="163">
        <f t="shared" si="76"/>
        <v>14.332736000000001</v>
      </c>
      <c r="DD235" s="165">
        <f t="shared" si="78"/>
        <v>1.2489460251868902E-2</v>
      </c>
    </row>
    <row r="236" spans="1:108" x14ac:dyDescent="0.2">
      <c r="A236" s="159"/>
      <c r="B236" s="159"/>
      <c r="C236" s="159"/>
      <c r="D236" s="160">
        <f t="shared" si="77"/>
        <v>2030</v>
      </c>
      <c r="E236" s="530">
        <v>160904</v>
      </c>
      <c r="F236" s="530">
        <v>160657</v>
      </c>
      <c r="G236" s="530">
        <v>161233</v>
      </c>
      <c r="H236" s="530">
        <v>162324</v>
      </c>
      <c r="I236" s="530">
        <v>163846</v>
      </c>
      <c r="J236" s="530">
        <v>165376</v>
      </c>
      <c r="K236" s="530">
        <v>166582</v>
      </c>
      <c r="L236" s="530">
        <v>167064</v>
      </c>
      <c r="M236" s="530">
        <v>172057</v>
      </c>
      <c r="N236" s="530">
        <v>169525</v>
      </c>
      <c r="O236" s="530">
        <v>168426</v>
      </c>
      <c r="P236" s="530">
        <v>172333</v>
      </c>
      <c r="Q236" s="530">
        <v>172727</v>
      </c>
      <c r="R236" s="530">
        <v>175659</v>
      </c>
      <c r="S236" s="530">
        <v>179945</v>
      </c>
      <c r="T236" s="530">
        <v>179124</v>
      </c>
      <c r="U236" s="530">
        <v>180857</v>
      </c>
      <c r="V236" s="530">
        <v>183860</v>
      </c>
      <c r="W236" s="530">
        <v>187321</v>
      </c>
      <c r="X236" s="530">
        <v>193102</v>
      </c>
      <c r="Y236" s="530">
        <v>199819</v>
      </c>
      <c r="Z236" s="530">
        <v>201874</v>
      </c>
      <c r="AA236" s="530">
        <v>206131</v>
      </c>
      <c r="AB236" s="530">
        <v>210665</v>
      </c>
      <c r="AC236" s="530">
        <v>208120</v>
      </c>
      <c r="AD236" s="530">
        <v>204759</v>
      </c>
      <c r="AE236" s="530">
        <v>200276</v>
      </c>
      <c r="AF236" s="530">
        <v>194379</v>
      </c>
      <c r="AG236" s="530">
        <v>193203</v>
      </c>
      <c r="AH236" s="530">
        <v>199935</v>
      </c>
      <c r="AI236" s="530">
        <v>200764</v>
      </c>
      <c r="AJ236" s="530">
        <v>194788</v>
      </c>
      <c r="AK236" s="530">
        <v>192890</v>
      </c>
      <c r="AL236" s="530">
        <v>196247</v>
      </c>
      <c r="AM236" s="530">
        <v>200961</v>
      </c>
      <c r="AN236" s="530">
        <v>205690</v>
      </c>
      <c r="AO236" s="530">
        <v>204487</v>
      </c>
      <c r="AP236" s="530">
        <v>203562</v>
      </c>
      <c r="AQ236" s="530">
        <v>203020</v>
      </c>
      <c r="AR236" s="530">
        <v>206305</v>
      </c>
      <c r="AS236" s="530">
        <v>206291</v>
      </c>
      <c r="AT236" s="530">
        <v>202879</v>
      </c>
      <c r="AU236" s="530">
        <v>199844</v>
      </c>
      <c r="AV236" s="530">
        <v>199208</v>
      </c>
      <c r="AW236" s="530">
        <v>199513</v>
      </c>
      <c r="AX236" s="530">
        <v>197034</v>
      </c>
      <c r="AY236" s="530">
        <v>194652</v>
      </c>
      <c r="AZ236" s="530">
        <v>193307</v>
      </c>
      <c r="BA236" s="530">
        <v>186188</v>
      </c>
      <c r="BB236" s="530">
        <v>179609</v>
      </c>
      <c r="BC236" s="530">
        <v>169628</v>
      </c>
      <c r="BD236" s="530">
        <v>164868</v>
      </c>
      <c r="BE236" s="530">
        <v>159996</v>
      </c>
      <c r="BF236" s="530">
        <v>158690</v>
      </c>
      <c r="BG236" s="530">
        <v>159721</v>
      </c>
      <c r="BH236" s="530">
        <v>160384</v>
      </c>
      <c r="BI236" s="530">
        <v>162481</v>
      </c>
      <c r="BJ236" s="530">
        <v>165573</v>
      </c>
      <c r="BK236" s="530">
        <v>170387</v>
      </c>
      <c r="BL236" s="530">
        <v>171246</v>
      </c>
      <c r="BM236" s="530">
        <v>160728</v>
      </c>
      <c r="BN236" s="530">
        <v>158138</v>
      </c>
      <c r="BO236" s="530">
        <v>152269</v>
      </c>
      <c r="BP236" s="530">
        <v>149346</v>
      </c>
      <c r="BQ236" s="530">
        <v>148597</v>
      </c>
      <c r="BR236" s="530">
        <v>149852</v>
      </c>
      <c r="BS236" s="530">
        <v>153080</v>
      </c>
      <c r="BT236" s="530">
        <v>153764</v>
      </c>
      <c r="BU236" s="530">
        <v>151430</v>
      </c>
      <c r="BV236" s="530">
        <v>148098</v>
      </c>
      <c r="BW236" s="530">
        <v>140897</v>
      </c>
      <c r="BX236" s="530">
        <v>136608</v>
      </c>
      <c r="BY236" s="530">
        <v>130937</v>
      </c>
      <c r="BZ236" s="530">
        <v>125781</v>
      </c>
      <c r="CA236" s="530">
        <v>121504</v>
      </c>
      <c r="CB236" s="530">
        <v>114792</v>
      </c>
      <c r="CC236" s="530">
        <v>109234</v>
      </c>
      <c r="CD236" s="530">
        <v>105997</v>
      </c>
      <c r="CE236" s="530">
        <v>100427</v>
      </c>
      <c r="CF236" s="530">
        <v>96480</v>
      </c>
      <c r="CG236" s="530">
        <v>91539</v>
      </c>
      <c r="CH236" s="530">
        <v>85655</v>
      </c>
      <c r="CI236" s="530">
        <v>82772</v>
      </c>
      <c r="CJ236" s="530">
        <v>80551</v>
      </c>
      <c r="CK236" s="530">
        <v>63636</v>
      </c>
      <c r="CL236" s="530">
        <v>56385</v>
      </c>
      <c r="CM236" s="530">
        <v>49298</v>
      </c>
      <c r="CN236" s="530">
        <v>40413</v>
      </c>
      <c r="CO236" s="530">
        <v>36028</v>
      </c>
      <c r="CP236" s="530">
        <v>29523</v>
      </c>
      <c r="CQ236" s="530">
        <v>24875</v>
      </c>
      <c r="CR236" s="530">
        <v>20052</v>
      </c>
      <c r="CS236" s="530">
        <v>15985</v>
      </c>
      <c r="CT236" s="530">
        <v>12563</v>
      </c>
      <c r="CU236" s="530">
        <v>9341</v>
      </c>
      <c r="CV236" s="530">
        <v>6706</v>
      </c>
      <c r="CW236" s="530">
        <v>4858</v>
      </c>
      <c r="CX236" s="530">
        <v>3504</v>
      </c>
      <c r="CY236" s="530">
        <v>2463</v>
      </c>
      <c r="CZ236" s="530">
        <v>1734</v>
      </c>
      <c r="DA236" s="530">
        <v>3420</v>
      </c>
      <c r="DB236" s="162">
        <f t="shared" si="75"/>
        <v>14501556</v>
      </c>
      <c r="DC236" s="163">
        <f t="shared" si="76"/>
        <v>14.501556000000001</v>
      </c>
      <c r="DD236" s="165">
        <f t="shared" si="78"/>
        <v>1.1778630402457715E-2</v>
      </c>
    </row>
    <row r="237" spans="1:108" x14ac:dyDescent="0.2">
      <c r="A237" s="159"/>
      <c r="B237" s="159"/>
      <c r="C237" s="159"/>
      <c r="D237" s="160">
        <f t="shared" si="77"/>
        <v>2031</v>
      </c>
      <c r="E237" s="530">
        <v>161701</v>
      </c>
      <c r="F237" s="530">
        <v>161408</v>
      </c>
      <c r="G237" s="530">
        <v>161946</v>
      </c>
      <c r="H237" s="530">
        <v>162805</v>
      </c>
      <c r="I237" s="530">
        <v>164137</v>
      </c>
      <c r="J237" s="530">
        <v>165766</v>
      </c>
      <c r="K237" s="530">
        <v>167111</v>
      </c>
      <c r="L237" s="530">
        <v>168113</v>
      </c>
      <c r="M237" s="530">
        <v>168525</v>
      </c>
      <c r="N237" s="530">
        <v>173466</v>
      </c>
      <c r="O237" s="530">
        <v>170902</v>
      </c>
      <c r="P237" s="530">
        <v>169770</v>
      </c>
      <c r="Q237" s="530">
        <v>173592</v>
      </c>
      <c r="R237" s="530">
        <v>173937</v>
      </c>
      <c r="S237" s="530">
        <v>176933</v>
      </c>
      <c r="T237" s="530">
        <v>181379</v>
      </c>
      <c r="U237" s="530">
        <v>180697</v>
      </c>
      <c r="V237" s="530">
        <v>183210</v>
      </c>
      <c r="W237" s="530">
        <v>189183</v>
      </c>
      <c r="X237" s="530">
        <v>194785</v>
      </c>
      <c r="Y237" s="530">
        <v>198594</v>
      </c>
      <c r="Z237" s="530">
        <v>203254</v>
      </c>
      <c r="AA237" s="530">
        <v>206546</v>
      </c>
      <c r="AB237" s="530">
        <v>212181</v>
      </c>
      <c r="AC237" s="530">
        <v>215106</v>
      </c>
      <c r="AD237" s="530">
        <v>210271</v>
      </c>
      <c r="AE237" s="530">
        <v>206242</v>
      </c>
      <c r="AF237" s="530">
        <v>201897</v>
      </c>
      <c r="AG237" s="530">
        <v>196194</v>
      </c>
      <c r="AH237" s="530">
        <v>195161</v>
      </c>
      <c r="AI237" s="530">
        <v>201819</v>
      </c>
      <c r="AJ237" s="530">
        <v>202437</v>
      </c>
      <c r="AK237" s="530">
        <v>196381</v>
      </c>
      <c r="AL237" s="530">
        <v>194586</v>
      </c>
      <c r="AM237" s="530">
        <v>197928</v>
      </c>
      <c r="AN237" s="530">
        <v>202499</v>
      </c>
      <c r="AO237" s="530">
        <v>207146</v>
      </c>
      <c r="AP237" s="530">
        <v>205844</v>
      </c>
      <c r="AQ237" s="530">
        <v>204755</v>
      </c>
      <c r="AR237" s="530">
        <v>204112</v>
      </c>
      <c r="AS237" s="530">
        <v>207335</v>
      </c>
      <c r="AT237" s="530">
        <v>207160</v>
      </c>
      <c r="AU237" s="530">
        <v>203567</v>
      </c>
      <c r="AV237" s="530">
        <v>200383</v>
      </c>
      <c r="AW237" s="530">
        <v>199631</v>
      </c>
      <c r="AX237" s="530">
        <v>199864</v>
      </c>
      <c r="AY237" s="530">
        <v>197320</v>
      </c>
      <c r="AZ237" s="530">
        <v>194854</v>
      </c>
      <c r="BA237" s="530">
        <v>193417</v>
      </c>
      <c r="BB237" s="530">
        <v>186219</v>
      </c>
      <c r="BC237" s="530">
        <v>179583</v>
      </c>
      <c r="BD237" s="530">
        <v>169595</v>
      </c>
      <c r="BE237" s="530">
        <v>164794</v>
      </c>
      <c r="BF237" s="530">
        <v>159878</v>
      </c>
      <c r="BG237" s="530">
        <v>158574</v>
      </c>
      <c r="BH237" s="530">
        <v>159634</v>
      </c>
      <c r="BI237" s="530">
        <v>160307</v>
      </c>
      <c r="BJ237" s="530">
        <v>162331</v>
      </c>
      <c r="BK237" s="530">
        <v>165349</v>
      </c>
      <c r="BL237" s="530">
        <v>170167</v>
      </c>
      <c r="BM237" s="530">
        <v>171055</v>
      </c>
      <c r="BN237" s="530">
        <v>160623</v>
      </c>
      <c r="BO237" s="530">
        <v>158062</v>
      </c>
      <c r="BP237" s="530">
        <v>152174</v>
      </c>
      <c r="BQ237" s="530">
        <v>149169</v>
      </c>
      <c r="BR237" s="530">
        <v>148289</v>
      </c>
      <c r="BS237" s="530">
        <v>149363</v>
      </c>
      <c r="BT237" s="530">
        <v>152350</v>
      </c>
      <c r="BU237" s="530">
        <v>152786</v>
      </c>
      <c r="BV237" s="530">
        <v>150298</v>
      </c>
      <c r="BW237" s="530">
        <v>146828</v>
      </c>
      <c r="BX237" s="530">
        <v>139510</v>
      </c>
      <c r="BY237" s="530">
        <v>135062</v>
      </c>
      <c r="BZ237" s="530">
        <v>129186</v>
      </c>
      <c r="CA237" s="530">
        <v>123760</v>
      </c>
      <c r="CB237" s="530">
        <v>119299</v>
      </c>
      <c r="CC237" s="530">
        <v>112492</v>
      </c>
      <c r="CD237" s="530">
        <v>106713</v>
      </c>
      <c r="CE237" s="530">
        <v>103165</v>
      </c>
      <c r="CF237" s="530">
        <v>97373</v>
      </c>
      <c r="CG237" s="530">
        <v>93121</v>
      </c>
      <c r="CH237" s="530">
        <v>87874</v>
      </c>
      <c r="CI237" s="530">
        <v>81757</v>
      </c>
      <c r="CJ237" s="530">
        <v>78522</v>
      </c>
      <c r="CK237" s="530">
        <v>75850</v>
      </c>
      <c r="CL237" s="530">
        <v>59432</v>
      </c>
      <c r="CM237" s="530">
        <v>52155</v>
      </c>
      <c r="CN237" s="530">
        <v>44983</v>
      </c>
      <c r="CO237" s="530">
        <v>36377</v>
      </c>
      <c r="CP237" s="530">
        <v>31987</v>
      </c>
      <c r="CQ237" s="530">
        <v>25717</v>
      </c>
      <c r="CR237" s="530">
        <v>21233</v>
      </c>
      <c r="CS237" s="530">
        <v>16827</v>
      </c>
      <c r="CT237" s="530">
        <v>13161</v>
      </c>
      <c r="CU237" s="530">
        <v>10063</v>
      </c>
      <c r="CV237" s="530">
        <v>7285</v>
      </c>
      <c r="CW237" s="530">
        <v>5131</v>
      </c>
      <c r="CX237" s="530">
        <v>3645</v>
      </c>
      <c r="CY237" s="530">
        <v>2556</v>
      </c>
      <c r="CZ237" s="530">
        <v>1736</v>
      </c>
      <c r="DA237" s="530">
        <v>3633</v>
      </c>
      <c r="DB237" s="162">
        <f t="shared" si="75"/>
        <v>14662883</v>
      </c>
      <c r="DC237" s="163">
        <f t="shared" si="76"/>
        <v>14.662883000000001</v>
      </c>
      <c r="DD237" s="165">
        <f t="shared" si="78"/>
        <v>1.1124806193211266E-2</v>
      </c>
    </row>
    <row r="238" spans="1:108" x14ac:dyDescent="0.2">
      <c r="A238" s="159"/>
      <c r="B238" s="159"/>
      <c r="C238" s="159"/>
      <c r="D238" s="160">
        <f t="shared" si="77"/>
        <v>2032</v>
      </c>
      <c r="E238" s="530">
        <v>162556</v>
      </c>
      <c r="F238" s="530">
        <v>162177</v>
      </c>
      <c r="G238" s="530">
        <v>162631</v>
      </c>
      <c r="H238" s="530">
        <v>163437</v>
      </c>
      <c r="I238" s="530">
        <v>164525</v>
      </c>
      <c r="J238" s="530">
        <v>165960</v>
      </c>
      <c r="K238" s="530">
        <v>167412</v>
      </c>
      <c r="L238" s="530">
        <v>168564</v>
      </c>
      <c r="M238" s="530">
        <v>169500</v>
      </c>
      <c r="N238" s="530">
        <v>169863</v>
      </c>
      <c r="O238" s="530">
        <v>174773</v>
      </c>
      <c r="P238" s="530">
        <v>172177</v>
      </c>
      <c r="Q238" s="530">
        <v>170964</v>
      </c>
      <c r="R238" s="530">
        <v>174740</v>
      </c>
      <c r="S238" s="530">
        <v>175145</v>
      </c>
      <c r="T238" s="530">
        <v>178293</v>
      </c>
      <c r="U238" s="530">
        <v>182870</v>
      </c>
      <c r="V238" s="530">
        <v>182928</v>
      </c>
      <c r="W238" s="530">
        <v>188260</v>
      </c>
      <c r="X238" s="530">
        <v>196263</v>
      </c>
      <c r="Y238" s="530">
        <v>199993</v>
      </c>
      <c r="Z238" s="530">
        <v>201850</v>
      </c>
      <c r="AA238" s="530">
        <v>207684</v>
      </c>
      <c r="AB238" s="530">
        <v>212284</v>
      </c>
      <c r="AC238" s="530">
        <v>216391</v>
      </c>
      <c r="AD238" s="530">
        <v>217139</v>
      </c>
      <c r="AE238" s="530">
        <v>211670</v>
      </c>
      <c r="AF238" s="530">
        <v>207772</v>
      </c>
      <c r="AG238" s="530">
        <v>203610</v>
      </c>
      <c r="AH238" s="530">
        <v>198045</v>
      </c>
      <c r="AI238" s="530">
        <v>196946</v>
      </c>
      <c r="AJ238" s="530">
        <v>203399</v>
      </c>
      <c r="AK238" s="530">
        <v>203937</v>
      </c>
      <c r="AL238" s="530">
        <v>197981</v>
      </c>
      <c r="AM238" s="530">
        <v>196176</v>
      </c>
      <c r="AN238" s="530">
        <v>199382</v>
      </c>
      <c r="AO238" s="530">
        <v>203875</v>
      </c>
      <c r="AP238" s="530">
        <v>208422</v>
      </c>
      <c r="AQ238" s="530">
        <v>206967</v>
      </c>
      <c r="AR238" s="530">
        <v>205782</v>
      </c>
      <c r="AS238" s="530">
        <v>205082</v>
      </c>
      <c r="AT238" s="530">
        <v>208147</v>
      </c>
      <c r="AU238" s="530">
        <v>207797</v>
      </c>
      <c r="AV238" s="530">
        <v>204060</v>
      </c>
      <c r="AW238" s="530">
        <v>200767</v>
      </c>
      <c r="AX238" s="530">
        <v>199946</v>
      </c>
      <c r="AY238" s="530">
        <v>200115</v>
      </c>
      <c r="AZ238" s="530">
        <v>197492</v>
      </c>
      <c r="BA238" s="530">
        <v>194937</v>
      </c>
      <c r="BB238" s="530">
        <v>193412</v>
      </c>
      <c r="BC238" s="530">
        <v>186157</v>
      </c>
      <c r="BD238" s="530">
        <v>179507</v>
      </c>
      <c r="BE238" s="530">
        <v>169488</v>
      </c>
      <c r="BF238" s="530">
        <v>164644</v>
      </c>
      <c r="BG238" s="530">
        <v>159740</v>
      </c>
      <c r="BH238" s="530">
        <v>158467</v>
      </c>
      <c r="BI238" s="530">
        <v>159535</v>
      </c>
      <c r="BJ238" s="530">
        <v>160142</v>
      </c>
      <c r="BK238" s="530">
        <v>162097</v>
      </c>
      <c r="BL238" s="530">
        <v>165123</v>
      </c>
      <c r="BM238" s="530">
        <v>169949</v>
      </c>
      <c r="BN238" s="530">
        <v>170850</v>
      </c>
      <c r="BO238" s="530">
        <v>160490</v>
      </c>
      <c r="BP238" s="530">
        <v>157880</v>
      </c>
      <c r="BQ238" s="530">
        <v>151932</v>
      </c>
      <c r="BR238" s="530">
        <v>148814</v>
      </c>
      <c r="BS238" s="530">
        <v>147779</v>
      </c>
      <c r="BT238" s="530">
        <v>148638</v>
      </c>
      <c r="BU238" s="530">
        <v>151362</v>
      </c>
      <c r="BV238" s="530">
        <v>151613</v>
      </c>
      <c r="BW238" s="530">
        <v>148981</v>
      </c>
      <c r="BX238" s="530">
        <v>145343</v>
      </c>
      <c r="BY238" s="530">
        <v>137908</v>
      </c>
      <c r="BZ238" s="530">
        <v>133235</v>
      </c>
      <c r="CA238" s="530">
        <v>127097</v>
      </c>
      <c r="CB238" s="530">
        <v>121509</v>
      </c>
      <c r="CC238" s="530">
        <v>116903</v>
      </c>
      <c r="CD238" s="530">
        <v>109896</v>
      </c>
      <c r="CE238" s="530">
        <v>103869</v>
      </c>
      <c r="CF238" s="530">
        <v>100033</v>
      </c>
      <c r="CG238" s="530">
        <v>93995</v>
      </c>
      <c r="CH238" s="530">
        <v>89407</v>
      </c>
      <c r="CI238" s="530">
        <v>83892</v>
      </c>
      <c r="CJ238" s="530">
        <v>77581</v>
      </c>
      <c r="CK238" s="530">
        <v>73963</v>
      </c>
      <c r="CL238" s="530">
        <v>70855</v>
      </c>
      <c r="CM238" s="530">
        <v>54993</v>
      </c>
      <c r="CN238" s="530">
        <v>47610</v>
      </c>
      <c r="CO238" s="530">
        <v>40511</v>
      </c>
      <c r="CP238" s="530">
        <v>32314</v>
      </c>
      <c r="CQ238" s="530">
        <v>27880</v>
      </c>
      <c r="CR238" s="530">
        <v>21968</v>
      </c>
      <c r="CS238" s="530">
        <v>17833</v>
      </c>
      <c r="CT238" s="530">
        <v>13865</v>
      </c>
      <c r="CU238" s="530">
        <v>10552</v>
      </c>
      <c r="CV238" s="530">
        <v>7857</v>
      </c>
      <c r="CW238" s="530">
        <v>5578</v>
      </c>
      <c r="CX238" s="530">
        <v>3853</v>
      </c>
      <c r="CY238" s="530">
        <v>2662</v>
      </c>
      <c r="CZ238" s="530">
        <v>1803</v>
      </c>
      <c r="DA238" s="530">
        <v>3792</v>
      </c>
      <c r="DB238" s="162">
        <f t="shared" si="75"/>
        <v>14815843</v>
      </c>
      <c r="DC238" s="163">
        <f t="shared" si="76"/>
        <v>14.815842999999999</v>
      </c>
      <c r="DD238" s="165">
        <f t="shared" si="78"/>
        <v>1.0431782071779364E-2</v>
      </c>
    </row>
    <row r="239" spans="1:108" x14ac:dyDescent="0.2">
      <c r="A239" s="159"/>
      <c r="B239" s="159"/>
      <c r="C239" s="159"/>
      <c r="D239" s="160">
        <f t="shared" si="77"/>
        <v>2033</v>
      </c>
      <c r="E239" s="530">
        <v>163539</v>
      </c>
      <c r="F239" s="530">
        <v>163032</v>
      </c>
      <c r="G239" s="530">
        <v>163400</v>
      </c>
      <c r="H239" s="530">
        <v>164122</v>
      </c>
      <c r="I239" s="530">
        <v>165157</v>
      </c>
      <c r="J239" s="530">
        <v>166348</v>
      </c>
      <c r="K239" s="530">
        <v>167606</v>
      </c>
      <c r="L239" s="530">
        <v>168865</v>
      </c>
      <c r="M239" s="530">
        <v>169951</v>
      </c>
      <c r="N239" s="530">
        <v>170837</v>
      </c>
      <c r="O239" s="530">
        <v>171170</v>
      </c>
      <c r="P239" s="530">
        <v>176048</v>
      </c>
      <c r="Q239" s="530">
        <v>173371</v>
      </c>
      <c r="R239" s="530">
        <v>172112</v>
      </c>
      <c r="S239" s="530">
        <v>175948</v>
      </c>
      <c r="T239" s="530">
        <v>176506</v>
      </c>
      <c r="U239" s="530">
        <v>179784</v>
      </c>
      <c r="V239" s="530">
        <v>185101</v>
      </c>
      <c r="W239" s="530">
        <v>187980</v>
      </c>
      <c r="X239" s="530">
        <v>195344</v>
      </c>
      <c r="Y239" s="530">
        <v>201470</v>
      </c>
      <c r="Z239" s="530">
        <v>203249</v>
      </c>
      <c r="AA239" s="530">
        <v>206285</v>
      </c>
      <c r="AB239" s="530">
        <v>213422</v>
      </c>
      <c r="AC239" s="530">
        <v>216494</v>
      </c>
      <c r="AD239" s="530">
        <v>218423</v>
      </c>
      <c r="AE239" s="530">
        <v>218535</v>
      </c>
      <c r="AF239" s="530">
        <v>213197</v>
      </c>
      <c r="AG239" s="530">
        <v>209482</v>
      </c>
      <c r="AH239" s="530">
        <v>205456</v>
      </c>
      <c r="AI239" s="530">
        <v>199828</v>
      </c>
      <c r="AJ239" s="530">
        <v>198530</v>
      </c>
      <c r="AK239" s="530">
        <v>204902</v>
      </c>
      <c r="AL239" s="530">
        <v>205531</v>
      </c>
      <c r="AM239" s="530">
        <v>199568</v>
      </c>
      <c r="AN239" s="530">
        <v>197634</v>
      </c>
      <c r="AO239" s="530">
        <v>200760</v>
      </c>
      <c r="AP239" s="530">
        <v>205154</v>
      </c>
      <c r="AQ239" s="530">
        <v>209543</v>
      </c>
      <c r="AR239" s="530">
        <v>207992</v>
      </c>
      <c r="AS239" s="530">
        <v>206752</v>
      </c>
      <c r="AT239" s="530">
        <v>205899</v>
      </c>
      <c r="AU239" s="530">
        <v>208783</v>
      </c>
      <c r="AV239" s="530">
        <v>208286</v>
      </c>
      <c r="AW239" s="530">
        <v>204440</v>
      </c>
      <c r="AX239" s="530">
        <v>201082</v>
      </c>
      <c r="AY239" s="530">
        <v>200199</v>
      </c>
      <c r="AZ239" s="530">
        <v>200280</v>
      </c>
      <c r="BA239" s="530">
        <v>197570</v>
      </c>
      <c r="BB239" s="530">
        <v>194930</v>
      </c>
      <c r="BC239" s="530">
        <v>193334</v>
      </c>
      <c r="BD239" s="530">
        <v>186066</v>
      </c>
      <c r="BE239" s="530">
        <v>179375</v>
      </c>
      <c r="BF239" s="530">
        <v>169325</v>
      </c>
      <c r="BG239" s="530">
        <v>164492</v>
      </c>
      <c r="BH239" s="530">
        <v>159632</v>
      </c>
      <c r="BI239" s="530">
        <v>158376</v>
      </c>
      <c r="BJ239" s="530">
        <v>159374</v>
      </c>
      <c r="BK239" s="530">
        <v>159920</v>
      </c>
      <c r="BL239" s="530">
        <v>161894</v>
      </c>
      <c r="BM239" s="530">
        <v>164934</v>
      </c>
      <c r="BN239" s="530">
        <v>169755</v>
      </c>
      <c r="BO239" s="530">
        <v>170656</v>
      </c>
      <c r="BP239" s="530">
        <v>160297</v>
      </c>
      <c r="BQ239" s="530">
        <v>157598</v>
      </c>
      <c r="BR239" s="530">
        <v>151562</v>
      </c>
      <c r="BS239" s="530">
        <v>148304</v>
      </c>
      <c r="BT239" s="530">
        <v>147076</v>
      </c>
      <c r="BU239" s="530">
        <v>147697</v>
      </c>
      <c r="BV239" s="530">
        <v>150213</v>
      </c>
      <c r="BW239" s="530">
        <v>150289</v>
      </c>
      <c r="BX239" s="530">
        <v>147479</v>
      </c>
      <c r="BY239" s="530">
        <v>143666</v>
      </c>
      <c r="BZ239" s="530">
        <v>136047</v>
      </c>
      <c r="CA239" s="530">
        <v>131085</v>
      </c>
      <c r="CB239" s="530">
        <v>124792</v>
      </c>
      <c r="CC239" s="530">
        <v>119078</v>
      </c>
      <c r="CD239" s="530">
        <v>114214</v>
      </c>
      <c r="CE239" s="530">
        <v>106981</v>
      </c>
      <c r="CF239" s="530">
        <v>100733</v>
      </c>
      <c r="CG239" s="530">
        <v>96580</v>
      </c>
      <c r="CH239" s="530">
        <v>90267</v>
      </c>
      <c r="CI239" s="530">
        <v>85378</v>
      </c>
      <c r="CJ239" s="530">
        <v>79629</v>
      </c>
      <c r="CK239" s="530">
        <v>73102</v>
      </c>
      <c r="CL239" s="530">
        <v>69120</v>
      </c>
      <c r="CM239" s="530">
        <v>65584</v>
      </c>
      <c r="CN239" s="530">
        <v>50223</v>
      </c>
      <c r="CO239" s="530">
        <v>42897</v>
      </c>
      <c r="CP239" s="530">
        <v>36006</v>
      </c>
      <c r="CQ239" s="530">
        <v>28183</v>
      </c>
      <c r="CR239" s="530">
        <v>23833</v>
      </c>
      <c r="CS239" s="530">
        <v>18466</v>
      </c>
      <c r="CT239" s="530">
        <v>14707</v>
      </c>
      <c r="CU239" s="530">
        <v>11127</v>
      </c>
      <c r="CV239" s="530">
        <v>8246</v>
      </c>
      <c r="CW239" s="530">
        <v>6022</v>
      </c>
      <c r="CX239" s="530">
        <v>4192</v>
      </c>
      <c r="CY239" s="530">
        <v>2815</v>
      </c>
      <c r="CZ239" s="530">
        <v>1880</v>
      </c>
      <c r="DA239" s="530">
        <v>3956</v>
      </c>
      <c r="DB239" s="162">
        <f t="shared" si="75"/>
        <v>14966354</v>
      </c>
      <c r="DC239" s="163">
        <f t="shared" si="76"/>
        <v>14.966354000000001</v>
      </c>
      <c r="DD239" s="165">
        <f t="shared" si="78"/>
        <v>1.015878745475378E-2</v>
      </c>
    </row>
    <row r="240" spans="1:108" x14ac:dyDescent="0.2">
      <c r="A240" s="159"/>
      <c r="B240" s="159"/>
      <c r="C240" s="159"/>
      <c r="D240" s="160">
        <f t="shared" si="77"/>
        <v>2034</v>
      </c>
      <c r="E240" s="530">
        <v>164706</v>
      </c>
      <c r="F240" s="530">
        <v>164014</v>
      </c>
      <c r="G240" s="530">
        <v>164255</v>
      </c>
      <c r="H240" s="530">
        <v>164891</v>
      </c>
      <c r="I240" s="530">
        <v>165842</v>
      </c>
      <c r="J240" s="530">
        <v>166980</v>
      </c>
      <c r="K240" s="530">
        <v>167994</v>
      </c>
      <c r="L240" s="530">
        <v>169059</v>
      </c>
      <c r="M240" s="530">
        <v>170252</v>
      </c>
      <c r="N240" s="530">
        <v>171288</v>
      </c>
      <c r="O240" s="530">
        <v>172144</v>
      </c>
      <c r="P240" s="530">
        <v>172445</v>
      </c>
      <c r="Q240" s="530">
        <v>177241</v>
      </c>
      <c r="R240" s="530">
        <v>174519</v>
      </c>
      <c r="S240" s="530">
        <v>173321</v>
      </c>
      <c r="T240" s="530">
        <v>177308</v>
      </c>
      <c r="U240" s="530">
        <v>177998</v>
      </c>
      <c r="V240" s="530">
        <v>182016</v>
      </c>
      <c r="W240" s="530">
        <v>190152</v>
      </c>
      <c r="X240" s="530">
        <v>195065</v>
      </c>
      <c r="Y240" s="530">
        <v>200552</v>
      </c>
      <c r="Z240" s="530">
        <v>204727</v>
      </c>
      <c r="AA240" s="530">
        <v>207683</v>
      </c>
      <c r="AB240" s="530">
        <v>212024</v>
      </c>
      <c r="AC240" s="530">
        <v>217634</v>
      </c>
      <c r="AD240" s="530">
        <v>218526</v>
      </c>
      <c r="AE240" s="530">
        <v>219818</v>
      </c>
      <c r="AF240" s="530">
        <v>220058</v>
      </c>
      <c r="AG240" s="530">
        <v>214905</v>
      </c>
      <c r="AH240" s="530">
        <v>211324</v>
      </c>
      <c r="AI240" s="530">
        <v>207236</v>
      </c>
      <c r="AJ240" s="530">
        <v>201409</v>
      </c>
      <c r="AK240" s="530">
        <v>200036</v>
      </c>
      <c r="AL240" s="530">
        <v>206498</v>
      </c>
      <c r="AM240" s="530">
        <v>207112</v>
      </c>
      <c r="AN240" s="530">
        <v>201023</v>
      </c>
      <c r="AO240" s="530">
        <v>199016</v>
      </c>
      <c r="AP240" s="530">
        <v>202044</v>
      </c>
      <c r="AQ240" s="530">
        <v>206278</v>
      </c>
      <c r="AR240" s="530">
        <v>210566</v>
      </c>
      <c r="AS240" s="530">
        <v>208960</v>
      </c>
      <c r="AT240" s="530">
        <v>207567</v>
      </c>
      <c r="AU240" s="530">
        <v>206540</v>
      </c>
      <c r="AV240" s="530">
        <v>209271</v>
      </c>
      <c r="AW240" s="530">
        <v>208661</v>
      </c>
      <c r="AX240" s="530">
        <v>204750</v>
      </c>
      <c r="AY240" s="530">
        <v>201333</v>
      </c>
      <c r="AZ240" s="530">
        <v>200368</v>
      </c>
      <c r="BA240" s="530">
        <v>200352</v>
      </c>
      <c r="BB240" s="530">
        <v>197557</v>
      </c>
      <c r="BC240" s="530">
        <v>194850</v>
      </c>
      <c r="BD240" s="530">
        <v>193227</v>
      </c>
      <c r="BE240" s="530">
        <v>185918</v>
      </c>
      <c r="BF240" s="530">
        <v>179185</v>
      </c>
      <c r="BG240" s="530">
        <v>169159</v>
      </c>
      <c r="BH240" s="530">
        <v>164369</v>
      </c>
      <c r="BI240" s="530">
        <v>159536</v>
      </c>
      <c r="BJ240" s="530">
        <v>158224</v>
      </c>
      <c r="BK240" s="530">
        <v>159161</v>
      </c>
      <c r="BL240" s="530">
        <v>159730</v>
      </c>
      <c r="BM240" s="530">
        <v>161725</v>
      </c>
      <c r="BN240" s="530">
        <v>164773</v>
      </c>
      <c r="BO240" s="530">
        <v>169573</v>
      </c>
      <c r="BP240" s="530">
        <v>170397</v>
      </c>
      <c r="BQ240" s="530">
        <v>160002</v>
      </c>
      <c r="BR240" s="530">
        <v>157187</v>
      </c>
      <c r="BS240" s="530">
        <v>151035</v>
      </c>
      <c r="BT240" s="530">
        <v>147602</v>
      </c>
      <c r="BU240" s="530">
        <v>146157</v>
      </c>
      <c r="BV240" s="530">
        <v>146601</v>
      </c>
      <c r="BW240" s="530">
        <v>148914</v>
      </c>
      <c r="BX240" s="530">
        <v>148780</v>
      </c>
      <c r="BY240" s="530">
        <v>145781</v>
      </c>
      <c r="BZ240" s="530">
        <v>141725</v>
      </c>
      <c r="CA240" s="530">
        <v>133859</v>
      </c>
      <c r="CB240" s="530">
        <v>128713</v>
      </c>
      <c r="CC240" s="530">
        <v>122306</v>
      </c>
      <c r="CD240" s="530">
        <v>116351</v>
      </c>
      <c r="CE240" s="530">
        <v>111195</v>
      </c>
      <c r="CF240" s="530">
        <v>103768</v>
      </c>
      <c r="CG240" s="530">
        <v>97274</v>
      </c>
      <c r="CH240" s="530">
        <v>92771</v>
      </c>
      <c r="CI240" s="530">
        <v>86223</v>
      </c>
      <c r="CJ240" s="530">
        <v>81063</v>
      </c>
      <c r="CK240" s="530">
        <v>75056</v>
      </c>
      <c r="CL240" s="530">
        <v>68340</v>
      </c>
      <c r="CM240" s="530">
        <v>64003</v>
      </c>
      <c r="CN240" s="530">
        <v>59919</v>
      </c>
      <c r="CO240" s="530">
        <v>45272</v>
      </c>
      <c r="CP240" s="530">
        <v>38148</v>
      </c>
      <c r="CQ240" s="530">
        <v>31423</v>
      </c>
      <c r="CR240" s="530">
        <v>24110</v>
      </c>
      <c r="CS240" s="530">
        <v>20049</v>
      </c>
      <c r="CT240" s="530">
        <v>15242</v>
      </c>
      <c r="CU240" s="530">
        <v>11814</v>
      </c>
      <c r="CV240" s="530">
        <v>8704</v>
      </c>
      <c r="CW240" s="530">
        <v>6325</v>
      </c>
      <c r="CX240" s="530">
        <v>4529</v>
      </c>
      <c r="CY240" s="530">
        <v>3067</v>
      </c>
      <c r="CZ240" s="530">
        <v>1989</v>
      </c>
      <c r="DA240" s="530">
        <v>4131</v>
      </c>
      <c r="DB240" s="162">
        <f t="shared" si="75"/>
        <v>15114573</v>
      </c>
      <c r="DC240" s="163">
        <f t="shared" si="76"/>
        <v>15.114573</v>
      </c>
      <c r="DD240" s="165">
        <f t="shared" si="78"/>
        <v>9.9034808344102519E-3</v>
      </c>
    </row>
    <row r="241" spans="1:108" x14ac:dyDescent="0.2">
      <c r="A241" s="159"/>
      <c r="B241" s="159"/>
      <c r="C241" s="159"/>
      <c r="D241" s="160">
        <f t="shared" si="77"/>
        <v>2035</v>
      </c>
      <c r="E241" s="530">
        <v>166054</v>
      </c>
      <c r="F241" s="530">
        <v>165181</v>
      </c>
      <c r="G241" s="530">
        <v>165238</v>
      </c>
      <c r="H241" s="530">
        <v>165748</v>
      </c>
      <c r="I241" s="530">
        <v>166611</v>
      </c>
      <c r="J241" s="530">
        <v>167665</v>
      </c>
      <c r="K241" s="530">
        <v>168626</v>
      </c>
      <c r="L241" s="530">
        <v>169447</v>
      </c>
      <c r="M241" s="530">
        <v>170446</v>
      </c>
      <c r="N241" s="530">
        <v>171589</v>
      </c>
      <c r="O241" s="530">
        <v>172595</v>
      </c>
      <c r="P241" s="530">
        <v>173419</v>
      </c>
      <c r="Q241" s="530">
        <v>173639</v>
      </c>
      <c r="R241" s="530">
        <v>178388</v>
      </c>
      <c r="S241" s="530">
        <v>175727</v>
      </c>
      <c r="T241" s="530">
        <v>174680</v>
      </c>
      <c r="U241" s="530">
        <v>178801</v>
      </c>
      <c r="V241" s="530">
        <v>180230</v>
      </c>
      <c r="W241" s="530">
        <v>187068</v>
      </c>
      <c r="X241" s="530">
        <v>197236</v>
      </c>
      <c r="Y241" s="530">
        <v>200273</v>
      </c>
      <c r="Z241" s="530">
        <v>203809</v>
      </c>
      <c r="AA241" s="530">
        <v>209160</v>
      </c>
      <c r="AB241" s="530">
        <v>213421</v>
      </c>
      <c r="AC241" s="530">
        <v>216237</v>
      </c>
      <c r="AD241" s="530">
        <v>219668</v>
      </c>
      <c r="AE241" s="530">
        <v>219921</v>
      </c>
      <c r="AF241" s="530">
        <v>221344</v>
      </c>
      <c r="AG241" s="530">
        <v>221762</v>
      </c>
      <c r="AH241" s="530">
        <v>216746</v>
      </c>
      <c r="AI241" s="530">
        <v>213100</v>
      </c>
      <c r="AJ241" s="530">
        <v>208812</v>
      </c>
      <c r="AK241" s="530">
        <v>202913</v>
      </c>
      <c r="AL241" s="530">
        <v>201635</v>
      </c>
      <c r="AM241" s="530">
        <v>208078</v>
      </c>
      <c r="AN241" s="530">
        <v>208561</v>
      </c>
      <c r="AO241" s="530">
        <v>202402</v>
      </c>
      <c r="AP241" s="530">
        <v>200302</v>
      </c>
      <c r="AQ241" s="530">
        <v>203173</v>
      </c>
      <c r="AR241" s="530">
        <v>207306</v>
      </c>
      <c r="AS241" s="530">
        <v>211531</v>
      </c>
      <c r="AT241" s="530">
        <v>209772</v>
      </c>
      <c r="AU241" s="530">
        <v>208206</v>
      </c>
      <c r="AV241" s="530">
        <v>207033</v>
      </c>
      <c r="AW241" s="530">
        <v>209645</v>
      </c>
      <c r="AX241" s="530">
        <v>208964</v>
      </c>
      <c r="AY241" s="530">
        <v>204997</v>
      </c>
      <c r="AZ241" s="530">
        <v>201500</v>
      </c>
      <c r="BA241" s="530">
        <v>200442</v>
      </c>
      <c r="BB241" s="530">
        <v>200337</v>
      </c>
      <c r="BC241" s="530">
        <v>197471</v>
      </c>
      <c r="BD241" s="530">
        <v>194741</v>
      </c>
      <c r="BE241" s="530">
        <v>193061</v>
      </c>
      <c r="BF241" s="530">
        <v>185708</v>
      </c>
      <c r="BG241" s="530">
        <v>178988</v>
      </c>
      <c r="BH241" s="530">
        <v>169021</v>
      </c>
      <c r="BI241" s="530">
        <v>164260</v>
      </c>
      <c r="BJ241" s="530">
        <v>159380</v>
      </c>
      <c r="BK241" s="530">
        <v>158018</v>
      </c>
      <c r="BL241" s="530">
        <v>158978</v>
      </c>
      <c r="BM241" s="530">
        <v>159581</v>
      </c>
      <c r="BN241" s="530">
        <v>161586</v>
      </c>
      <c r="BO241" s="530">
        <v>164624</v>
      </c>
      <c r="BP241" s="530">
        <v>169327</v>
      </c>
      <c r="BQ241" s="530">
        <v>170031</v>
      </c>
      <c r="BR241" s="530">
        <v>159577</v>
      </c>
      <c r="BS241" s="530">
        <v>156617</v>
      </c>
      <c r="BT241" s="530">
        <v>150315</v>
      </c>
      <c r="BU241" s="530">
        <v>146688</v>
      </c>
      <c r="BV241" s="530">
        <v>145086</v>
      </c>
      <c r="BW241" s="530">
        <v>145358</v>
      </c>
      <c r="BX241" s="530">
        <v>147435</v>
      </c>
      <c r="BY241" s="530">
        <v>147078</v>
      </c>
      <c r="BZ241" s="530">
        <v>143816</v>
      </c>
      <c r="CA241" s="530">
        <v>139445</v>
      </c>
      <c r="CB241" s="530">
        <v>131446</v>
      </c>
      <c r="CC241" s="530">
        <v>126158</v>
      </c>
      <c r="CD241" s="530">
        <v>119518</v>
      </c>
      <c r="CE241" s="530">
        <v>113291</v>
      </c>
      <c r="CF241" s="530">
        <v>107868</v>
      </c>
      <c r="CG241" s="530">
        <v>100223</v>
      </c>
      <c r="CH241" s="530">
        <v>93460</v>
      </c>
      <c r="CI241" s="530">
        <v>88636</v>
      </c>
      <c r="CJ241" s="530">
        <v>81890</v>
      </c>
      <c r="CK241" s="530">
        <v>76431</v>
      </c>
      <c r="CL241" s="530">
        <v>70191</v>
      </c>
      <c r="CM241" s="530">
        <v>63306</v>
      </c>
      <c r="CN241" s="530">
        <v>58501</v>
      </c>
      <c r="CO241" s="530">
        <v>54039</v>
      </c>
      <c r="CP241" s="530">
        <v>40282</v>
      </c>
      <c r="CQ241" s="530">
        <v>33313</v>
      </c>
      <c r="CR241" s="530">
        <v>26902</v>
      </c>
      <c r="CS241" s="530">
        <v>20299</v>
      </c>
      <c r="CT241" s="530">
        <v>16564</v>
      </c>
      <c r="CU241" s="530">
        <v>12255</v>
      </c>
      <c r="CV241" s="530">
        <v>9250</v>
      </c>
      <c r="CW241" s="530">
        <v>6682</v>
      </c>
      <c r="CX241" s="530">
        <v>4762</v>
      </c>
      <c r="CY241" s="530">
        <v>3316</v>
      </c>
      <c r="CZ241" s="530">
        <v>2169</v>
      </c>
      <c r="DA241" s="530">
        <v>4335</v>
      </c>
      <c r="DB241" s="162">
        <f t="shared" si="75"/>
        <v>15260715</v>
      </c>
      <c r="DC241" s="163">
        <f t="shared" si="76"/>
        <v>15.260714999999999</v>
      </c>
      <c r="DD241" s="165">
        <f t="shared" si="78"/>
        <v>9.6689466516850543E-3</v>
      </c>
    </row>
    <row r="242" spans="1:108" x14ac:dyDescent="0.2">
      <c r="A242" s="159"/>
      <c r="B242" s="159"/>
      <c r="C242" s="159"/>
      <c r="D242" s="160">
        <f t="shared" si="77"/>
        <v>2036</v>
      </c>
      <c r="E242" s="530">
        <v>167550</v>
      </c>
      <c r="F242" s="530">
        <v>166528</v>
      </c>
      <c r="G242" s="530">
        <v>166405</v>
      </c>
      <c r="H242" s="530">
        <v>166730</v>
      </c>
      <c r="I242" s="530">
        <v>167468</v>
      </c>
      <c r="J242" s="530">
        <v>168433</v>
      </c>
      <c r="K242" s="530">
        <v>169311</v>
      </c>
      <c r="L242" s="530">
        <v>170079</v>
      </c>
      <c r="M242" s="530">
        <v>170834</v>
      </c>
      <c r="N242" s="530">
        <v>171783</v>
      </c>
      <c r="O242" s="530">
        <v>172896</v>
      </c>
      <c r="P242" s="530">
        <v>173870</v>
      </c>
      <c r="Q242" s="530">
        <v>174614</v>
      </c>
      <c r="R242" s="530">
        <v>174787</v>
      </c>
      <c r="S242" s="530">
        <v>179596</v>
      </c>
      <c r="T242" s="530">
        <v>177086</v>
      </c>
      <c r="U242" s="530">
        <v>176174</v>
      </c>
      <c r="V242" s="530">
        <v>181033</v>
      </c>
      <c r="W242" s="530">
        <v>185283</v>
      </c>
      <c r="X242" s="530">
        <v>194153</v>
      </c>
      <c r="Y242" s="530">
        <v>202443</v>
      </c>
      <c r="Z242" s="530">
        <v>203531</v>
      </c>
      <c r="AA242" s="530">
        <v>208243</v>
      </c>
      <c r="AB242" s="530">
        <v>214897</v>
      </c>
      <c r="AC242" s="530">
        <v>217635</v>
      </c>
      <c r="AD242" s="530">
        <v>218272</v>
      </c>
      <c r="AE242" s="530">
        <v>221062</v>
      </c>
      <c r="AF242" s="530">
        <v>221447</v>
      </c>
      <c r="AG242" s="530">
        <v>223047</v>
      </c>
      <c r="AH242" s="530">
        <v>223598</v>
      </c>
      <c r="AI242" s="530">
        <v>218519</v>
      </c>
      <c r="AJ242" s="530">
        <v>214674</v>
      </c>
      <c r="AK242" s="530">
        <v>210311</v>
      </c>
      <c r="AL242" s="530">
        <v>204510</v>
      </c>
      <c r="AM242" s="530">
        <v>203221</v>
      </c>
      <c r="AN242" s="530">
        <v>209528</v>
      </c>
      <c r="AO242" s="530">
        <v>209934</v>
      </c>
      <c r="AP242" s="530">
        <v>203685</v>
      </c>
      <c r="AQ242" s="530">
        <v>201432</v>
      </c>
      <c r="AR242" s="530">
        <v>204204</v>
      </c>
      <c r="AS242" s="530">
        <v>208277</v>
      </c>
      <c r="AT242" s="530">
        <v>212343</v>
      </c>
      <c r="AU242" s="530">
        <v>210412</v>
      </c>
      <c r="AV242" s="530">
        <v>208697</v>
      </c>
      <c r="AW242" s="530">
        <v>207412</v>
      </c>
      <c r="AX242" s="530">
        <v>209948</v>
      </c>
      <c r="AY242" s="530">
        <v>209208</v>
      </c>
      <c r="AZ242" s="530">
        <v>205157</v>
      </c>
      <c r="BA242" s="530">
        <v>201574</v>
      </c>
      <c r="BB242" s="530">
        <v>200427</v>
      </c>
      <c r="BC242" s="530">
        <v>200248</v>
      </c>
      <c r="BD242" s="530">
        <v>197356</v>
      </c>
      <c r="BE242" s="530">
        <v>194573</v>
      </c>
      <c r="BF242" s="530">
        <v>192833</v>
      </c>
      <c r="BG242" s="530">
        <v>185491</v>
      </c>
      <c r="BH242" s="530">
        <v>178817</v>
      </c>
      <c r="BI242" s="530">
        <v>168894</v>
      </c>
      <c r="BJ242" s="530">
        <v>164089</v>
      </c>
      <c r="BK242" s="530">
        <v>159173</v>
      </c>
      <c r="BL242" s="530">
        <v>157844</v>
      </c>
      <c r="BM242" s="530">
        <v>158834</v>
      </c>
      <c r="BN242" s="530">
        <v>159459</v>
      </c>
      <c r="BO242" s="530">
        <v>161463</v>
      </c>
      <c r="BP242" s="530">
        <v>164417</v>
      </c>
      <c r="BQ242" s="530">
        <v>168974</v>
      </c>
      <c r="BR242" s="530">
        <v>169530</v>
      </c>
      <c r="BS242" s="530">
        <v>158995</v>
      </c>
      <c r="BT242" s="530">
        <v>155851</v>
      </c>
      <c r="BU242" s="530">
        <v>149379</v>
      </c>
      <c r="BV242" s="530">
        <v>145618</v>
      </c>
      <c r="BW242" s="530">
        <v>143872</v>
      </c>
      <c r="BX242" s="530">
        <v>143934</v>
      </c>
      <c r="BY242" s="530">
        <v>145762</v>
      </c>
      <c r="BZ242" s="530">
        <v>145106</v>
      </c>
      <c r="CA242" s="530">
        <v>141513</v>
      </c>
      <c r="CB242" s="530">
        <v>136937</v>
      </c>
      <c r="CC242" s="530">
        <v>128847</v>
      </c>
      <c r="CD242" s="530">
        <v>123293</v>
      </c>
      <c r="CE242" s="530">
        <v>116389</v>
      </c>
      <c r="CF242" s="530">
        <v>109918</v>
      </c>
      <c r="CG242" s="530">
        <v>104202</v>
      </c>
      <c r="CH242" s="530">
        <v>96312</v>
      </c>
      <c r="CI242" s="530">
        <v>89318</v>
      </c>
      <c r="CJ242" s="530">
        <v>84205</v>
      </c>
      <c r="CK242" s="530">
        <v>77236</v>
      </c>
      <c r="CL242" s="530">
        <v>71503</v>
      </c>
      <c r="CM242" s="530">
        <v>65045</v>
      </c>
      <c r="CN242" s="530">
        <v>57889</v>
      </c>
      <c r="CO242" s="530">
        <v>52787</v>
      </c>
      <c r="CP242" s="530">
        <v>48107</v>
      </c>
      <c r="CQ242" s="530">
        <v>35200</v>
      </c>
      <c r="CR242" s="530">
        <v>28541</v>
      </c>
      <c r="CS242" s="530">
        <v>22668</v>
      </c>
      <c r="CT242" s="530">
        <v>16784</v>
      </c>
      <c r="CU242" s="530">
        <v>13330</v>
      </c>
      <c r="CV242" s="530">
        <v>9604</v>
      </c>
      <c r="CW242" s="530">
        <v>7107</v>
      </c>
      <c r="CX242" s="530">
        <v>5035</v>
      </c>
      <c r="CY242" s="530">
        <v>3489</v>
      </c>
      <c r="CZ242" s="530">
        <v>2348</v>
      </c>
      <c r="DA242" s="530">
        <v>4610</v>
      </c>
      <c r="DB242" s="162">
        <f t="shared" si="75"/>
        <v>15404990</v>
      </c>
      <c r="DC242" s="163">
        <f t="shared" si="76"/>
        <v>15.40499</v>
      </c>
      <c r="DD242" s="165">
        <f t="shared" si="78"/>
        <v>9.4540131311016806E-3</v>
      </c>
    </row>
    <row r="243" spans="1:108" x14ac:dyDescent="0.2">
      <c r="A243" s="159"/>
      <c r="B243" s="159"/>
      <c r="C243" s="159"/>
      <c r="D243" s="160">
        <f t="shared" si="77"/>
        <v>2037</v>
      </c>
      <c r="E243" s="530">
        <v>169144</v>
      </c>
      <c r="F243" s="530">
        <v>168023</v>
      </c>
      <c r="G243" s="530">
        <v>167752</v>
      </c>
      <c r="H243" s="530">
        <v>167897</v>
      </c>
      <c r="I243" s="530">
        <v>168450</v>
      </c>
      <c r="J243" s="530">
        <v>169290</v>
      </c>
      <c r="K243" s="530">
        <v>170079</v>
      </c>
      <c r="L243" s="530">
        <v>170764</v>
      </c>
      <c r="M243" s="530">
        <v>171465</v>
      </c>
      <c r="N243" s="530">
        <v>172171</v>
      </c>
      <c r="O243" s="530">
        <v>173090</v>
      </c>
      <c r="P243" s="530">
        <v>174171</v>
      </c>
      <c r="Q243" s="530">
        <v>175065</v>
      </c>
      <c r="R243" s="530">
        <v>175762</v>
      </c>
      <c r="S243" s="530">
        <v>175995</v>
      </c>
      <c r="T243" s="530">
        <v>180954</v>
      </c>
      <c r="U243" s="530">
        <v>178579</v>
      </c>
      <c r="V243" s="530">
        <v>178407</v>
      </c>
      <c r="W243" s="530">
        <v>186086</v>
      </c>
      <c r="X243" s="530">
        <v>192369</v>
      </c>
      <c r="Y243" s="530">
        <v>199362</v>
      </c>
      <c r="Z243" s="530">
        <v>205699</v>
      </c>
      <c r="AA243" s="530">
        <v>207965</v>
      </c>
      <c r="AB243" s="530">
        <v>213981</v>
      </c>
      <c r="AC243" s="530">
        <v>219110</v>
      </c>
      <c r="AD243" s="530">
        <v>219669</v>
      </c>
      <c r="AE243" s="530">
        <v>219667</v>
      </c>
      <c r="AF243" s="530">
        <v>222588</v>
      </c>
      <c r="AG243" s="530">
        <v>223150</v>
      </c>
      <c r="AH243" s="530">
        <v>224883</v>
      </c>
      <c r="AI243" s="530">
        <v>225366</v>
      </c>
      <c r="AJ243" s="530">
        <v>220091</v>
      </c>
      <c r="AK243" s="530">
        <v>216169</v>
      </c>
      <c r="AL243" s="530">
        <v>211903</v>
      </c>
      <c r="AM243" s="530">
        <v>206094</v>
      </c>
      <c r="AN243" s="530">
        <v>204677</v>
      </c>
      <c r="AO243" s="530">
        <v>210900</v>
      </c>
      <c r="AP243" s="530">
        <v>211212</v>
      </c>
      <c r="AQ243" s="530">
        <v>204812</v>
      </c>
      <c r="AR243" s="530">
        <v>202465</v>
      </c>
      <c r="AS243" s="530">
        <v>205178</v>
      </c>
      <c r="AT243" s="530">
        <v>209092</v>
      </c>
      <c r="AU243" s="530">
        <v>212980</v>
      </c>
      <c r="AV243" s="530">
        <v>210902</v>
      </c>
      <c r="AW243" s="530">
        <v>209074</v>
      </c>
      <c r="AX243" s="530">
        <v>207719</v>
      </c>
      <c r="AY243" s="530">
        <v>210190</v>
      </c>
      <c r="AZ243" s="530">
        <v>209365</v>
      </c>
      <c r="BA243" s="530">
        <v>205223</v>
      </c>
      <c r="BB243" s="530">
        <v>201558</v>
      </c>
      <c r="BC243" s="530">
        <v>200338</v>
      </c>
      <c r="BD243" s="530">
        <v>200130</v>
      </c>
      <c r="BE243" s="530">
        <v>197185</v>
      </c>
      <c r="BF243" s="530">
        <v>194340</v>
      </c>
      <c r="BG243" s="530">
        <v>192597</v>
      </c>
      <c r="BH243" s="530">
        <v>185299</v>
      </c>
      <c r="BI243" s="530">
        <v>178653</v>
      </c>
      <c r="BJ243" s="530">
        <v>168705</v>
      </c>
      <c r="BK243" s="530">
        <v>163860</v>
      </c>
      <c r="BL243" s="530">
        <v>158996</v>
      </c>
      <c r="BM243" s="530">
        <v>157708</v>
      </c>
      <c r="BN243" s="530">
        <v>158720</v>
      </c>
      <c r="BO243" s="530">
        <v>159352</v>
      </c>
      <c r="BP243" s="530">
        <v>161283</v>
      </c>
      <c r="BQ243" s="530">
        <v>164107</v>
      </c>
      <c r="BR243" s="530">
        <v>168487</v>
      </c>
      <c r="BS243" s="530">
        <v>168868</v>
      </c>
      <c r="BT243" s="530">
        <v>158212</v>
      </c>
      <c r="BU243" s="530">
        <v>154861</v>
      </c>
      <c r="BV243" s="530">
        <v>148284</v>
      </c>
      <c r="BW243" s="530">
        <v>144403</v>
      </c>
      <c r="BX243" s="530">
        <v>142476</v>
      </c>
      <c r="BY243" s="530">
        <v>142322</v>
      </c>
      <c r="BZ243" s="530">
        <v>143821</v>
      </c>
      <c r="CA243" s="530">
        <v>142791</v>
      </c>
      <c r="CB243" s="530">
        <v>138975</v>
      </c>
      <c r="CC243" s="530">
        <v>134233</v>
      </c>
      <c r="CD243" s="530">
        <v>125930</v>
      </c>
      <c r="CE243" s="530">
        <v>120075</v>
      </c>
      <c r="CF243" s="530">
        <v>112936</v>
      </c>
      <c r="CG243" s="530">
        <v>106194</v>
      </c>
      <c r="CH243" s="530">
        <v>100150</v>
      </c>
      <c r="CI243" s="530">
        <v>92060</v>
      </c>
      <c r="CJ243" s="530">
        <v>84871</v>
      </c>
      <c r="CK243" s="530">
        <v>79440</v>
      </c>
      <c r="CL243" s="530">
        <v>72274</v>
      </c>
      <c r="CM243" s="530">
        <v>66279</v>
      </c>
      <c r="CN243" s="530">
        <v>59499</v>
      </c>
      <c r="CO243" s="530">
        <v>52254</v>
      </c>
      <c r="CP243" s="530">
        <v>47012</v>
      </c>
      <c r="CQ243" s="530">
        <v>42056</v>
      </c>
      <c r="CR243" s="530">
        <v>30174</v>
      </c>
      <c r="CS243" s="530">
        <v>24064</v>
      </c>
      <c r="CT243" s="530">
        <v>18755</v>
      </c>
      <c r="CU243" s="530">
        <v>13516</v>
      </c>
      <c r="CV243" s="530">
        <v>10453</v>
      </c>
      <c r="CW243" s="530">
        <v>7385</v>
      </c>
      <c r="CX243" s="530">
        <v>5359</v>
      </c>
      <c r="CY243" s="530">
        <v>3692</v>
      </c>
      <c r="CZ243" s="530">
        <v>2472</v>
      </c>
      <c r="DA243" s="530">
        <v>4934</v>
      </c>
      <c r="DB243" s="162">
        <f t="shared" si="75"/>
        <v>15547397</v>
      </c>
      <c r="DC243" s="163">
        <f t="shared" si="76"/>
        <v>15.547397</v>
      </c>
      <c r="DD243" s="165">
        <f t="shared" si="78"/>
        <v>9.2442124272719677E-3</v>
      </c>
    </row>
    <row r="244" spans="1:108" x14ac:dyDescent="0.2">
      <c r="A244" s="159"/>
      <c r="B244" s="159"/>
      <c r="C244" s="159"/>
      <c r="D244" s="160">
        <f t="shared" si="77"/>
        <v>2038</v>
      </c>
      <c r="E244" s="530">
        <v>170799</v>
      </c>
      <c r="F244" s="530">
        <v>169618</v>
      </c>
      <c r="G244" s="530">
        <v>169247</v>
      </c>
      <c r="H244" s="530">
        <v>169244</v>
      </c>
      <c r="I244" s="530">
        <v>169617</v>
      </c>
      <c r="J244" s="530">
        <v>170272</v>
      </c>
      <c r="K244" s="530">
        <v>170936</v>
      </c>
      <c r="L244" s="530">
        <v>171532</v>
      </c>
      <c r="M244" s="530">
        <v>172150</v>
      </c>
      <c r="N244" s="530">
        <v>172802</v>
      </c>
      <c r="O244" s="530">
        <v>173478</v>
      </c>
      <c r="P244" s="530">
        <v>174365</v>
      </c>
      <c r="Q244" s="530">
        <v>175368</v>
      </c>
      <c r="R244" s="530">
        <v>176213</v>
      </c>
      <c r="S244" s="530">
        <v>176970</v>
      </c>
      <c r="T244" s="530">
        <v>177354</v>
      </c>
      <c r="U244" s="530">
        <v>182446</v>
      </c>
      <c r="V244" s="530">
        <v>180811</v>
      </c>
      <c r="W244" s="530">
        <v>183461</v>
      </c>
      <c r="X244" s="530">
        <v>193171</v>
      </c>
      <c r="Y244" s="530">
        <v>197578</v>
      </c>
      <c r="Z244" s="530">
        <v>202620</v>
      </c>
      <c r="AA244" s="530">
        <v>210132</v>
      </c>
      <c r="AB244" s="530">
        <v>213705</v>
      </c>
      <c r="AC244" s="530">
        <v>218195</v>
      </c>
      <c r="AD244" s="530">
        <v>221143</v>
      </c>
      <c r="AE244" s="530">
        <v>221065</v>
      </c>
      <c r="AF244" s="530">
        <v>221194</v>
      </c>
      <c r="AG244" s="530">
        <v>224291</v>
      </c>
      <c r="AH244" s="530">
        <v>224986</v>
      </c>
      <c r="AI244" s="530">
        <v>226650</v>
      </c>
      <c r="AJ244" s="530">
        <v>226931</v>
      </c>
      <c r="AK244" s="530">
        <v>221582</v>
      </c>
      <c r="AL244" s="530">
        <v>217759</v>
      </c>
      <c r="AM244" s="530">
        <v>213483</v>
      </c>
      <c r="AN244" s="530">
        <v>207548</v>
      </c>
      <c r="AO244" s="530">
        <v>206053</v>
      </c>
      <c r="AP244" s="530">
        <v>212177</v>
      </c>
      <c r="AQ244" s="530">
        <v>212334</v>
      </c>
      <c r="AR244" s="530">
        <v>205843</v>
      </c>
      <c r="AS244" s="530">
        <v>203442</v>
      </c>
      <c r="AT244" s="530">
        <v>205997</v>
      </c>
      <c r="AU244" s="530">
        <v>209733</v>
      </c>
      <c r="AV244" s="530">
        <v>213468</v>
      </c>
      <c r="AW244" s="530">
        <v>211275</v>
      </c>
      <c r="AX244" s="530">
        <v>209380</v>
      </c>
      <c r="AY244" s="530">
        <v>207967</v>
      </c>
      <c r="AZ244" s="530">
        <v>210343</v>
      </c>
      <c r="BA244" s="530">
        <v>209425</v>
      </c>
      <c r="BB244" s="530">
        <v>205201</v>
      </c>
      <c r="BC244" s="530">
        <v>201466</v>
      </c>
      <c r="BD244" s="530">
        <v>200220</v>
      </c>
      <c r="BE244" s="530">
        <v>199951</v>
      </c>
      <c r="BF244" s="530">
        <v>196946</v>
      </c>
      <c r="BG244" s="530">
        <v>194101</v>
      </c>
      <c r="BH244" s="530">
        <v>192382</v>
      </c>
      <c r="BI244" s="530">
        <v>185114</v>
      </c>
      <c r="BJ244" s="530">
        <v>178424</v>
      </c>
      <c r="BK244" s="530">
        <v>168458</v>
      </c>
      <c r="BL244" s="530">
        <v>163662</v>
      </c>
      <c r="BM244" s="530">
        <v>158857</v>
      </c>
      <c r="BN244" s="530">
        <v>157604</v>
      </c>
      <c r="BO244" s="530">
        <v>158621</v>
      </c>
      <c r="BP244" s="530">
        <v>159188</v>
      </c>
      <c r="BQ244" s="530">
        <v>161000</v>
      </c>
      <c r="BR244" s="530">
        <v>163664</v>
      </c>
      <c r="BS244" s="530">
        <v>167839</v>
      </c>
      <c r="BT244" s="530">
        <v>168001</v>
      </c>
      <c r="BU244" s="530">
        <v>157204</v>
      </c>
      <c r="BV244" s="530">
        <v>153711</v>
      </c>
      <c r="BW244" s="530">
        <v>147040</v>
      </c>
      <c r="BX244" s="530">
        <v>143007</v>
      </c>
      <c r="BY244" s="530">
        <v>140892</v>
      </c>
      <c r="BZ244" s="530">
        <v>140444</v>
      </c>
      <c r="CA244" s="530">
        <v>141539</v>
      </c>
      <c r="CB244" s="530">
        <v>140240</v>
      </c>
      <c r="CC244" s="530">
        <v>136240</v>
      </c>
      <c r="CD244" s="530">
        <v>131199</v>
      </c>
      <c r="CE244" s="530">
        <v>122653</v>
      </c>
      <c r="CF244" s="530">
        <v>116524</v>
      </c>
      <c r="CG244" s="530">
        <v>109124</v>
      </c>
      <c r="CH244" s="530">
        <v>102080</v>
      </c>
      <c r="CI244" s="530">
        <v>95744</v>
      </c>
      <c r="CJ244" s="530">
        <v>87495</v>
      </c>
      <c r="CK244" s="530">
        <v>80085</v>
      </c>
      <c r="CL244" s="530">
        <v>74355</v>
      </c>
      <c r="CM244" s="530">
        <v>67013</v>
      </c>
      <c r="CN244" s="530">
        <v>60646</v>
      </c>
      <c r="CO244" s="530">
        <v>53727</v>
      </c>
      <c r="CP244" s="530">
        <v>46557</v>
      </c>
      <c r="CQ244" s="530">
        <v>41119</v>
      </c>
      <c r="CR244" s="530">
        <v>36070</v>
      </c>
      <c r="CS244" s="530">
        <v>25455</v>
      </c>
      <c r="CT244" s="530">
        <v>19923</v>
      </c>
      <c r="CU244" s="530">
        <v>15114</v>
      </c>
      <c r="CV244" s="530">
        <v>10607</v>
      </c>
      <c r="CW244" s="530">
        <v>8043</v>
      </c>
      <c r="CX244" s="530">
        <v>5572</v>
      </c>
      <c r="CY244" s="530">
        <v>3932</v>
      </c>
      <c r="CZ244" s="530">
        <v>2618</v>
      </c>
      <c r="DA244" s="530">
        <v>5257</v>
      </c>
      <c r="DB244" s="162">
        <f t="shared" si="75"/>
        <v>15688081</v>
      </c>
      <c r="DC244" s="163">
        <f t="shared" si="76"/>
        <v>15.688081</v>
      </c>
      <c r="DD244" s="165">
        <f t="shared" si="78"/>
        <v>9.0487172868873329E-3</v>
      </c>
    </row>
    <row r="245" spans="1:108" x14ac:dyDescent="0.2">
      <c r="A245" s="159"/>
      <c r="B245" s="159"/>
      <c r="C245" s="159"/>
      <c r="D245" s="160">
        <f t="shared" si="77"/>
        <v>2039</v>
      </c>
      <c r="E245" s="530">
        <v>172461</v>
      </c>
      <c r="F245" s="530">
        <v>171273</v>
      </c>
      <c r="G245" s="530">
        <v>170841</v>
      </c>
      <c r="H245" s="530">
        <v>170739</v>
      </c>
      <c r="I245" s="530">
        <v>170963</v>
      </c>
      <c r="J245" s="530">
        <v>171439</v>
      </c>
      <c r="K245" s="530">
        <v>171919</v>
      </c>
      <c r="L245" s="530">
        <v>172389</v>
      </c>
      <c r="M245" s="530">
        <v>172918</v>
      </c>
      <c r="N245" s="530">
        <v>173487</v>
      </c>
      <c r="O245" s="530">
        <v>174109</v>
      </c>
      <c r="P245" s="530">
        <v>174753</v>
      </c>
      <c r="Q245" s="530">
        <v>175562</v>
      </c>
      <c r="R245" s="530">
        <v>176516</v>
      </c>
      <c r="S245" s="530">
        <v>177421</v>
      </c>
      <c r="T245" s="530">
        <v>178329</v>
      </c>
      <c r="U245" s="530">
        <v>178847</v>
      </c>
      <c r="V245" s="530">
        <v>184677</v>
      </c>
      <c r="W245" s="530">
        <v>185866</v>
      </c>
      <c r="X245" s="530">
        <v>190548</v>
      </c>
      <c r="Y245" s="530">
        <v>198382</v>
      </c>
      <c r="Z245" s="530">
        <v>200839</v>
      </c>
      <c r="AA245" s="530">
        <v>207054</v>
      </c>
      <c r="AB245" s="530">
        <v>215871</v>
      </c>
      <c r="AC245" s="530">
        <v>217919</v>
      </c>
      <c r="AD245" s="530">
        <v>220229</v>
      </c>
      <c r="AE245" s="530">
        <v>222539</v>
      </c>
      <c r="AF245" s="530">
        <v>222588</v>
      </c>
      <c r="AG245" s="530">
        <v>222900</v>
      </c>
      <c r="AH245" s="530">
        <v>226128</v>
      </c>
      <c r="AI245" s="530">
        <v>226753</v>
      </c>
      <c r="AJ245" s="530">
        <v>228214</v>
      </c>
      <c r="AK245" s="530">
        <v>228417</v>
      </c>
      <c r="AL245" s="530">
        <v>223168</v>
      </c>
      <c r="AM245" s="530">
        <v>219335</v>
      </c>
      <c r="AN245" s="530">
        <v>214929</v>
      </c>
      <c r="AO245" s="530">
        <v>208924</v>
      </c>
      <c r="AP245" s="530">
        <v>207335</v>
      </c>
      <c r="AQ245" s="530">
        <v>213298</v>
      </c>
      <c r="AR245" s="530">
        <v>213361</v>
      </c>
      <c r="AS245" s="530">
        <v>206817</v>
      </c>
      <c r="AT245" s="530">
        <v>204265</v>
      </c>
      <c r="AU245" s="530">
        <v>206642</v>
      </c>
      <c r="AV245" s="530">
        <v>210226</v>
      </c>
      <c r="AW245" s="530">
        <v>213837</v>
      </c>
      <c r="AX245" s="530">
        <v>211578</v>
      </c>
      <c r="AY245" s="530">
        <v>209625</v>
      </c>
      <c r="AZ245" s="530">
        <v>208126</v>
      </c>
      <c r="BA245" s="530">
        <v>210403</v>
      </c>
      <c r="BB245" s="530">
        <v>209393</v>
      </c>
      <c r="BC245" s="530">
        <v>205102</v>
      </c>
      <c r="BD245" s="530">
        <v>201345</v>
      </c>
      <c r="BE245" s="530">
        <v>200043</v>
      </c>
      <c r="BF245" s="530">
        <v>199708</v>
      </c>
      <c r="BG245" s="530">
        <v>196698</v>
      </c>
      <c r="BH245" s="530">
        <v>193885</v>
      </c>
      <c r="BI245" s="530">
        <v>192174</v>
      </c>
      <c r="BJ245" s="530">
        <v>184859</v>
      </c>
      <c r="BK245" s="530">
        <v>178134</v>
      </c>
      <c r="BL245" s="530">
        <v>168240</v>
      </c>
      <c r="BM245" s="530">
        <v>163501</v>
      </c>
      <c r="BN245" s="530">
        <v>158746</v>
      </c>
      <c r="BO245" s="530">
        <v>157515</v>
      </c>
      <c r="BP245" s="530">
        <v>158466</v>
      </c>
      <c r="BQ245" s="530">
        <v>158925</v>
      </c>
      <c r="BR245" s="530">
        <v>160585</v>
      </c>
      <c r="BS245" s="530">
        <v>163059</v>
      </c>
      <c r="BT245" s="530">
        <v>166985</v>
      </c>
      <c r="BU245" s="530">
        <v>166897</v>
      </c>
      <c r="BV245" s="530">
        <v>156034</v>
      </c>
      <c r="BW245" s="530">
        <v>152411</v>
      </c>
      <c r="BX245" s="530">
        <v>145615</v>
      </c>
      <c r="BY245" s="530">
        <v>141422</v>
      </c>
      <c r="BZ245" s="530">
        <v>139048</v>
      </c>
      <c r="CA245" s="530">
        <v>138234</v>
      </c>
      <c r="CB245" s="530">
        <v>139024</v>
      </c>
      <c r="CC245" s="530">
        <v>137491</v>
      </c>
      <c r="CD245" s="530">
        <v>133172</v>
      </c>
      <c r="CE245" s="530">
        <v>127794</v>
      </c>
      <c r="CF245" s="530">
        <v>119039</v>
      </c>
      <c r="CG245" s="530">
        <v>112604</v>
      </c>
      <c r="CH245" s="530">
        <v>104914</v>
      </c>
      <c r="CI245" s="530">
        <v>97606</v>
      </c>
      <c r="CJ245" s="530">
        <v>91014</v>
      </c>
      <c r="CK245" s="530">
        <v>82581</v>
      </c>
      <c r="CL245" s="530">
        <v>74978</v>
      </c>
      <c r="CM245" s="530">
        <v>68961</v>
      </c>
      <c r="CN245" s="530">
        <v>61339</v>
      </c>
      <c r="CO245" s="530">
        <v>54781</v>
      </c>
      <c r="CP245" s="530">
        <v>47888</v>
      </c>
      <c r="CQ245" s="530">
        <v>40740</v>
      </c>
      <c r="CR245" s="530">
        <v>35287</v>
      </c>
      <c r="CS245" s="530">
        <v>30447</v>
      </c>
      <c r="CT245" s="530">
        <v>21088</v>
      </c>
      <c r="CU245" s="530">
        <v>16067</v>
      </c>
      <c r="CV245" s="530">
        <v>11870</v>
      </c>
      <c r="CW245" s="530">
        <v>8167</v>
      </c>
      <c r="CX245" s="530">
        <v>6072</v>
      </c>
      <c r="CY245" s="530">
        <v>4091</v>
      </c>
      <c r="CZ245" s="530">
        <v>2790</v>
      </c>
      <c r="DA245" s="530">
        <v>5595</v>
      </c>
      <c r="DB245" s="162">
        <f>SUM(E245:DA245)</f>
        <v>15827183</v>
      </c>
      <c r="DC245" s="163">
        <f>DB245/1000000</f>
        <v>15.827183</v>
      </c>
      <c r="DD245" s="165">
        <f>(DC245-DC244)/DC244</f>
        <v>8.8667313739646935E-3</v>
      </c>
    </row>
    <row r="246" spans="1:108" x14ac:dyDescent="0.2">
      <c r="A246" s="159"/>
      <c r="B246" s="159"/>
      <c r="C246" s="159"/>
      <c r="D246" s="160">
        <f t="shared" si="77"/>
        <v>2040</v>
      </c>
      <c r="E246" s="530">
        <v>174061</v>
      </c>
      <c r="F246" s="530">
        <v>172934</v>
      </c>
      <c r="G246" s="530">
        <v>172496</v>
      </c>
      <c r="H246" s="530">
        <v>172333</v>
      </c>
      <c r="I246" s="530">
        <v>172458</v>
      </c>
      <c r="J246" s="530">
        <v>172785</v>
      </c>
      <c r="K246" s="530">
        <v>173086</v>
      </c>
      <c r="L246" s="530">
        <v>173372</v>
      </c>
      <c r="M246" s="530">
        <v>173775</v>
      </c>
      <c r="N246" s="530">
        <v>174257</v>
      </c>
      <c r="O246" s="530">
        <v>174794</v>
      </c>
      <c r="P246" s="530">
        <v>175384</v>
      </c>
      <c r="Q246" s="530">
        <v>175950</v>
      </c>
      <c r="R246" s="530">
        <v>176710</v>
      </c>
      <c r="S246" s="530">
        <v>177724</v>
      </c>
      <c r="T246" s="530">
        <v>178779</v>
      </c>
      <c r="U246" s="530">
        <v>179822</v>
      </c>
      <c r="V246" s="530">
        <v>181079</v>
      </c>
      <c r="W246" s="530">
        <v>189730</v>
      </c>
      <c r="X246" s="530">
        <v>192952</v>
      </c>
      <c r="Y246" s="530">
        <v>195760</v>
      </c>
      <c r="Z246" s="530">
        <v>201642</v>
      </c>
      <c r="AA246" s="530">
        <v>205274</v>
      </c>
      <c r="AB246" s="530">
        <v>212794</v>
      </c>
      <c r="AC246" s="530">
        <v>220084</v>
      </c>
      <c r="AD246" s="530">
        <v>219953</v>
      </c>
      <c r="AE246" s="530">
        <v>221625</v>
      </c>
      <c r="AF246" s="530">
        <v>224068</v>
      </c>
      <c r="AG246" s="530">
        <v>224293</v>
      </c>
      <c r="AH246" s="530">
        <v>224738</v>
      </c>
      <c r="AI246" s="530">
        <v>227897</v>
      </c>
      <c r="AJ246" s="530">
        <v>228317</v>
      </c>
      <c r="AK246" s="530">
        <v>229704</v>
      </c>
      <c r="AL246" s="530">
        <v>229998</v>
      </c>
      <c r="AM246" s="530">
        <v>224739</v>
      </c>
      <c r="AN246" s="530">
        <v>220779</v>
      </c>
      <c r="AO246" s="530">
        <v>216299</v>
      </c>
      <c r="AP246" s="530">
        <v>210203</v>
      </c>
      <c r="AQ246" s="530">
        <v>208461</v>
      </c>
      <c r="AR246" s="530">
        <v>214324</v>
      </c>
      <c r="AS246" s="530">
        <v>214328</v>
      </c>
      <c r="AT246" s="530">
        <v>207636</v>
      </c>
      <c r="AU246" s="530">
        <v>204912</v>
      </c>
      <c r="AV246" s="530">
        <v>207139</v>
      </c>
      <c r="AW246" s="530">
        <v>210605</v>
      </c>
      <c r="AX246" s="530">
        <v>214135</v>
      </c>
      <c r="AY246" s="530">
        <v>211822</v>
      </c>
      <c r="AZ246" s="530">
        <v>209781</v>
      </c>
      <c r="BA246" s="530">
        <v>208190</v>
      </c>
      <c r="BB246" s="530">
        <v>210371</v>
      </c>
      <c r="BC246" s="530">
        <v>209286</v>
      </c>
      <c r="BD246" s="530">
        <v>204974</v>
      </c>
      <c r="BE246" s="530">
        <v>201167</v>
      </c>
      <c r="BF246" s="530">
        <v>199799</v>
      </c>
      <c r="BG246" s="530">
        <v>199453</v>
      </c>
      <c r="BH246" s="530">
        <v>196475</v>
      </c>
      <c r="BI246" s="530">
        <v>193671</v>
      </c>
      <c r="BJ246" s="530">
        <v>191893</v>
      </c>
      <c r="BK246" s="530">
        <v>184541</v>
      </c>
      <c r="BL246" s="530">
        <v>177870</v>
      </c>
      <c r="BM246" s="530">
        <v>168056</v>
      </c>
      <c r="BN246" s="530">
        <v>163368</v>
      </c>
      <c r="BO246" s="530">
        <v>158653</v>
      </c>
      <c r="BP246" s="530">
        <v>157371</v>
      </c>
      <c r="BQ246" s="530">
        <v>158212</v>
      </c>
      <c r="BR246" s="530">
        <v>158531</v>
      </c>
      <c r="BS246" s="530">
        <v>160014</v>
      </c>
      <c r="BT246" s="530">
        <v>162253</v>
      </c>
      <c r="BU246" s="530">
        <v>165898</v>
      </c>
      <c r="BV246" s="530">
        <v>165623</v>
      </c>
      <c r="BW246" s="530">
        <v>154712</v>
      </c>
      <c r="BX246" s="530">
        <v>150926</v>
      </c>
      <c r="BY246" s="530">
        <v>144001</v>
      </c>
      <c r="BZ246" s="530">
        <v>139578</v>
      </c>
      <c r="CA246" s="530">
        <v>136874</v>
      </c>
      <c r="CB246" s="530">
        <v>135795</v>
      </c>
      <c r="CC246" s="530">
        <v>136312</v>
      </c>
      <c r="CD246" s="530">
        <v>134407</v>
      </c>
      <c r="CE246" s="530">
        <v>129728</v>
      </c>
      <c r="CF246" s="530">
        <v>124039</v>
      </c>
      <c r="CG246" s="530">
        <v>115049</v>
      </c>
      <c r="CH246" s="530">
        <v>108275</v>
      </c>
      <c r="CI246" s="530">
        <v>100335</v>
      </c>
      <c r="CJ246" s="530">
        <v>92802</v>
      </c>
      <c r="CK246" s="530">
        <v>85921</v>
      </c>
      <c r="CL246" s="530">
        <v>77333</v>
      </c>
      <c r="CM246" s="530">
        <v>69560</v>
      </c>
      <c r="CN246" s="530">
        <v>63141</v>
      </c>
      <c r="CO246" s="530">
        <v>55427</v>
      </c>
      <c r="CP246" s="530">
        <v>48847</v>
      </c>
      <c r="CQ246" s="530">
        <v>41925</v>
      </c>
      <c r="CR246" s="530">
        <v>34980</v>
      </c>
      <c r="CS246" s="530">
        <v>29805</v>
      </c>
      <c r="CT246" s="530">
        <v>25239</v>
      </c>
      <c r="CU246" s="530">
        <v>17018</v>
      </c>
      <c r="CV246" s="530">
        <v>12626</v>
      </c>
      <c r="CW246" s="530">
        <v>9145</v>
      </c>
      <c r="CX246" s="530">
        <v>6170</v>
      </c>
      <c r="CY246" s="530">
        <v>4462</v>
      </c>
      <c r="CZ246" s="530">
        <v>2905</v>
      </c>
      <c r="DA246" s="530">
        <v>5962</v>
      </c>
      <c r="DB246" s="162">
        <f>SUM(E246:DA246)</f>
        <v>15964759</v>
      </c>
      <c r="DC246" s="163">
        <f>DB246/1000000</f>
        <v>15.964759000000001</v>
      </c>
      <c r="DD246" s="165">
        <f>(DC246-DC245)/DC245</f>
        <v>8.6923870154278892E-3</v>
      </c>
    </row>
    <row r="247" spans="1:108" x14ac:dyDescent="0.2">
      <c r="A247" s="159"/>
      <c r="B247" s="159"/>
      <c r="C247" s="159"/>
      <c r="D247" s="166"/>
      <c r="E247" s="167"/>
      <c r="F247" s="167"/>
      <c r="G247" s="167"/>
      <c r="H247" s="167"/>
      <c r="I247" s="167"/>
      <c r="J247" s="167"/>
      <c r="K247" s="167"/>
      <c r="L247" s="167"/>
      <c r="M247" s="167"/>
      <c r="N247" s="167"/>
      <c r="O247" s="167"/>
      <c r="P247" s="167"/>
      <c r="Q247" s="167"/>
      <c r="R247" s="167"/>
      <c r="S247" s="167"/>
      <c r="T247" s="167"/>
      <c r="U247" s="167"/>
      <c r="V247" s="167"/>
      <c r="W247" s="167"/>
      <c r="X247" s="167"/>
      <c r="Y247" s="167"/>
      <c r="Z247" s="167"/>
      <c r="AA247" s="167"/>
      <c r="AB247" s="167"/>
      <c r="AC247" s="167"/>
      <c r="AD247" s="167"/>
      <c r="AE247" s="167"/>
      <c r="AF247" s="167"/>
      <c r="AG247" s="167"/>
      <c r="AH247" s="167"/>
      <c r="AI247" s="167"/>
      <c r="AJ247" s="167"/>
      <c r="AK247" s="167"/>
      <c r="AL247" s="167"/>
      <c r="AM247" s="167"/>
      <c r="AN247" s="167"/>
      <c r="AO247" s="167"/>
      <c r="AP247" s="167"/>
      <c r="AQ247" s="167"/>
      <c r="AR247" s="167"/>
      <c r="AS247" s="167"/>
      <c r="AT247" s="167"/>
      <c r="AU247" s="167"/>
      <c r="AV247" s="167"/>
      <c r="AW247" s="167"/>
      <c r="AX247" s="167"/>
      <c r="AY247" s="167"/>
      <c r="AZ247" s="167"/>
      <c r="BA247" s="167"/>
      <c r="BB247" s="167"/>
      <c r="BC247" s="167"/>
      <c r="BD247" s="167"/>
      <c r="BE247" s="167"/>
      <c r="BF247" s="167"/>
      <c r="BG247" s="167"/>
      <c r="BH247" s="167"/>
      <c r="BI247" s="167"/>
      <c r="BJ247" s="167"/>
      <c r="BK247" s="167"/>
      <c r="BL247" s="167"/>
      <c r="BM247" s="167"/>
      <c r="BN247" s="167"/>
      <c r="BO247" s="167"/>
      <c r="BP247" s="167"/>
      <c r="BQ247" s="167"/>
      <c r="BR247" s="167"/>
      <c r="BS247" s="167"/>
      <c r="BT247" s="167"/>
      <c r="BU247" s="167"/>
      <c r="BV247" s="167"/>
      <c r="BW247" s="167"/>
      <c r="BX247" s="167"/>
      <c r="BY247" s="167"/>
      <c r="BZ247" s="167"/>
      <c r="CA247" s="167"/>
      <c r="CB247" s="167"/>
      <c r="CC247" s="167"/>
      <c r="CD247" s="167"/>
      <c r="CE247" s="167"/>
      <c r="CF247" s="167"/>
      <c r="CG247" s="167"/>
      <c r="CH247" s="167"/>
      <c r="CI247" s="167"/>
      <c r="CJ247" s="167"/>
      <c r="CK247" s="167"/>
      <c r="CL247" s="167"/>
      <c r="CM247" s="168"/>
      <c r="CN247" s="168"/>
      <c r="CO247" s="168"/>
      <c r="CP247" s="168"/>
      <c r="CQ247" s="168"/>
      <c r="CR247" s="168"/>
      <c r="CS247" s="168"/>
      <c r="CT247" s="168"/>
      <c r="CU247" s="168"/>
      <c r="CV247" s="168"/>
      <c r="CW247" s="168"/>
      <c r="CX247" s="168"/>
      <c r="CY247" s="168"/>
      <c r="CZ247" s="168"/>
      <c r="DA247" s="168"/>
      <c r="DB247" s="169"/>
      <c r="DC247" s="170"/>
      <c r="DD247" s="159"/>
    </row>
    <row r="248" spans="1:108" x14ac:dyDescent="0.2">
      <c r="A248" s="159"/>
      <c r="B248" s="159"/>
      <c r="C248" s="159"/>
      <c r="D248" s="166"/>
      <c r="E248" s="167"/>
      <c r="F248" s="167"/>
      <c r="G248" s="167"/>
      <c r="H248" s="167"/>
      <c r="I248" s="167"/>
      <c r="J248" s="167"/>
      <c r="K248" s="167"/>
      <c r="L248" s="167"/>
      <c r="M248" s="167"/>
      <c r="N248" s="167"/>
      <c r="O248" s="167"/>
      <c r="P248" s="167"/>
      <c r="Q248" s="167"/>
      <c r="R248" s="167"/>
      <c r="S248" s="167"/>
      <c r="T248" s="167"/>
      <c r="U248" s="167"/>
      <c r="V248" s="167"/>
      <c r="W248" s="167"/>
      <c r="X248" s="167"/>
      <c r="Y248" s="167"/>
      <c r="Z248" s="167"/>
      <c r="AA248" s="167"/>
      <c r="AB248" s="167"/>
      <c r="AC248" s="167"/>
      <c r="AD248" s="167"/>
      <c r="AE248" s="167"/>
      <c r="AF248" s="167"/>
      <c r="AG248" s="167"/>
      <c r="AH248" s="167"/>
      <c r="AI248" s="167"/>
      <c r="AJ248" s="167"/>
      <c r="AK248" s="167"/>
      <c r="AL248" s="167"/>
      <c r="AM248" s="167"/>
      <c r="AN248" s="167"/>
      <c r="AO248" s="167"/>
      <c r="AP248" s="167"/>
      <c r="AQ248" s="167"/>
      <c r="AR248" s="167"/>
      <c r="AS248" s="167"/>
      <c r="AT248" s="167"/>
      <c r="AU248" s="167"/>
      <c r="AV248" s="167"/>
      <c r="AW248" s="167"/>
      <c r="AX248" s="167"/>
      <c r="AY248" s="167"/>
      <c r="AZ248" s="167"/>
      <c r="BA248" s="167"/>
      <c r="BB248" s="167"/>
      <c r="BC248" s="167"/>
      <c r="BD248" s="167"/>
      <c r="BE248" s="167"/>
      <c r="BF248" s="167"/>
      <c r="BG248" s="167"/>
      <c r="BH248" s="167"/>
      <c r="BI248" s="167"/>
      <c r="BJ248" s="167"/>
      <c r="BK248" s="167"/>
      <c r="BL248" s="167"/>
      <c r="BM248" s="167"/>
      <c r="BN248" s="167"/>
      <c r="BO248" s="167"/>
      <c r="BP248" s="167"/>
      <c r="BQ248" s="167"/>
      <c r="BR248" s="167"/>
      <c r="BS248" s="167"/>
      <c r="BT248" s="167"/>
      <c r="BU248" s="167"/>
      <c r="BV248" s="167"/>
      <c r="BW248" s="167"/>
      <c r="BX248" s="167"/>
      <c r="BY248" s="167"/>
      <c r="BZ248" s="167"/>
      <c r="CA248" s="167"/>
      <c r="CB248" s="167"/>
      <c r="CC248" s="167"/>
      <c r="CD248" s="167"/>
      <c r="CE248" s="167"/>
      <c r="CF248" s="167"/>
      <c r="CG248" s="167"/>
      <c r="CH248" s="167"/>
      <c r="CI248" s="167"/>
      <c r="CJ248" s="167"/>
      <c r="CK248" s="167"/>
      <c r="CL248" s="167"/>
      <c r="CM248" s="168"/>
      <c r="CN248" s="168"/>
      <c r="CO248" s="168"/>
      <c r="CP248" s="168"/>
      <c r="CQ248" s="168"/>
      <c r="CR248" s="168"/>
      <c r="CS248" s="168"/>
      <c r="CT248" s="168"/>
      <c r="CU248" s="168"/>
      <c r="CV248" s="168"/>
      <c r="CW248" s="168"/>
      <c r="CX248" s="168"/>
      <c r="CY248" s="168"/>
      <c r="CZ248" s="168"/>
      <c r="DA248" s="168"/>
      <c r="DB248" s="169"/>
      <c r="DC248" s="170"/>
      <c r="DD248" s="159"/>
    </row>
    <row r="249" spans="1:108" ht="15.75" x14ac:dyDescent="0.2">
      <c r="D249" s="111" t="s">
        <v>869</v>
      </c>
      <c r="E249" s="113"/>
      <c r="F249" s="113"/>
      <c r="G249" s="113"/>
      <c r="H249" s="113"/>
      <c r="I249" s="113"/>
      <c r="J249" s="113"/>
      <c r="K249" s="113"/>
      <c r="L249" s="113"/>
      <c r="M249" s="113"/>
      <c r="N249" s="113"/>
      <c r="O249" s="113"/>
      <c r="P249" s="113"/>
      <c r="Q249" s="113"/>
      <c r="R249" s="113"/>
      <c r="S249" s="113"/>
      <c r="T249" s="113"/>
      <c r="U249" s="113"/>
      <c r="V249" s="113"/>
      <c r="W249" s="113"/>
      <c r="X249" s="113"/>
      <c r="Y249" s="113"/>
      <c r="Z249" s="113"/>
      <c r="AA249" s="113"/>
      <c r="AB249" s="113"/>
      <c r="AC249" s="113"/>
      <c r="AD249" s="113"/>
      <c r="AE249" s="113"/>
      <c r="AF249" s="113"/>
      <c r="AG249" s="113"/>
      <c r="AH249" s="113"/>
      <c r="AI249" s="113"/>
      <c r="AJ249" s="113"/>
      <c r="AK249" s="113"/>
      <c r="AL249" s="113"/>
      <c r="AM249" s="113"/>
      <c r="AN249" s="113"/>
      <c r="AO249" s="113"/>
      <c r="AP249" s="113"/>
      <c r="AQ249" s="113"/>
      <c r="AR249" s="113"/>
      <c r="AS249" s="113"/>
      <c r="AT249" s="113"/>
      <c r="AU249" s="113"/>
      <c r="AV249" s="113"/>
      <c r="AW249" s="113"/>
      <c r="AX249" s="113"/>
      <c r="AY249" s="113"/>
      <c r="AZ249" s="113"/>
      <c r="BA249" s="113"/>
      <c r="BB249" s="113"/>
      <c r="BC249" s="113"/>
      <c r="BD249" s="113"/>
      <c r="BE249" s="113"/>
      <c r="BF249" s="113"/>
      <c r="BG249" s="113"/>
      <c r="BH249" s="113"/>
      <c r="BI249" s="113"/>
      <c r="BJ249" s="113"/>
      <c r="BK249" s="113"/>
      <c r="BL249" s="113"/>
      <c r="BM249" s="113"/>
      <c r="BN249" s="113"/>
      <c r="BO249" s="113"/>
      <c r="BP249" s="113"/>
      <c r="BQ249" s="113"/>
      <c r="BR249" s="113"/>
      <c r="BS249" s="113"/>
      <c r="BT249" s="113"/>
      <c r="BU249" s="113"/>
      <c r="BV249" s="113"/>
      <c r="BW249" s="113"/>
      <c r="BX249" s="113"/>
      <c r="BY249" s="113"/>
      <c r="BZ249" s="113"/>
      <c r="CA249" s="113"/>
      <c r="CB249" s="113"/>
      <c r="CC249" s="113"/>
      <c r="CD249" s="113"/>
      <c r="CE249" s="113"/>
      <c r="CF249" s="113"/>
      <c r="CG249" s="113"/>
      <c r="CH249" s="113"/>
      <c r="CI249" s="113"/>
      <c r="CJ249" s="113"/>
      <c r="CK249" s="113"/>
      <c r="CL249" s="113"/>
      <c r="CM249" s="113"/>
      <c r="CN249" s="113"/>
      <c r="CO249" s="113"/>
      <c r="CP249" s="113"/>
      <c r="CQ249" s="113"/>
      <c r="CR249" s="113"/>
      <c r="CS249" s="113"/>
      <c r="CT249" s="113"/>
      <c r="CU249" s="113"/>
      <c r="CV249" s="113"/>
      <c r="CW249" s="113"/>
      <c r="CX249" s="113"/>
      <c r="CY249" s="113"/>
      <c r="CZ249" s="113"/>
      <c r="DA249" s="113"/>
      <c r="DB249" s="113"/>
      <c r="DC249" s="113"/>
      <c r="DD249" s="113"/>
    </row>
    <row r="250" spans="1:108" x14ac:dyDescent="0.2"/>
    <row r="251" spans="1:108" x14ac:dyDescent="0.2">
      <c r="E251" s="157" t="s">
        <v>232</v>
      </c>
    </row>
    <row r="252" spans="1:108" x14ac:dyDescent="0.2">
      <c r="A252" s="158"/>
      <c r="B252" s="158"/>
      <c r="C252" s="158"/>
      <c r="D252" s="158"/>
      <c r="E252" s="32">
        <v>0</v>
      </c>
      <c r="F252" s="32">
        <v>1</v>
      </c>
      <c r="G252" s="32">
        <v>2</v>
      </c>
      <c r="H252" s="32">
        <v>3</v>
      </c>
      <c r="I252" s="32">
        <v>4</v>
      </c>
      <c r="J252" s="32">
        <v>5</v>
      </c>
      <c r="K252" s="32">
        <v>6</v>
      </c>
      <c r="L252" s="32">
        <v>7</v>
      </c>
      <c r="M252" s="32">
        <v>8</v>
      </c>
      <c r="N252" s="32">
        <v>9</v>
      </c>
      <c r="O252" s="32">
        <v>10</v>
      </c>
      <c r="P252" s="32">
        <v>11</v>
      </c>
      <c r="Q252" s="32">
        <v>12</v>
      </c>
      <c r="R252" s="32">
        <v>13</v>
      </c>
      <c r="S252" s="32">
        <v>14</v>
      </c>
      <c r="T252" s="32">
        <v>15</v>
      </c>
      <c r="U252" s="32">
        <v>16</v>
      </c>
      <c r="V252" s="32">
        <v>17</v>
      </c>
      <c r="W252" s="32">
        <v>18</v>
      </c>
      <c r="X252" s="32">
        <v>19</v>
      </c>
      <c r="Y252" s="32">
        <v>20</v>
      </c>
      <c r="Z252" s="32">
        <v>21</v>
      </c>
      <c r="AA252" s="32">
        <v>22</v>
      </c>
      <c r="AB252" s="32">
        <v>23</v>
      </c>
      <c r="AC252" s="32">
        <v>24</v>
      </c>
      <c r="AD252" s="32">
        <v>25</v>
      </c>
      <c r="AE252" s="32">
        <v>26</v>
      </c>
      <c r="AF252" s="32">
        <v>27</v>
      </c>
      <c r="AG252" s="32">
        <v>28</v>
      </c>
      <c r="AH252" s="32">
        <v>29</v>
      </c>
      <c r="AI252" s="32">
        <v>30</v>
      </c>
      <c r="AJ252" s="32">
        <v>31</v>
      </c>
      <c r="AK252" s="32">
        <v>32</v>
      </c>
      <c r="AL252" s="32">
        <v>33</v>
      </c>
      <c r="AM252" s="32">
        <v>34</v>
      </c>
      <c r="AN252" s="32">
        <v>35</v>
      </c>
      <c r="AO252" s="32">
        <v>36</v>
      </c>
      <c r="AP252" s="32">
        <v>37</v>
      </c>
      <c r="AQ252" s="32">
        <v>38</v>
      </c>
      <c r="AR252" s="32">
        <v>39</v>
      </c>
      <c r="AS252" s="32">
        <v>40</v>
      </c>
      <c r="AT252" s="32">
        <v>41</v>
      </c>
      <c r="AU252" s="32">
        <v>42</v>
      </c>
      <c r="AV252" s="32">
        <v>43</v>
      </c>
      <c r="AW252" s="32">
        <v>44</v>
      </c>
      <c r="AX252" s="32">
        <v>45</v>
      </c>
      <c r="AY252" s="32">
        <v>46</v>
      </c>
      <c r="AZ252" s="32">
        <v>47</v>
      </c>
      <c r="BA252" s="32">
        <v>48</v>
      </c>
      <c r="BB252" s="32">
        <v>49</v>
      </c>
      <c r="BC252" s="32">
        <v>50</v>
      </c>
      <c r="BD252" s="32">
        <v>51</v>
      </c>
      <c r="BE252" s="32">
        <v>52</v>
      </c>
      <c r="BF252" s="32">
        <v>53</v>
      </c>
      <c r="BG252" s="32">
        <v>54</v>
      </c>
      <c r="BH252" s="32">
        <v>55</v>
      </c>
      <c r="BI252" s="32">
        <v>56</v>
      </c>
      <c r="BJ252" s="32">
        <v>57</v>
      </c>
      <c r="BK252" s="32">
        <v>58</v>
      </c>
      <c r="BL252" s="32">
        <v>59</v>
      </c>
      <c r="BM252" s="32">
        <v>60</v>
      </c>
      <c r="BN252" s="32">
        <v>61</v>
      </c>
      <c r="BO252" s="32">
        <v>62</v>
      </c>
      <c r="BP252" s="32">
        <v>63</v>
      </c>
      <c r="BQ252" s="32">
        <v>64</v>
      </c>
      <c r="BR252" s="32">
        <v>65</v>
      </c>
      <c r="BS252" s="32">
        <v>66</v>
      </c>
      <c r="BT252" s="32">
        <v>67</v>
      </c>
      <c r="BU252" s="32">
        <v>68</v>
      </c>
      <c r="BV252" s="32">
        <v>69</v>
      </c>
      <c r="BW252" s="32">
        <v>70</v>
      </c>
      <c r="BX252" s="32">
        <v>71</v>
      </c>
      <c r="BY252" s="32">
        <v>72</v>
      </c>
      <c r="BZ252" s="32">
        <v>73</v>
      </c>
      <c r="CA252" s="32">
        <v>74</v>
      </c>
      <c r="CB252" s="32">
        <v>75</v>
      </c>
      <c r="CC252" s="32">
        <v>76</v>
      </c>
      <c r="CD252" s="32">
        <v>77</v>
      </c>
      <c r="CE252" s="32">
        <v>78</v>
      </c>
      <c r="CF252" s="32">
        <v>79</v>
      </c>
      <c r="CG252" s="32">
        <v>80</v>
      </c>
      <c r="CH252" s="32">
        <v>81</v>
      </c>
      <c r="CI252" s="32">
        <v>82</v>
      </c>
      <c r="CJ252" s="32">
        <v>83</v>
      </c>
      <c r="CK252" s="32">
        <v>84</v>
      </c>
      <c r="CL252" s="32">
        <v>85</v>
      </c>
      <c r="CM252" s="32">
        <v>86</v>
      </c>
      <c r="CN252" s="32">
        <v>87</v>
      </c>
      <c r="CO252" s="32">
        <v>88</v>
      </c>
      <c r="CP252" s="32">
        <v>89</v>
      </c>
      <c r="CQ252" s="32">
        <v>90</v>
      </c>
      <c r="CR252" s="32">
        <v>91</v>
      </c>
      <c r="CS252" s="32">
        <v>92</v>
      </c>
      <c r="CT252" s="32">
        <v>93</v>
      </c>
      <c r="CU252" s="32">
        <v>94</v>
      </c>
      <c r="CV252" s="32">
        <v>95</v>
      </c>
      <c r="CW252" s="32">
        <v>96</v>
      </c>
      <c r="CX252" s="32">
        <v>97</v>
      </c>
      <c r="CY252" s="32">
        <v>98</v>
      </c>
      <c r="CZ252" s="32">
        <v>99</v>
      </c>
      <c r="DA252" s="32">
        <v>100</v>
      </c>
      <c r="DB252" s="46" t="s">
        <v>73</v>
      </c>
      <c r="DC252" s="46" t="s">
        <v>290</v>
      </c>
      <c r="DD252" s="46" t="s">
        <v>291</v>
      </c>
    </row>
    <row r="253" spans="1:108" x14ac:dyDescent="0.2">
      <c r="A253" s="159"/>
      <c r="B253" s="159"/>
      <c r="C253" s="159"/>
      <c r="D253" s="160">
        <f>D203</f>
        <v>2022</v>
      </c>
      <c r="E253" s="530">
        <v>150112</v>
      </c>
      <c r="F253" s="530">
        <v>145703</v>
      </c>
      <c r="G253" s="530">
        <v>144276</v>
      </c>
      <c r="H253" s="530">
        <v>146996</v>
      </c>
      <c r="I253" s="530">
        <v>148721</v>
      </c>
      <c r="J253" s="530">
        <v>152304</v>
      </c>
      <c r="K253" s="530">
        <v>157113</v>
      </c>
      <c r="L253" s="530">
        <v>155771</v>
      </c>
      <c r="M253" s="530">
        <v>158003</v>
      </c>
      <c r="N253" s="530">
        <v>159448</v>
      </c>
      <c r="O253" s="530">
        <v>159955</v>
      </c>
      <c r="P253" s="530">
        <v>158776</v>
      </c>
      <c r="Q253" s="530">
        <v>160763</v>
      </c>
      <c r="R253" s="530">
        <v>158560</v>
      </c>
      <c r="S253" s="530">
        <v>158633</v>
      </c>
      <c r="T253" s="530">
        <v>156247</v>
      </c>
      <c r="U253" s="530">
        <v>150512</v>
      </c>
      <c r="V253" s="530">
        <v>144854</v>
      </c>
      <c r="W253" s="530">
        <v>144467</v>
      </c>
      <c r="X253" s="530">
        <v>146991</v>
      </c>
      <c r="Y253" s="530">
        <v>149579</v>
      </c>
      <c r="Z253" s="530">
        <v>154983</v>
      </c>
      <c r="AA253" s="530">
        <v>159651</v>
      </c>
      <c r="AB253" s="530">
        <v>161752</v>
      </c>
      <c r="AC253" s="530">
        <v>165751</v>
      </c>
      <c r="AD253" s="530">
        <v>171057</v>
      </c>
      <c r="AE253" s="530">
        <v>176049</v>
      </c>
      <c r="AF253" s="530">
        <v>182403</v>
      </c>
      <c r="AG253" s="530">
        <v>184846</v>
      </c>
      <c r="AH253" s="530">
        <v>188049</v>
      </c>
      <c r="AI253" s="530">
        <v>191007</v>
      </c>
      <c r="AJ253" s="530">
        <v>195218</v>
      </c>
      <c r="AK253" s="530">
        <v>195670</v>
      </c>
      <c r="AL253" s="530">
        <v>193300</v>
      </c>
      <c r="AM253" s="530">
        <v>192728</v>
      </c>
      <c r="AN253" s="530">
        <v>191748</v>
      </c>
      <c r="AO253" s="530">
        <v>192279</v>
      </c>
      <c r="AP253" s="530">
        <v>191785</v>
      </c>
      <c r="AQ253" s="530">
        <v>189594</v>
      </c>
      <c r="AR253" s="530">
        <v>188708</v>
      </c>
      <c r="AS253" s="530">
        <v>182732</v>
      </c>
      <c r="AT253" s="530">
        <v>178774</v>
      </c>
      <c r="AU253" s="530">
        <v>170910</v>
      </c>
      <c r="AV253" s="530">
        <v>167586</v>
      </c>
      <c r="AW253" s="530">
        <v>163050</v>
      </c>
      <c r="AX253" s="530">
        <v>161632</v>
      </c>
      <c r="AY253" s="530">
        <v>160628</v>
      </c>
      <c r="AZ253" s="530">
        <v>162570</v>
      </c>
      <c r="BA253" s="530">
        <v>165286</v>
      </c>
      <c r="BB253" s="530">
        <v>169226</v>
      </c>
      <c r="BC253" s="530">
        <v>175930</v>
      </c>
      <c r="BD253" s="530">
        <v>177870</v>
      </c>
      <c r="BE253" s="530">
        <v>165598</v>
      </c>
      <c r="BF253" s="530">
        <v>163643</v>
      </c>
      <c r="BG253" s="530">
        <v>156724</v>
      </c>
      <c r="BH253" s="530">
        <v>153206</v>
      </c>
      <c r="BI253" s="530">
        <v>152656</v>
      </c>
      <c r="BJ253" s="530">
        <v>154633</v>
      </c>
      <c r="BK253" s="530">
        <v>158922</v>
      </c>
      <c r="BL253" s="530">
        <v>160775</v>
      </c>
      <c r="BM253" s="530">
        <v>159294</v>
      </c>
      <c r="BN253" s="530">
        <v>158292</v>
      </c>
      <c r="BO253" s="530">
        <v>152951</v>
      </c>
      <c r="BP253" s="530">
        <v>149740</v>
      </c>
      <c r="BQ253" s="530">
        <v>146561</v>
      </c>
      <c r="BR253" s="530">
        <v>142359</v>
      </c>
      <c r="BS253" s="530">
        <v>138710</v>
      </c>
      <c r="BT253" s="530">
        <v>135122</v>
      </c>
      <c r="BU253" s="530">
        <v>130900</v>
      </c>
      <c r="BV253" s="530">
        <v>128490</v>
      </c>
      <c r="BW253" s="530">
        <v>124159</v>
      </c>
      <c r="BX253" s="530">
        <v>122121</v>
      </c>
      <c r="BY253" s="530">
        <v>119320</v>
      </c>
      <c r="BZ253" s="530">
        <v>114742</v>
      </c>
      <c r="CA253" s="530">
        <v>113384</v>
      </c>
      <c r="CB253" s="530">
        <v>114726</v>
      </c>
      <c r="CC253" s="530">
        <v>94163</v>
      </c>
      <c r="CD253" s="530">
        <v>89017</v>
      </c>
      <c r="CE253" s="530">
        <v>82652</v>
      </c>
      <c r="CF253" s="530">
        <v>73607</v>
      </c>
      <c r="CG253" s="530">
        <v>70385</v>
      </c>
      <c r="CH253" s="530">
        <v>64426</v>
      </c>
      <c r="CI253" s="530">
        <v>60920</v>
      </c>
      <c r="CJ253" s="530">
        <v>57160</v>
      </c>
      <c r="CK253" s="530">
        <v>52285</v>
      </c>
      <c r="CL253" s="530">
        <v>47870</v>
      </c>
      <c r="CM253" s="530">
        <v>42969</v>
      </c>
      <c r="CN253" s="530">
        <v>38252</v>
      </c>
      <c r="CO253" s="530">
        <v>33553</v>
      </c>
      <c r="CP253" s="530">
        <v>30244</v>
      </c>
      <c r="CQ253" s="530">
        <v>26666</v>
      </c>
      <c r="CR253" s="530">
        <v>24031</v>
      </c>
      <c r="CS253" s="530">
        <v>20774</v>
      </c>
      <c r="CT253" s="530">
        <v>16833</v>
      </c>
      <c r="CU253" s="530">
        <v>13794</v>
      </c>
      <c r="CV253" s="530">
        <v>10593</v>
      </c>
      <c r="CW253" s="530">
        <v>8306</v>
      </c>
      <c r="CX253" s="530">
        <v>6133</v>
      </c>
      <c r="CY253" s="530">
        <v>4161</v>
      </c>
      <c r="CZ253" s="530">
        <v>2798</v>
      </c>
      <c r="DA253" s="530">
        <v>4383</v>
      </c>
      <c r="DB253" s="162">
        <f t="shared" ref="DB253:DB269" si="79">SUM(E253:DA253)</f>
        <v>13103559</v>
      </c>
      <c r="DC253" s="163">
        <f t="shared" ref="DC253:DC269" si="80">DB253/1000000</f>
        <v>13.103559000000001</v>
      </c>
      <c r="DD253" s="164"/>
    </row>
    <row r="254" spans="1:108" x14ac:dyDescent="0.2">
      <c r="A254" s="159"/>
      <c r="B254" s="159"/>
      <c r="C254" s="159"/>
      <c r="D254" s="160">
        <f t="shared" ref="D254:D271" si="81">D204</f>
        <v>2023</v>
      </c>
      <c r="E254" s="530">
        <v>146889</v>
      </c>
      <c r="F254" s="530">
        <v>151053</v>
      </c>
      <c r="G254" s="530">
        <v>147895</v>
      </c>
      <c r="H254" s="530">
        <v>146905</v>
      </c>
      <c r="I254" s="530">
        <v>149953</v>
      </c>
      <c r="J254" s="530">
        <v>151834</v>
      </c>
      <c r="K254" s="530">
        <v>155162</v>
      </c>
      <c r="L254" s="530">
        <v>159630</v>
      </c>
      <c r="M254" s="530">
        <v>158153</v>
      </c>
      <c r="N254" s="530">
        <v>160313</v>
      </c>
      <c r="O254" s="530">
        <v>161702</v>
      </c>
      <c r="P254" s="530">
        <v>162182</v>
      </c>
      <c r="Q254" s="530">
        <v>160888</v>
      </c>
      <c r="R254" s="530">
        <v>162793</v>
      </c>
      <c r="S254" s="530">
        <v>160730</v>
      </c>
      <c r="T254" s="530">
        <v>161101</v>
      </c>
      <c r="U254" s="530">
        <v>158987</v>
      </c>
      <c r="V254" s="530">
        <v>154449</v>
      </c>
      <c r="W254" s="530">
        <v>153032</v>
      </c>
      <c r="X254" s="530">
        <v>155515</v>
      </c>
      <c r="Y254" s="530">
        <v>155275</v>
      </c>
      <c r="Z254" s="530">
        <v>155116</v>
      </c>
      <c r="AA254" s="530">
        <v>162384</v>
      </c>
      <c r="AB254" s="530">
        <v>169089</v>
      </c>
      <c r="AC254" s="530">
        <v>168740</v>
      </c>
      <c r="AD254" s="530">
        <v>169856</v>
      </c>
      <c r="AE254" s="530">
        <v>175131</v>
      </c>
      <c r="AF254" s="530">
        <v>180737</v>
      </c>
      <c r="AG254" s="530">
        <v>187327</v>
      </c>
      <c r="AH254" s="530">
        <v>189842</v>
      </c>
      <c r="AI254" s="530">
        <v>192759</v>
      </c>
      <c r="AJ254" s="530">
        <v>195137</v>
      </c>
      <c r="AK254" s="530">
        <v>198876</v>
      </c>
      <c r="AL254" s="530">
        <v>199314</v>
      </c>
      <c r="AM254" s="530">
        <v>196903</v>
      </c>
      <c r="AN254" s="530">
        <v>196011</v>
      </c>
      <c r="AO254" s="530">
        <v>194811</v>
      </c>
      <c r="AP254" s="530">
        <v>195174</v>
      </c>
      <c r="AQ254" s="530">
        <v>194417</v>
      </c>
      <c r="AR254" s="530">
        <v>191991</v>
      </c>
      <c r="AS254" s="530">
        <v>190940</v>
      </c>
      <c r="AT254" s="530">
        <v>184753</v>
      </c>
      <c r="AU254" s="530">
        <v>180518</v>
      </c>
      <c r="AV254" s="530">
        <v>172383</v>
      </c>
      <c r="AW254" s="530">
        <v>168881</v>
      </c>
      <c r="AX254" s="530">
        <v>164248</v>
      </c>
      <c r="AY254" s="530">
        <v>162716</v>
      </c>
      <c r="AZ254" s="530">
        <v>161564</v>
      </c>
      <c r="BA254" s="530">
        <v>163363</v>
      </c>
      <c r="BB254" s="530">
        <v>165984</v>
      </c>
      <c r="BC254" s="530">
        <v>169866</v>
      </c>
      <c r="BD254" s="530">
        <v>176523</v>
      </c>
      <c r="BE254" s="530">
        <v>178433</v>
      </c>
      <c r="BF254" s="530">
        <v>166187</v>
      </c>
      <c r="BG254" s="530">
        <v>164370</v>
      </c>
      <c r="BH254" s="530">
        <v>157686</v>
      </c>
      <c r="BI254" s="530">
        <v>154311</v>
      </c>
      <c r="BJ254" s="530">
        <v>153695</v>
      </c>
      <c r="BK254" s="530">
        <v>155600</v>
      </c>
      <c r="BL254" s="530">
        <v>159995</v>
      </c>
      <c r="BM254" s="530">
        <v>161947</v>
      </c>
      <c r="BN254" s="530">
        <v>160507</v>
      </c>
      <c r="BO254" s="530">
        <v>159524</v>
      </c>
      <c r="BP254" s="530">
        <v>154224</v>
      </c>
      <c r="BQ254" s="530">
        <v>150937</v>
      </c>
      <c r="BR254" s="530">
        <v>147510</v>
      </c>
      <c r="BS254" s="530">
        <v>143048</v>
      </c>
      <c r="BT254" s="530">
        <v>139183</v>
      </c>
      <c r="BU254" s="530">
        <v>135389</v>
      </c>
      <c r="BV254" s="530">
        <v>131014</v>
      </c>
      <c r="BW254" s="530">
        <v>128440</v>
      </c>
      <c r="BX254" s="530">
        <v>123851</v>
      </c>
      <c r="BY254" s="530">
        <v>121613</v>
      </c>
      <c r="BZ254" s="530">
        <v>118642</v>
      </c>
      <c r="CA254" s="530">
        <v>113813</v>
      </c>
      <c r="CB254" s="530">
        <v>112216</v>
      </c>
      <c r="CC254" s="530">
        <v>113275</v>
      </c>
      <c r="CD254" s="530">
        <v>92794</v>
      </c>
      <c r="CE254" s="530">
        <v>87491</v>
      </c>
      <c r="CF254" s="530">
        <v>80955</v>
      </c>
      <c r="CG254" s="530">
        <v>71835</v>
      </c>
      <c r="CH254" s="530">
        <v>68412</v>
      </c>
      <c r="CI254" s="530">
        <v>62310</v>
      </c>
      <c r="CJ254" s="530">
        <v>58523</v>
      </c>
      <c r="CK254" s="530">
        <v>54545</v>
      </c>
      <c r="CL254" s="530">
        <v>49534</v>
      </c>
      <c r="CM254" s="530">
        <v>44963</v>
      </c>
      <c r="CN254" s="530">
        <v>39972</v>
      </c>
      <c r="CO254" s="530">
        <v>35114</v>
      </c>
      <c r="CP254" s="530">
        <v>30390</v>
      </c>
      <c r="CQ254" s="530">
        <v>26968</v>
      </c>
      <c r="CR254" s="530">
        <v>23311</v>
      </c>
      <c r="CS254" s="530">
        <v>20666</v>
      </c>
      <c r="CT254" s="530">
        <v>17484</v>
      </c>
      <c r="CU254" s="530">
        <v>13797</v>
      </c>
      <c r="CV254" s="530">
        <v>10990</v>
      </c>
      <c r="CW254" s="530">
        <v>8203</v>
      </c>
      <c r="CX254" s="530">
        <v>6296</v>
      </c>
      <c r="CY254" s="530">
        <v>4488</v>
      </c>
      <c r="CZ254" s="530">
        <v>2912</v>
      </c>
      <c r="DA254" s="530">
        <v>5104</v>
      </c>
      <c r="DB254" s="162">
        <f t="shared" si="79"/>
        <v>13372262</v>
      </c>
      <c r="DC254" s="163">
        <f t="shared" si="80"/>
        <v>13.372261999999999</v>
      </c>
      <c r="DD254" s="165">
        <f>(DC254-DC253)/DC253</f>
        <v>2.0506108302332106E-2</v>
      </c>
    </row>
    <row r="255" spans="1:108" x14ac:dyDescent="0.2">
      <c r="A255" s="159"/>
      <c r="B255" s="159"/>
      <c r="C255" s="159"/>
      <c r="D255" s="160">
        <f t="shared" si="81"/>
        <v>2024</v>
      </c>
      <c r="E255" s="530">
        <v>148346</v>
      </c>
      <c r="F255" s="530">
        <v>147618</v>
      </c>
      <c r="G255" s="530">
        <v>152775</v>
      </c>
      <c r="H255" s="530">
        <v>149962</v>
      </c>
      <c r="I255" s="530">
        <v>149233</v>
      </c>
      <c r="J255" s="530">
        <v>152405</v>
      </c>
      <c r="K255" s="530">
        <v>154082</v>
      </c>
      <c r="L255" s="530">
        <v>157142</v>
      </c>
      <c r="M255" s="530">
        <v>161503</v>
      </c>
      <c r="N255" s="530">
        <v>159970</v>
      </c>
      <c r="O255" s="530">
        <v>162086</v>
      </c>
      <c r="P255" s="530">
        <v>163453</v>
      </c>
      <c r="Q255" s="530">
        <v>163843</v>
      </c>
      <c r="R255" s="530">
        <v>162483</v>
      </c>
      <c r="S255" s="530">
        <v>164497</v>
      </c>
      <c r="T255" s="530">
        <v>162671</v>
      </c>
      <c r="U255" s="530">
        <v>163253</v>
      </c>
      <c r="V255" s="530">
        <v>162082</v>
      </c>
      <c r="W255" s="530">
        <v>160883</v>
      </c>
      <c r="X255" s="530">
        <v>161726</v>
      </c>
      <c r="Y255" s="530">
        <v>162030</v>
      </c>
      <c r="Z255" s="530">
        <v>159625</v>
      </c>
      <c r="AA255" s="530">
        <v>160935</v>
      </c>
      <c r="AB255" s="530">
        <v>169807</v>
      </c>
      <c r="AC255" s="530">
        <v>174582</v>
      </c>
      <c r="AD255" s="530">
        <v>171963</v>
      </c>
      <c r="AE255" s="530">
        <v>173056</v>
      </c>
      <c r="AF255" s="530">
        <v>178814</v>
      </c>
      <c r="AG255" s="530">
        <v>184604</v>
      </c>
      <c r="AH255" s="530">
        <v>191250</v>
      </c>
      <c r="AI255" s="530">
        <v>193540</v>
      </c>
      <c r="AJ255" s="530">
        <v>196000</v>
      </c>
      <c r="AK255" s="530">
        <v>198004</v>
      </c>
      <c r="AL255" s="530">
        <v>201730</v>
      </c>
      <c r="AM255" s="530">
        <v>202134</v>
      </c>
      <c r="AN255" s="530">
        <v>199473</v>
      </c>
      <c r="AO255" s="530">
        <v>198401</v>
      </c>
      <c r="AP255" s="530">
        <v>197070</v>
      </c>
      <c r="AQ255" s="530">
        <v>197223</v>
      </c>
      <c r="AR255" s="530">
        <v>196276</v>
      </c>
      <c r="AS255" s="530">
        <v>193721</v>
      </c>
      <c r="AT255" s="530">
        <v>192500</v>
      </c>
      <c r="AU255" s="530">
        <v>186096</v>
      </c>
      <c r="AV255" s="530">
        <v>181641</v>
      </c>
      <c r="AW255" s="530">
        <v>173366</v>
      </c>
      <c r="AX255" s="530">
        <v>169784</v>
      </c>
      <c r="AY255" s="530">
        <v>165063</v>
      </c>
      <c r="AZ255" s="530">
        <v>163408</v>
      </c>
      <c r="BA255" s="530">
        <v>162142</v>
      </c>
      <c r="BB255" s="530">
        <v>163863</v>
      </c>
      <c r="BC255" s="530">
        <v>166438</v>
      </c>
      <c r="BD255" s="530">
        <v>170282</v>
      </c>
      <c r="BE255" s="530">
        <v>176901</v>
      </c>
      <c r="BF255" s="530">
        <v>178801</v>
      </c>
      <c r="BG255" s="530">
        <v>166681</v>
      </c>
      <c r="BH255" s="530">
        <v>165037</v>
      </c>
      <c r="BI255" s="530">
        <v>158465</v>
      </c>
      <c r="BJ255" s="530">
        <v>155035</v>
      </c>
      <c r="BK255" s="530">
        <v>154364</v>
      </c>
      <c r="BL255" s="530">
        <v>156350</v>
      </c>
      <c r="BM255" s="530">
        <v>160810</v>
      </c>
      <c r="BN255" s="530">
        <v>162772</v>
      </c>
      <c r="BO255" s="530">
        <v>161333</v>
      </c>
      <c r="BP255" s="530">
        <v>160360</v>
      </c>
      <c r="BQ255" s="530">
        <v>155000</v>
      </c>
      <c r="BR255" s="530">
        <v>151499</v>
      </c>
      <c r="BS255" s="530">
        <v>147853</v>
      </c>
      <c r="BT255" s="530">
        <v>143218</v>
      </c>
      <c r="BU255" s="530">
        <v>139173</v>
      </c>
      <c r="BV255" s="530">
        <v>135244</v>
      </c>
      <c r="BW255" s="530">
        <v>130735</v>
      </c>
      <c r="BX255" s="530">
        <v>127921</v>
      </c>
      <c r="BY255" s="530">
        <v>123180</v>
      </c>
      <c r="BZ255" s="530">
        <v>120786</v>
      </c>
      <c r="CA255" s="530">
        <v>117567</v>
      </c>
      <c r="CB255" s="530">
        <v>112565</v>
      </c>
      <c r="CC255" s="530">
        <v>110747</v>
      </c>
      <c r="CD255" s="530">
        <v>111510</v>
      </c>
      <c r="CE255" s="530">
        <v>91148</v>
      </c>
      <c r="CF255" s="530">
        <v>85649</v>
      </c>
      <c r="CG255" s="530">
        <v>78962</v>
      </c>
      <c r="CH255" s="530">
        <v>69805</v>
      </c>
      <c r="CI255" s="530">
        <v>66155</v>
      </c>
      <c r="CJ255" s="530">
        <v>59863</v>
      </c>
      <c r="CK255" s="530">
        <v>55857</v>
      </c>
      <c r="CL255" s="530">
        <v>51690</v>
      </c>
      <c r="CM255" s="530">
        <v>46545</v>
      </c>
      <c r="CN255" s="530">
        <v>41851</v>
      </c>
      <c r="CO255" s="530">
        <v>36721</v>
      </c>
      <c r="CP255" s="530">
        <v>31835</v>
      </c>
      <c r="CQ255" s="530">
        <v>27134</v>
      </c>
      <c r="CR255" s="530">
        <v>23614</v>
      </c>
      <c r="CS255" s="530">
        <v>20081</v>
      </c>
      <c r="CT255" s="530">
        <v>17420</v>
      </c>
      <c r="CU255" s="530">
        <v>14349</v>
      </c>
      <c r="CV255" s="530">
        <v>10998</v>
      </c>
      <c r="CW255" s="530">
        <v>8512</v>
      </c>
      <c r="CX255" s="530">
        <v>6218</v>
      </c>
      <c r="CY255" s="530">
        <v>4614</v>
      </c>
      <c r="CZ255" s="530">
        <v>3156</v>
      </c>
      <c r="DA255" s="530">
        <v>5720</v>
      </c>
      <c r="DB255" s="162">
        <f t="shared" si="79"/>
        <v>13596638</v>
      </c>
      <c r="DC255" s="163">
        <f t="shared" si="80"/>
        <v>13.596638</v>
      </c>
      <c r="DD255" s="165">
        <f t="shared" ref="DD255:DD269" si="82">(DC255-DC254)/DC254</f>
        <v>1.6779210577836514E-2</v>
      </c>
    </row>
    <row r="256" spans="1:108" x14ac:dyDescent="0.2">
      <c r="A256" s="159"/>
      <c r="B256" s="159"/>
      <c r="C256" s="159"/>
      <c r="D256" s="160">
        <f t="shared" si="81"/>
        <v>2025</v>
      </c>
      <c r="E256" s="530">
        <v>149246</v>
      </c>
      <c r="F256" s="530">
        <v>149049</v>
      </c>
      <c r="G256" s="530">
        <v>149280</v>
      </c>
      <c r="H256" s="530">
        <v>154769</v>
      </c>
      <c r="I256" s="530">
        <v>152207</v>
      </c>
      <c r="J256" s="530">
        <v>151598</v>
      </c>
      <c r="K256" s="530">
        <v>154574</v>
      </c>
      <c r="L256" s="530">
        <v>155994</v>
      </c>
      <c r="M256" s="530">
        <v>158950</v>
      </c>
      <c r="N256" s="530">
        <v>163255</v>
      </c>
      <c r="O256" s="530">
        <v>161680</v>
      </c>
      <c r="P256" s="530">
        <v>163777</v>
      </c>
      <c r="Q256" s="530">
        <v>165056</v>
      </c>
      <c r="R256" s="530">
        <v>165382</v>
      </c>
      <c r="S256" s="530">
        <v>164129</v>
      </c>
      <c r="T256" s="530">
        <v>166371</v>
      </c>
      <c r="U256" s="530">
        <v>164748</v>
      </c>
      <c r="V256" s="530">
        <v>166239</v>
      </c>
      <c r="W256" s="530">
        <v>168289</v>
      </c>
      <c r="X256" s="530">
        <v>169272</v>
      </c>
      <c r="Y256" s="530">
        <v>168012</v>
      </c>
      <c r="Z256" s="530">
        <v>166227</v>
      </c>
      <c r="AA256" s="530">
        <v>165238</v>
      </c>
      <c r="AB256" s="530">
        <v>168098</v>
      </c>
      <c r="AC256" s="530">
        <v>175106</v>
      </c>
      <c r="AD256" s="530">
        <v>177688</v>
      </c>
      <c r="AE256" s="530">
        <v>175051</v>
      </c>
      <c r="AF256" s="530">
        <v>176610</v>
      </c>
      <c r="AG256" s="530">
        <v>182546</v>
      </c>
      <c r="AH256" s="530">
        <v>188389</v>
      </c>
      <c r="AI256" s="530">
        <v>194816</v>
      </c>
      <c r="AJ256" s="530">
        <v>196666</v>
      </c>
      <c r="AK256" s="530">
        <v>198766</v>
      </c>
      <c r="AL256" s="530">
        <v>200756</v>
      </c>
      <c r="AM256" s="530">
        <v>204450</v>
      </c>
      <c r="AN256" s="530">
        <v>204608</v>
      </c>
      <c r="AO256" s="530">
        <v>201776</v>
      </c>
      <c r="AP256" s="530">
        <v>200575</v>
      </c>
      <c r="AQ256" s="530">
        <v>199044</v>
      </c>
      <c r="AR256" s="530">
        <v>199015</v>
      </c>
      <c r="AS256" s="530">
        <v>197939</v>
      </c>
      <c r="AT256" s="530">
        <v>195220</v>
      </c>
      <c r="AU256" s="530">
        <v>193785</v>
      </c>
      <c r="AV256" s="530">
        <v>187170</v>
      </c>
      <c r="AW256" s="530">
        <v>182577</v>
      </c>
      <c r="AX256" s="530">
        <v>174229</v>
      </c>
      <c r="AY256" s="530">
        <v>170557</v>
      </c>
      <c r="AZ256" s="530">
        <v>165725</v>
      </c>
      <c r="BA256" s="530">
        <v>163958</v>
      </c>
      <c r="BB256" s="530">
        <v>162618</v>
      </c>
      <c r="BC256" s="530">
        <v>164298</v>
      </c>
      <c r="BD256" s="530">
        <v>166836</v>
      </c>
      <c r="BE256" s="530">
        <v>170652</v>
      </c>
      <c r="BF256" s="530">
        <v>177250</v>
      </c>
      <c r="BG256" s="530">
        <v>179241</v>
      </c>
      <c r="BH256" s="530">
        <v>167310</v>
      </c>
      <c r="BI256" s="530">
        <v>165762</v>
      </c>
      <c r="BJ256" s="530">
        <v>159141</v>
      </c>
      <c r="BK256" s="530">
        <v>155665</v>
      </c>
      <c r="BL256" s="530">
        <v>155078</v>
      </c>
      <c r="BM256" s="530">
        <v>157134</v>
      </c>
      <c r="BN256" s="530">
        <v>161596</v>
      </c>
      <c r="BO256" s="530">
        <v>163544</v>
      </c>
      <c r="BP256" s="530">
        <v>162115</v>
      </c>
      <c r="BQ256" s="530">
        <v>161061</v>
      </c>
      <c r="BR256" s="530">
        <v>155498</v>
      </c>
      <c r="BS256" s="530">
        <v>151786</v>
      </c>
      <c r="BT256" s="530">
        <v>147967</v>
      </c>
      <c r="BU256" s="530">
        <v>143159</v>
      </c>
      <c r="BV256" s="530">
        <v>138978</v>
      </c>
      <c r="BW256" s="530">
        <v>134913</v>
      </c>
      <c r="BX256" s="530">
        <v>130184</v>
      </c>
      <c r="BY256" s="530">
        <v>127201</v>
      </c>
      <c r="BZ256" s="530">
        <v>122334</v>
      </c>
      <c r="CA256" s="530">
        <v>119687</v>
      </c>
      <c r="CB256" s="530">
        <v>116274</v>
      </c>
      <c r="CC256" s="530">
        <v>111100</v>
      </c>
      <c r="CD256" s="530">
        <v>109041</v>
      </c>
      <c r="CE256" s="530">
        <v>109501</v>
      </c>
      <c r="CF256" s="530">
        <v>89238</v>
      </c>
      <c r="CG256" s="530">
        <v>83552</v>
      </c>
      <c r="CH256" s="530">
        <v>76739</v>
      </c>
      <c r="CI256" s="530">
        <v>67525</v>
      </c>
      <c r="CJ256" s="530">
        <v>63580</v>
      </c>
      <c r="CK256" s="530">
        <v>57163</v>
      </c>
      <c r="CL256" s="530">
        <v>52962</v>
      </c>
      <c r="CM256" s="530">
        <v>48600</v>
      </c>
      <c r="CN256" s="530">
        <v>43354</v>
      </c>
      <c r="CO256" s="530">
        <v>38481</v>
      </c>
      <c r="CP256" s="530">
        <v>33328</v>
      </c>
      <c r="CQ256" s="530">
        <v>28462</v>
      </c>
      <c r="CR256" s="530">
        <v>23799</v>
      </c>
      <c r="CS256" s="530">
        <v>20378</v>
      </c>
      <c r="CT256" s="530">
        <v>16955</v>
      </c>
      <c r="CU256" s="530">
        <v>14315</v>
      </c>
      <c r="CV256" s="530">
        <v>11446</v>
      </c>
      <c r="CW256" s="530">
        <v>8519</v>
      </c>
      <c r="CX256" s="530">
        <v>6453</v>
      </c>
      <c r="CY256" s="530">
        <v>4564</v>
      </c>
      <c r="CZ256" s="530">
        <v>3259</v>
      </c>
      <c r="DA256" s="530">
        <v>6349</v>
      </c>
      <c r="DB256" s="162">
        <f t="shared" si="79"/>
        <v>13814407</v>
      </c>
      <c r="DC256" s="163">
        <f t="shared" si="80"/>
        <v>13.814406999999999</v>
      </c>
      <c r="DD256" s="165">
        <f t="shared" si="82"/>
        <v>1.601638581537574E-2</v>
      </c>
    </row>
    <row r="257" spans="1:108" x14ac:dyDescent="0.2">
      <c r="A257" s="159"/>
      <c r="B257" s="159"/>
      <c r="C257" s="159"/>
      <c r="D257" s="160">
        <f t="shared" si="81"/>
        <v>2026</v>
      </c>
      <c r="E257" s="530">
        <v>149936</v>
      </c>
      <c r="F257" s="530">
        <v>149920</v>
      </c>
      <c r="G257" s="530">
        <v>150650</v>
      </c>
      <c r="H257" s="530">
        <v>151202</v>
      </c>
      <c r="I257" s="530">
        <v>156933</v>
      </c>
      <c r="J257" s="530">
        <v>154487</v>
      </c>
      <c r="K257" s="530">
        <v>153688</v>
      </c>
      <c r="L257" s="530">
        <v>156418</v>
      </c>
      <c r="M257" s="530">
        <v>157738</v>
      </c>
      <c r="N257" s="530">
        <v>160640</v>
      </c>
      <c r="O257" s="530">
        <v>164904</v>
      </c>
      <c r="P257" s="530">
        <v>163310</v>
      </c>
      <c r="Q257" s="530">
        <v>165321</v>
      </c>
      <c r="R257" s="530">
        <v>166539</v>
      </c>
      <c r="S257" s="530">
        <v>166967</v>
      </c>
      <c r="T257" s="530">
        <v>165934</v>
      </c>
      <c r="U257" s="530">
        <v>168370</v>
      </c>
      <c r="V257" s="530">
        <v>167624</v>
      </c>
      <c r="W257" s="530">
        <v>172222</v>
      </c>
      <c r="X257" s="530">
        <v>176372</v>
      </c>
      <c r="Y257" s="530">
        <v>175329</v>
      </c>
      <c r="Z257" s="530">
        <v>172054</v>
      </c>
      <c r="AA257" s="530">
        <v>171633</v>
      </c>
      <c r="AB257" s="530">
        <v>172142</v>
      </c>
      <c r="AC257" s="530">
        <v>173204</v>
      </c>
      <c r="AD257" s="530">
        <v>178100</v>
      </c>
      <c r="AE257" s="530">
        <v>180662</v>
      </c>
      <c r="AF257" s="530">
        <v>178475</v>
      </c>
      <c r="AG257" s="530">
        <v>180207</v>
      </c>
      <c r="AH257" s="530">
        <v>186193</v>
      </c>
      <c r="AI257" s="530">
        <v>191827</v>
      </c>
      <c r="AJ257" s="530">
        <v>197828</v>
      </c>
      <c r="AK257" s="530">
        <v>199332</v>
      </c>
      <c r="AL257" s="530">
        <v>201417</v>
      </c>
      <c r="AM257" s="530">
        <v>203375</v>
      </c>
      <c r="AN257" s="530">
        <v>206833</v>
      </c>
      <c r="AO257" s="530">
        <v>206824</v>
      </c>
      <c r="AP257" s="530">
        <v>203870</v>
      </c>
      <c r="AQ257" s="530">
        <v>202472</v>
      </c>
      <c r="AR257" s="530">
        <v>200768</v>
      </c>
      <c r="AS257" s="530">
        <v>200613</v>
      </c>
      <c r="AT257" s="530">
        <v>199380</v>
      </c>
      <c r="AU257" s="530">
        <v>196453</v>
      </c>
      <c r="AV257" s="530">
        <v>194810</v>
      </c>
      <c r="AW257" s="530">
        <v>188062</v>
      </c>
      <c r="AX257" s="530">
        <v>183396</v>
      </c>
      <c r="AY257" s="530">
        <v>174967</v>
      </c>
      <c r="AZ257" s="530">
        <v>171183</v>
      </c>
      <c r="BA257" s="530">
        <v>166247</v>
      </c>
      <c r="BB257" s="530">
        <v>164412</v>
      </c>
      <c r="BC257" s="530">
        <v>163034</v>
      </c>
      <c r="BD257" s="530">
        <v>164679</v>
      </c>
      <c r="BE257" s="530">
        <v>167191</v>
      </c>
      <c r="BF257" s="530">
        <v>170993</v>
      </c>
      <c r="BG257" s="530">
        <v>177669</v>
      </c>
      <c r="BH257" s="530">
        <v>179810</v>
      </c>
      <c r="BI257" s="530">
        <v>167993</v>
      </c>
      <c r="BJ257" s="530">
        <v>166382</v>
      </c>
      <c r="BK257" s="530">
        <v>159727</v>
      </c>
      <c r="BL257" s="530">
        <v>156338</v>
      </c>
      <c r="BM257" s="530">
        <v>155827</v>
      </c>
      <c r="BN257" s="530">
        <v>157891</v>
      </c>
      <c r="BO257" s="530">
        <v>162330</v>
      </c>
      <c r="BP257" s="530">
        <v>164272</v>
      </c>
      <c r="BQ257" s="530">
        <v>162766</v>
      </c>
      <c r="BR257" s="530">
        <v>161494</v>
      </c>
      <c r="BS257" s="530">
        <v>155735</v>
      </c>
      <c r="BT257" s="530">
        <v>151854</v>
      </c>
      <c r="BU257" s="530">
        <v>147858</v>
      </c>
      <c r="BV257" s="530">
        <v>142924</v>
      </c>
      <c r="BW257" s="530">
        <v>138606</v>
      </c>
      <c r="BX257" s="530">
        <v>134318</v>
      </c>
      <c r="BY257" s="530">
        <v>129446</v>
      </c>
      <c r="BZ257" s="530">
        <v>126318</v>
      </c>
      <c r="CA257" s="530">
        <v>121229</v>
      </c>
      <c r="CB257" s="530">
        <v>118381</v>
      </c>
      <c r="CC257" s="530">
        <v>114775</v>
      </c>
      <c r="CD257" s="530">
        <v>109414</v>
      </c>
      <c r="CE257" s="530">
        <v>107113</v>
      </c>
      <c r="CF257" s="530">
        <v>107205</v>
      </c>
      <c r="CG257" s="530">
        <v>87084</v>
      </c>
      <c r="CH257" s="530">
        <v>81232</v>
      </c>
      <c r="CI257" s="530">
        <v>74265</v>
      </c>
      <c r="CJ257" s="530">
        <v>64941</v>
      </c>
      <c r="CK257" s="530">
        <v>60757</v>
      </c>
      <c r="CL257" s="530">
        <v>54246</v>
      </c>
      <c r="CM257" s="530">
        <v>49844</v>
      </c>
      <c r="CN257" s="530">
        <v>45318</v>
      </c>
      <c r="CO257" s="530">
        <v>39917</v>
      </c>
      <c r="CP257" s="530">
        <v>34982</v>
      </c>
      <c r="CQ257" s="530">
        <v>29859</v>
      </c>
      <c r="CR257" s="530">
        <v>25026</v>
      </c>
      <c r="CS257" s="530">
        <v>20592</v>
      </c>
      <c r="CT257" s="530">
        <v>17249</v>
      </c>
      <c r="CU257" s="530">
        <v>13961</v>
      </c>
      <c r="CV257" s="530">
        <v>11431</v>
      </c>
      <c r="CW257" s="530">
        <v>8868</v>
      </c>
      <c r="CX257" s="530">
        <v>6459</v>
      </c>
      <c r="CY257" s="530">
        <v>4747</v>
      </c>
      <c r="CZ257" s="530">
        <v>3246</v>
      </c>
      <c r="DA257" s="530">
        <v>6900</v>
      </c>
      <c r="DB257" s="162">
        <f t="shared" si="79"/>
        <v>14025739</v>
      </c>
      <c r="DC257" s="163">
        <f t="shared" si="80"/>
        <v>14.025739</v>
      </c>
      <c r="DD257" s="165">
        <f t="shared" si="82"/>
        <v>1.5297942213516696E-2</v>
      </c>
    </row>
    <row r="258" spans="1:108" x14ac:dyDescent="0.2">
      <c r="A258" s="159"/>
      <c r="B258" s="159"/>
      <c r="C258" s="159"/>
      <c r="D258" s="160">
        <f t="shared" si="81"/>
        <v>2027</v>
      </c>
      <c r="E258" s="530">
        <v>150448</v>
      </c>
      <c r="F258" s="530">
        <v>150583</v>
      </c>
      <c r="G258" s="530">
        <v>151460</v>
      </c>
      <c r="H258" s="530">
        <v>152499</v>
      </c>
      <c r="I258" s="530">
        <v>153284</v>
      </c>
      <c r="J258" s="530">
        <v>159126</v>
      </c>
      <c r="K258" s="530">
        <v>156498</v>
      </c>
      <c r="L258" s="530">
        <v>155462</v>
      </c>
      <c r="M258" s="530">
        <v>158096</v>
      </c>
      <c r="N258" s="530">
        <v>159364</v>
      </c>
      <c r="O258" s="530">
        <v>162227</v>
      </c>
      <c r="P258" s="530">
        <v>166472</v>
      </c>
      <c r="Q258" s="530">
        <v>164795</v>
      </c>
      <c r="R258" s="530">
        <v>166748</v>
      </c>
      <c r="S258" s="530">
        <v>168065</v>
      </c>
      <c r="T258" s="530">
        <v>168704</v>
      </c>
      <c r="U258" s="530">
        <v>167857</v>
      </c>
      <c r="V258" s="530">
        <v>171137</v>
      </c>
      <c r="W258" s="530">
        <v>173381</v>
      </c>
      <c r="X258" s="530">
        <v>179999</v>
      </c>
      <c r="Y258" s="530">
        <v>182201</v>
      </c>
      <c r="Z258" s="530">
        <v>179215</v>
      </c>
      <c r="AA258" s="530">
        <v>177256</v>
      </c>
      <c r="AB258" s="530">
        <v>178275</v>
      </c>
      <c r="AC258" s="530">
        <v>177054</v>
      </c>
      <c r="AD258" s="530">
        <v>176086</v>
      </c>
      <c r="AE258" s="530">
        <v>180960</v>
      </c>
      <c r="AF258" s="530">
        <v>183955</v>
      </c>
      <c r="AG258" s="530">
        <v>181937</v>
      </c>
      <c r="AH258" s="530">
        <v>183716</v>
      </c>
      <c r="AI258" s="530">
        <v>189501</v>
      </c>
      <c r="AJ258" s="530">
        <v>194725</v>
      </c>
      <c r="AK258" s="530">
        <v>200391</v>
      </c>
      <c r="AL258" s="530">
        <v>201882</v>
      </c>
      <c r="AM258" s="530">
        <v>203935</v>
      </c>
      <c r="AN258" s="530">
        <v>205666</v>
      </c>
      <c r="AO258" s="530">
        <v>208961</v>
      </c>
      <c r="AP258" s="530">
        <v>208834</v>
      </c>
      <c r="AQ258" s="530">
        <v>205692</v>
      </c>
      <c r="AR258" s="530">
        <v>204124</v>
      </c>
      <c r="AS258" s="530">
        <v>202302</v>
      </c>
      <c r="AT258" s="530">
        <v>201993</v>
      </c>
      <c r="AU258" s="530">
        <v>200561</v>
      </c>
      <c r="AV258" s="530">
        <v>197433</v>
      </c>
      <c r="AW258" s="530">
        <v>195657</v>
      </c>
      <c r="AX258" s="530">
        <v>188840</v>
      </c>
      <c r="AY258" s="530">
        <v>184089</v>
      </c>
      <c r="AZ258" s="530">
        <v>175556</v>
      </c>
      <c r="BA258" s="530">
        <v>171669</v>
      </c>
      <c r="BB258" s="530">
        <v>166671</v>
      </c>
      <c r="BC258" s="530">
        <v>164800</v>
      </c>
      <c r="BD258" s="530">
        <v>163396</v>
      </c>
      <c r="BE258" s="530">
        <v>165013</v>
      </c>
      <c r="BF258" s="530">
        <v>167515</v>
      </c>
      <c r="BG258" s="530">
        <v>171395</v>
      </c>
      <c r="BH258" s="530">
        <v>178208</v>
      </c>
      <c r="BI258" s="530">
        <v>180423</v>
      </c>
      <c r="BJ258" s="530">
        <v>168571</v>
      </c>
      <c r="BK258" s="530">
        <v>166908</v>
      </c>
      <c r="BL258" s="530">
        <v>160348</v>
      </c>
      <c r="BM258" s="530">
        <v>157036</v>
      </c>
      <c r="BN258" s="530">
        <v>156542</v>
      </c>
      <c r="BO258" s="530">
        <v>158592</v>
      </c>
      <c r="BP258" s="530">
        <v>163012</v>
      </c>
      <c r="BQ258" s="530">
        <v>164863</v>
      </c>
      <c r="BR258" s="530">
        <v>163148</v>
      </c>
      <c r="BS258" s="530">
        <v>161660</v>
      </c>
      <c r="BT258" s="530">
        <v>155748</v>
      </c>
      <c r="BU258" s="530">
        <v>151692</v>
      </c>
      <c r="BV258" s="530">
        <v>147564</v>
      </c>
      <c r="BW258" s="530">
        <v>142499</v>
      </c>
      <c r="BX258" s="530">
        <v>137963</v>
      </c>
      <c r="BY258" s="530">
        <v>133525</v>
      </c>
      <c r="BZ258" s="530">
        <v>128529</v>
      </c>
      <c r="CA258" s="530">
        <v>125157</v>
      </c>
      <c r="CB258" s="530">
        <v>119900</v>
      </c>
      <c r="CC258" s="530">
        <v>116851</v>
      </c>
      <c r="CD258" s="530">
        <v>113028</v>
      </c>
      <c r="CE258" s="530">
        <v>107484</v>
      </c>
      <c r="CF258" s="530">
        <v>104879</v>
      </c>
      <c r="CG258" s="530">
        <v>104595</v>
      </c>
      <c r="CH258" s="530">
        <v>84672</v>
      </c>
      <c r="CI258" s="530">
        <v>78621</v>
      </c>
      <c r="CJ258" s="530">
        <v>71429</v>
      </c>
      <c r="CK258" s="530">
        <v>62071</v>
      </c>
      <c r="CL258" s="530">
        <v>57671</v>
      </c>
      <c r="CM258" s="530">
        <v>51068</v>
      </c>
      <c r="CN258" s="530">
        <v>46496</v>
      </c>
      <c r="CO258" s="530">
        <v>41743</v>
      </c>
      <c r="CP258" s="530">
        <v>36308</v>
      </c>
      <c r="CQ258" s="530">
        <v>31363</v>
      </c>
      <c r="CR258" s="530">
        <v>26276</v>
      </c>
      <c r="CS258" s="530">
        <v>21674</v>
      </c>
      <c r="CT258" s="530">
        <v>17445</v>
      </c>
      <c r="CU258" s="530">
        <v>14213</v>
      </c>
      <c r="CV258" s="530">
        <v>11151</v>
      </c>
      <c r="CW258" s="530">
        <v>8858</v>
      </c>
      <c r="CX258" s="530">
        <v>6723</v>
      </c>
      <c r="CY258" s="530">
        <v>4751</v>
      </c>
      <c r="CZ258" s="530">
        <v>3376</v>
      </c>
      <c r="DA258" s="530">
        <v>7297</v>
      </c>
      <c r="DB258" s="162">
        <f t="shared" si="79"/>
        <v>14229392</v>
      </c>
      <c r="DC258" s="163">
        <f t="shared" si="80"/>
        <v>14.229392000000001</v>
      </c>
      <c r="DD258" s="165">
        <f t="shared" si="82"/>
        <v>1.4519947932868349E-2</v>
      </c>
    </row>
    <row r="259" spans="1:108" x14ac:dyDescent="0.2">
      <c r="A259" s="159"/>
      <c r="B259" s="159"/>
      <c r="C259" s="159"/>
      <c r="D259" s="160">
        <f t="shared" si="81"/>
        <v>2028</v>
      </c>
      <c r="E259" s="530">
        <v>151058</v>
      </c>
      <c r="F259" s="530">
        <v>151070</v>
      </c>
      <c r="G259" s="530">
        <v>152062</v>
      </c>
      <c r="H259" s="530">
        <v>153237</v>
      </c>
      <c r="I259" s="530">
        <v>154499</v>
      </c>
      <c r="J259" s="530">
        <v>155391</v>
      </c>
      <c r="K259" s="530">
        <v>161058</v>
      </c>
      <c r="L259" s="530">
        <v>158203</v>
      </c>
      <c r="M259" s="530">
        <v>157074</v>
      </c>
      <c r="N259" s="530">
        <v>159659</v>
      </c>
      <c r="O259" s="530">
        <v>160889</v>
      </c>
      <c r="P259" s="530">
        <v>163734</v>
      </c>
      <c r="Q259" s="530">
        <v>167899</v>
      </c>
      <c r="R259" s="530">
        <v>166166</v>
      </c>
      <c r="S259" s="530">
        <v>168213</v>
      </c>
      <c r="T259" s="530">
        <v>169733</v>
      </c>
      <c r="U259" s="530">
        <v>170552</v>
      </c>
      <c r="V259" s="530">
        <v>170514</v>
      </c>
      <c r="W259" s="530">
        <v>176668</v>
      </c>
      <c r="X259" s="530">
        <v>180854</v>
      </c>
      <c r="Y259" s="530">
        <v>185598</v>
      </c>
      <c r="Z259" s="530">
        <v>185932</v>
      </c>
      <c r="AA259" s="530">
        <v>184210</v>
      </c>
      <c r="AB259" s="530">
        <v>183636</v>
      </c>
      <c r="AC259" s="530">
        <v>182993</v>
      </c>
      <c r="AD259" s="530">
        <v>179819</v>
      </c>
      <c r="AE259" s="530">
        <v>178835</v>
      </c>
      <c r="AF259" s="530">
        <v>184122</v>
      </c>
      <c r="AG259" s="530">
        <v>187279</v>
      </c>
      <c r="AH259" s="530">
        <v>185306</v>
      </c>
      <c r="AI259" s="530">
        <v>186893</v>
      </c>
      <c r="AJ259" s="530">
        <v>192285</v>
      </c>
      <c r="AK259" s="530">
        <v>197187</v>
      </c>
      <c r="AL259" s="530">
        <v>202840</v>
      </c>
      <c r="AM259" s="530">
        <v>204298</v>
      </c>
      <c r="AN259" s="530">
        <v>206133</v>
      </c>
      <c r="AO259" s="530">
        <v>207710</v>
      </c>
      <c r="AP259" s="530">
        <v>210887</v>
      </c>
      <c r="AQ259" s="530">
        <v>210580</v>
      </c>
      <c r="AR259" s="530">
        <v>207273</v>
      </c>
      <c r="AS259" s="530">
        <v>205593</v>
      </c>
      <c r="AT259" s="530">
        <v>203621</v>
      </c>
      <c r="AU259" s="530">
        <v>203121</v>
      </c>
      <c r="AV259" s="530">
        <v>201493</v>
      </c>
      <c r="AW259" s="530">
        <v>198237</v>
      </c>
      <c r="AX259" s="530">
        <v>196392</v>
      </c>
      <c r="AY259" s="530">
        <v>189492</v>
      </c>
      <c r="AZ259" s="530">
        <v>184638</v>
      </c>
      <c r="BA259" s="530">
        <v>176011</v>
      </c>
      <c r="BB259" s="530">
        <v>172059</v>
      </c>
      <c r="BC259" s="530">
        <v>167034</v>
      </c>
      <c r="BD259" s="530">
        <v>165134</v>
      </c>
      <c r="BE259" s="530">
        <v>163710</v>
      </c>
      <c r="BF259" s="530">
        <v>165317</v>
      </c>
      <c r="BG259" s="530">
        <v>167898</v>
      </c>
      <c r="BH259" s="530">
        <v>171915</v>
      </c>
      <c r="BI259" s="530">
        <v>178784</v>
      </c>
      <c r="BJ259" s="530">
        <v>180928</v>
      </c>
      <c r="BK259" s="530">
        <v>169055</v>
      </c>
      <c r="BL259" s="530">
        <v>167465</v>
      </c>
      <c r="BM259" s="530">
        <v>160988</v>
      </c>
      <c r="BN259" s="530">
        <v>157700</v>
      </c>
      <c r="BO259" s="530">
        <v>157197</v>
      </c>
      <c r="BP259" s="530">
        <v>159241</v>
      </c>
      <c r="BQ259" s="530">
        <v>163561</v>
      </c>
      <c r="BR259" s="530">
        <v>165189</v>
      </c>
      <c r="BS259" s="530">
        <v>163268</v>
      </c>
      <c r="BT259" s="530">
        <v>161607</v>
      </c>
      <c r="BU259" s="530">
        <v>155531</v>
      </c>
      <c r="BV259" s="530">
        <v>151343</v>
      </c>
      <c r="BW259" s="530">
        <v>147081</v>
      </c>
      <c r="BX259" s="530">
        <v>141806</v>
      </c>
      <c r="BY259" s="530">
        <v>137122</v>
      </c>
      <c r="BZ259" s="530">
        <v>132554</v>
      </c>
      <c r="CA259" s="530">
        <v>127338</v>
      </c>
      <c r="CB259" s="530">
        <v>123775</v>
      </c>
      <c r="CC259" s="530">
        <v>118346</v>
      </c>
      <c r="CD259" s="530">
        <v>115071</v>
      </c>
      <c r="CE259" s="530">
        <v>111034</v>
      </c>
      <c r="CF259" s="530">
        <v>105249</v>
      </c>
      <c r="CG259" s="530">
        <v>102340</v>
      </c>
      <c r="CH259" s="530">
        <v>101687</v>
      </c>
      <c r="CI259" s="530">
        <v>81961</v>
      </c>
      <c r="CJ259" s="530">
        <v>75631</v>
      </c>
      <c r="CK259" s="530">
        <v>68284</v>
      </c>
      <c r="CL259" s="530">
        <v>58933</v>
      </c>
      <c r="CM259" s="530">
        <v>54308</v>
      </c>
      <c r="CN259" s="530">
        <v>47654</v>
      </c>
      <c r="CO259" s="530">
        <v>42847</v>
      </c>
      <c r="CP259" s="530">
        <v>37989</v>
      </c>
      <c r="CQ259" s="530">
        <v>32575</v>
      </c>
      <c r="CR259" s="530">
        <v>27623</v>
      </c>
      <c r="CS259" s="530">
        <v>22776</v>
      </c>
      <c r="CT259" s="530">
        <v>18378</v>
      </c>
      <c r="CU259" s="530">
        <v>14385</v>
      </c>
      <c r="CV259" s="530">
        <v>11357</v>
      </c>
      <c r="CW259" s="530">
        <v>8641</v>
      </c>
      <c r="CX259" s="530">
        <v>6715</v>
      </c>
      <c r="CY259" s="530">
        <v>4945</v>
      </c>
      <c r="CZ259" s="530">
        <v>3380</v>
      </c>
      <c r="DA259" s="530">
        <v>7680</v>
      </c>
      <c r="DB259" s="162">
        <f t="shared" si="79"/>
        <v>14425336</v>
      </c>
      <c r="DC259" s="163">
        <f t="shared" si="80"/>
        <v>14.425336</v>
      </c>
      <c r="DD259" s="165">
        <f t="shared" si="82"/>
        <v>1.3770370511965585E-2</v>
      </c>
    </row>
    <row r="260" spans="1:108" x14ac:dyDescent="0.2">
      <c r="A260" s="159"/>
      <c r="B260" s="159"/>
      <c r="C260" s="159"/>
      <c r="D260" s="160">
        <f t="shared" si="81"/>
        <v>2029</v>
      </c>
      <c r="E260" s="530">
        <v>151820</v>
      </c>
      <c r="F260" s="530">
        <v>151652</v>
      </c>
      <c r="G260" s="530">
        <v>152488</v>
      </c>
      <c r="H260" s="530">
        <v>153766</v>
      </c>
      <c r="I260" s="530">
        <v>155156</v>
      </c>
      <c r="J260" s="530">
        <v>156521</v>
      </c>
      <c r="K260" s="530">
        <v>157244</v>
      </c>
      <c r="L260" s="530">
        <v>162693</v>
      </c>
      <c r="M260" s="530">
        <v>159749</v>
      </c>
      <c r="N260" s="530">
        <v>158573</v>
      </c>
      <c r="O260" s="530">
        <v>161122</v>
      </c>
      <c r="P260" s="530">
        <v>162334</v>
      </c>
      <c r="Q260" s="530">
        <v>165103</v>
      </c>
      <c r="R260" s="530">
        <v>169213</v>
      </c>
      <c r="S260" s="530">
        <v>167571</v>
      </c>
      <c r="T260" s="530">
        <v>169813</v>
      </c>
      <c r="U260" s="530">
        <v>171505</v>
      </c>
      <c r="V260" s="530">
        <v>173100</v>
      </c>
      <c r="W260" s="530">
        <v>175819</v>
      </c>
      <c r="X260" s="530">
        <v>183835</v>
      </c>
      <c r="Y260" s="530">
        <v>186224</v>
      </c>
      <c r="Z260" s="530">
        <v>189175</v>
      </c>
      <c r="AA260" s="530">
        <v>190721</v>
      </c>
      <c r="AB260" s="530">
        <v>190328</v>
      </c>
      <c r="AC260" s="530">
        <v>188159</v>
      </c>
      <c r="AD260" s="530">
        <v>185643</v>
      </c>
      <c r="AE260" s="530">
        <v>182454</v>
      </c>
      <c r="AF260" s="530">
        <v>181869</v>
      </c>
      <c r="AG260" s="530">
        <v>187309</v>
      </c>
      <c r="AH260" s="530">
        <v>190508</v>
      </c>
      <c r="AI260" s="530">
        <v>188352</v>
      </c>
      <c r="AJ260" s="530">
        <v>189563</v>
      </c>
      <c r="AK260" s="530">
        <v>194645</v>
      </c>
      <c r="AL260" s="530">
        <v>199535</v>
      </c>
      <c r="AM260" s="530">
        <v>205158</v>
      </c>
      <c r="AN260" s="530">
        <v>206403</v>
      </c>
      <c r="AO260" s="530">
        <v>208090</v>
      </c>
      <c r="AP260" s="530">
        <v>209556</v>
      </c>
      <c r="AQ260" s="530">
        <v>212557</v>
      </c>
      <c r="AR260" s="530">
        <v>212089</v>
      </c>
      <c r="AS260" s="530">
        <v>208675</v>
      </c>
      <c r="AT260" s="530">
        <v>206851</v>
      </c>
      <c r="AU260" s="530">
        <v>204695</v>
      </c>
      <c r="AV260" s="530">
        <v>204008</v>
      </c>
      <c r="AW260" s="530">
        <v>202256</v>
      </c>
      <c r="AX260" s="530">
        <v>198932</v>
      </c>
      <c r="AY260" s="530">
        <v>197003</v>
      </c>
      <c r="AZ260" s="530">
        <v>190003</v>
      </c>
      <c r="BA260" s="530">
        <v>185052</v>
      </c>
      <c r="BB260" s="530">
        <v>176371</v>
      </c>
      <c r="BC260" s="530">
        <v>172388</v>
      </c>
      <c r="BD260" s="530">
        <v>167342</v>
      </c>
      <c r="BE260" s="530">
        <v>165422</v>
      </c>
      <c r="BF260" s="530">
        <v>163993</v>
      </c>
      <c r="BG260" s="530">
        <v>165677</v>
      </c>
      <c r="BH260" s="530">
        <v>168389</v>
      </c>
      <c r="BI260" s="530">
        <v>172470</v>
      </c>
      <c r="BJ260" s="530">
        <v>179257</v>
      </c>
      <c r="BK260" s="530">
        <v>181335</v>
      </c>
      <c r="BL260" s="530">
        <v>169564</v>
      </c>
      <c r="BM260" s="530">
        <v>168037</v>
      </c>
      <c r="BN260" s="530">
        <v>161592</v>
      </c>
      <c r="BO260" s="530">
        <v>158304</v>
      </c>
      <c r="BP260" s="530">
        <v>157804</v>
      </c>
      <c r="BQ260" s="530">
        <v>159760</v>
      </c>
      <c r="BR260" s="530">
        <v>163849</v>
      </c>
      <c r="BS260" s="530">
        <v>165261</v>
      </c>
      <c r="BT260" s="530">
        <v>163172</v>
      </c>
      <c r="BU260" s="530">
        <v>161324</v>
      </c>
      <c r="BV260" s="530">
        <v>155131</v>
      </c>
      <c r="BW260" s="530">
        <v>150810</v>
      </c>
      <c r="BX260" s="530">
        <v>146328</v>
      </c>
      <c r="BY260" s="530">
        <v>140913</v>
      </c>
      <c r="BZ260" s="530">
        <v>136106</v>
      </c>
      <c r="CA260" s="530">
        <v>131310</v>
      </c>
      <c r="CB260" s="530">
        <v>125922</v>
      </c>
      <c r="CC260" s="530">
        <v>122165</v>
      </c>
      <c r="CD260" s="530">
        <v>116544</v>
      </c>
      <c r="CE260" s="530">
        <v>113043</v>
      </c>
      <c r="CF260" s="530">
        <v>108728</v>
      </c>
      <c r="CG260" s="530">
        <v>102713</v>
      </c>
      <c r="CH260" s="530">
        <v>99511</v>
      </c>
      <c r="CI260" s="530">
        <v>98428</v>
      </c>
      <c r="CJ260" s="530">
        <v>78857</v>
      </c>
      <c r="CK260" s="530">
        <v>72316</v>
      </c>
      <c r="CL260" s="530">
        <v>64846</v>
      </c>
      <c r="CM260" s="530">
        <v>55513</v>
      </c>
      <c r="CN260" s="530">
        <v>50695</v>
      </c>
      <c r="CO260" s="530">
        <v>43933</v>
      </c>
      <c r="CP260" s="530">
        <v>39016</v>
      </c>
      <c r="CQ260" s="530">
        <v>34106</v>
      </c>
      <c r="CR260" s="530">
        <v>28715</v>
      </c>
      <c r="CS260" s="530">
        <v>23965</v>
      </c>
      <c r="CT260" s="530">
        <v>19328</v>
      </c>
      <c r="CU260" s="530">
        <v>15165</v>
      </c>
      <c r="CV260" s="530">
        <v>11499</v>
      </c>
      <c r="CW260" s="530">
        <v>8801</v>
      </c>
      <c r="CX260" s="530">
        <v>6551</v>
      </c>
      <c r="CY260" s="530">
        <v>4939</v>
      </c>
      <c r="CZ260" s="530">
        <v>3517</v>
      </c>
      <c r="DA260" s="530">
        <v>7966</v>
      </c>
      <c r="DB260" s="162">
        <f t="shared" si="79"/>
        <v>14613581</v>
      </c>
      <c r="DC260" s="163">
        <f t="shared" si="80"/>
        <v>14.613581</v>
      </c>
      <c r="DD260" s="165">
        <f t="shared" si="82"/>
        <v>1.304960938171563E-2</v>
      </c>
    </row>
    <row r="261" spans="1:108" x14ac:dyDescent="0.2">
      <c r="A261" s="159"/>
      <c r="B261" s="159"/>
      <c r="C261" s="159"/>
      <c r="D261" s="160">
        <f t="shared" si="81"/>
        <v>2030</v>
      </c>
      <c r="E261" s="530">
        <v>152555</v>
      </c>
      <c r="F261" s="530">
        <v>152384</v>
      </c>
      <c r="G261" s="530">
        <v>153004</v>
      </c>
      <c r="H261" s="530">
        <v>154113</v>
      </c>
      <c r="I261" s="530">
        <v>155595</v>
      </c>
      <c r="J261" s="530">
        <v>157083</v>
      </c>
      <c r="K261" s="530">
        <v>158288</v>
      </c>
      <c r="L261" s="530">
        <v>158804</v>
      </c>
      <c r="M261" s="530">
        <v>164167</v>
      </c>
      <c r="N261" s="530">
        <v>161178</v>
      </c>
      <c r="O261" s="530">
        <v>159968</v>
      </c>
      <c r="P261" s="530">
        <v>162500</v>
      </c>
      <c r="Q261" s="530">
        <v>163639</v>
      </c>
      <c r="R261" s="530">
        <v>166356</v>
      </c>
      <c r="S261" s="530">
        <v>170552</v>
      </c>
      <c r="T261" s="530">
        <v>169097</v>
      </c>
      <c r="U261" s="530">
        <v>171502</v>
      </c>
      <c r="V261" s="530">
        <v>173934</v>
      </c>
      <c r="W261" s="530">
        <v>178161</v>
      </c>
      <c r="X261" s="530">
        <v>182654</v>
      </c>
      <c r="Y261" s="530">
        <v>188955</v>
      </c>
      <c r="Z261" s="530">
        <v>189634</v>
      </c>
      <c r="AA261" s="530">
        <v>193739</v>
      </c>
      <c r="AB261" s="530">
        <v>196553</v>
      </c>
      <c r="AC261" s="530">
        <v>194638</v>
      </c>
      <c r="AD261" s="530">
        <v>190683</v>
      </c>
      <c r="AE261" s="530">
        <v>188154</v>
      </c>
      <c r="AF261" s="530">
        <v>185346</v>
      </c>
      <c r="AG261" s="530">
        <v>184907</v>
      </c>
      <c r="AH261" s="530">
        <v>190387</v>
      </c>
      <c r="AI261" s="530">
        <v>193410</v>
      </c>
      <c r="AJ261" s="530">
        <v>190896</v>
      </c>
      <c r="AK261" s="530">
        <v>191812</v>
      </c>
      <c r="AL261" s="530">
        <v>196883</v>
      </c>
      <c r="AM261" s="530">
        <v>201744</v>
      </c>
      <c r="AN261" s="530">
        <v>207162</v>
      </c>
      <c r="AO261" s="530">
        <v>208265</v>
      </c>
      <c r="AP261" s="530">
        <v>209846</v>
      </c>
      <c r="AQ261" s="530">
        <v>211145</v>
      </c>
      <c r="AR261" s="530">
        <v>213990</v>
      </c>
      <c r="AS261" s="530">
        <v>213418</v>
      </c>
      <c r="AT261" s="530">
        <v>209868</v>
      </c>
      <c r="AU261" s="530">
        <v>207869</v>
      </c>
      <c r="AV261" s="530">
        <v>205533</v>
      </c>
      <c r="AW261" s="530">
        <v>204725</v>
      </c>
      <c r="AX261" s="530">
        <v>202906</v>
      </c>
      <c r="AY261" s="530">
        <v>199502</v>
      </c>
      <c r="AZ261" s="530">
        <v>197473</v>
      </c>
      <c r="BA261" s="530">
        <v>190381</v>
      </c>
      <c r="BB261" s="530">
        <v>185371</v>
      </c>
      <c r="BC261" s="530">
        <v>176666</v>
      </c>
      <c r="BD261" s="530">
        <v>172662</v>
      </c>
      <c r="BE261" s="530">
        <v>167601</v>
      </c>
      <c r="BF261" s="530">
        <v>165673</v>
      </c>
      <c r="BG261" s="530">
        <v>164324</v>
      </c>
      <c r="BH261" s="530">
        <v>166137</v>
      </c>
      <c r="BI261" s="530">
        <v>168908</v>
      </c>
      <c r="BJ261" s="530">
        <v>172916</v>
      </c>
      <c r="BK261" s="530">
        <v>179631</v>
      </c>
      <c r="BL261" s="530">
        <v>181762</v>
      </c>
      <c r="BM261" s="530">
        <v>170077</v>
      </c>
      <c r="BN261" s="530">
        <v>168564</v>
      </c>
      <c r="BO261" s="530">
        <v>162128</v>
      </c>
      <c r="BP261" s="530">
        <v>158849</v>
      </c>
      <c r="BQ261" s="530">
        <v>158274</v>
      </c>
      <c r="BR261" s="530">
        <v>160022</v>
      </c>
      <c r="BS261" s="530">
        <v>163889</v>
      </c>
      <c r="BT261" s="530">
        <v>165119</v>
      </c>
      <c r="BU261" s="530">
        <v>162850</v>
      </c>
      <c r="BV261" s="530">
        <v>160855</v>
      </c>
      <c r="BW261" s="530">
        <v>154543</v>
      </c>
      <c r="BX261" s="530">
        <v>150005</v>
      </c>
      <c r="BY261" s="530">
        <v>145377</v>
      </c>
      <c r="BZ261" s="530">
        <v>139846</v>
      </c>
      <c r="CA261" s="530">
        <v>134812</v>
      </c>
      <c r="CB261" s="530">
        <v>129839</v>
      </c>
      <c r="CC261" s="530">
        <v>124279</v>
      </c>
      <c r="CD261" s="530">
        <v>120300</v>
      </c>
      <c r="CE261" s="530">
        <v>114492</v>
      </c>
      <c r="CF261" s="530">
        <v>110701</v>
      </c>
      <c r="CG261" s="530">
        <v>106115</v>
      </c>
      <c r="CH261" s="530">
        <v>99887</v>
      </c>
      <c r="CI261" s="530">
        <v>96340</v>
      </c>
      <c r="CJ261" s="530">
        <v>94708</v>
      </c>
      <c r="CK261" s="530">
        <v>75416</v>
      </c>
      <c r="CL261" s="530">
        <v>68692</v>
      </c>
      <c r="CM261" s="530">
        <v>61098</v>
      </c>
      <c r="CN261" s="530">
        <v>51839</v>
      </c>
      <c r="CO261" s="530">
        <v>46757</v>
      </c>
      <c r="CP261" s="530">
        <v>40027</v>
      </c>
      <c r="CQ261" s="530">
        <v>35051</v>
      </c>
      <c r="CR261" s="530">
        <v>30090</v>
      </c>
      <c r="CS261" s="530">
        <v>24935</v>
      </c>
      <c r="CT261" s="530">
        <v>20354</v>
      </c>
      <c r="CU261" s="530">
        <v>15960</v>
      </c>
      <c r="CV261" s="530">
        <v>12126</v>
      </c>
      <c r="CW261" s="530">
        <v>8912</v>
      </c>
      <c r="CX261" s="530">
        <v>6672</v>
      </c>
      <c r="CY261" s="530">
        <v>4819</v>
      </c>
      <c r="CZ261" s="530">
        <v>3513</v>
      </c>
      <c r="DA261" s="530">
        <v>8273</v>
      </c>
      <c r="DB261" s="162">
        <f t="shared" si="79"/>
        <v>14793414</v>
      </c>
      <c r="DC261" s="163">
        <f t="shared" si="80"/>
        <v>14.793414</v>
      </c>
      <c r="DD261" s="165">
        <f t="shared" si="82"/>
        <v>1.230588176847279E-2</v>
      </c>
    </row>
    <row r="262" spans="1:108" x14ac:dyDescent="0.2">
      <c r="A262" s="159"/>
      <c r="B262" s="159"/>
      <c r="C262" s="159"/>
      <c r="D262" s="160">
        <f t="shared" si="81"/>
        <v>2031</v>
      </c>
      <c r="E262" s="530">
        <v>153309</v>
      </c>
      <c r="F262" s="530">
        <v>153091</v>
      </c>
      <c r="G262" s="530">
        <v>153675</v>
      </c>
      <c r="H262" s="530">
        <v>154558</v>
      </c>
      <c r="I262" s="530">
        <v>155863</v>
      </c>
      <c r="J262" s="530">
        <v>157437</v>
      </c>
      <c r="K262" s="530">
        <v>158772</v>
      </c>
      <c r="L262" s="530">
        <v>159778</v>
      </c>
      <c r="M262" s="530">
        <v>160212</v>
      </c>
      <c r="N262" s="530">
        <v>165532</v>
      </c>
      <c r="O262" s="530">
        <v>162511</v>
      </c>
      <c r="P262" s="530">
        <v>161285</v>
      </c>
      <c r="Q262" s="530">
        <v>163747</v>
      </c>
      <c r="R262" s="530">
        <v>164836</v>
      </c>
      <c r="S262" s="530">
        <v>167635</v>
      </c>
      <c r="T262" s="530">
        <v>172009</v>
      </c>
      <c r="U262" s="530">
        <v>170711</v>
      </c>
      <c r="V262" s="530">
        <v>173825</v>
      </c>
      <c r="W262" s="530">
        <v>178769</v>
      </c>
      <c r="X262" s="530">
        <v>184691</v>
      </c>
      <c r="Y262" s="530">
        <v>187545</v>
      </c>
      <c r="Z262" s="530">
        <v>192210</v>
      </c>
      <c r="AA262" s="530">
        <v>193993</v>
      </c>
      <c r="AB262" s="530">
        <v>199310</v>
      </c>
      <c r="AC262" s="530">
        <v>200668</v>
      </c>
      <c r="AD262" s="530">
        <v>197047</v>
      </c>
      <c r="AE262" s="530">
        <v>193080</v>
      </c>
      <c r="AF262" s="530">
        <v>190915</v>
      </c>
      <c r="AG262" s="530">
        <v>188246</v>
      </c>
      <c r="AH262" s="530">
        <v>187847</v>
      </c>
      <c r="AI262" s="530">
        <v>193158</v>
      </c>
      <c r="AJ262" s="530">
        <v>195837</v>
      </c>
      <c r="AK262" s="530">
        <v>193044</v>
      </c>
      <c r="AL262" s="530">
        <v>193950</v>
      </c>
      <c r="AM262" s="530">
        <v>198991</v>
      </c>
      <c r="AN262" s="530">
        <v>203657</v>
      </c>
      <c r="AO262" s="530">
        <v>208937</v>
      </c>
      <c r="AP262" s="530">
        <v>209941</v>
      </c>
      <c r="AQ262" s="530">
        <v>211359</v>
      </c>
      <c r="AR262" s="530">
        <v>212514</v>
      </c>
      <c r="AS262" s="530">
        <v>215252</v>
      </c>
      <c r="AT262" s="530">
        <v>214548</v>
      </c>
      <c r="AU262" s="530">
        <v>210832</v>
      </c>
      <c r="AV262" s="530">
        <v>208660</v>
      </c>
      <c r="AW262" s="530">
        <v>206209</v>
      </c>
      <c r="AX262" s="530">
        <v>205337</v>
      </c>
      <c r="AY262" s="530">
        <v>203439</v>
      </c>
      <c r="AZ262" s="530">
        <v>199939</v>
      </c>
      <c r="BA262" s="530">
        <v>197814</v>
      </c>
      <c r="BB262" s="530">
        <v>190666</v>
      </c>
      <c r="BC262" s="530">
        <v>185631</v>
      </c>
      <c r="BD262" s="530">
        <v>176909</v>
      </c>
      <c r="BE262" s="530">
        <v>172890</v>
      </c>
      <c r="BF262" s="530">
        <v>167824</v>
      </c>
      <c r="BG262" s="530">
        <v>165973</v>
      </c>
      <c r="BH262" s="530">
        <v>164752</v>
      </c>
      <c r="BI262" s="530">
        <v>166622</v>
      </c>
      <c r="BJ262" s="530">
        <v>169326</v>
      </c>
      <c r="BK262" s="530">
        <v>173273</v>
      </c>
      <c r="BL262" s="530">
        <v>180022</v>
      </c>
      <c r="BM262" s="530">
        <v>182191</v>
      </c>
      <c r="BN262" s="530">
        <v>170549</v>
      </c>
      <c r="BO262" s="530">
        <v>169023</v>
      </c>
      <c r="BP262" s="530">
        <v>162606</v>
      </c>
      <c r="BQ262" s="530">
        <v>159265</v>
      </c>
      <c r="BR262" s="530">
        <v>158500</v>
      </c>
      <c r="BS262" s="530">
        <v>160045</v>
      </c>
      <c r="BT262" s="530">
        <v>163725</v>
      </c>
      <c r="BU262" s="530">
        <v>164754</v>
      </c>
      <c r="BV262" s="530">
        <v>162346</v>
      </c>
      <c r="BW262" s="530">
        <v>160200</v>
      </c>
      <c r="BX262" s="530">
        <v>153689</v>
      </c>
      <c r="BY262" s="530">
        <v>149007</v>
      </c>
      <c r="BZ262" s="530">
        <v>144255</v>
      </c>
      <c r="CA262" s="530">
        <v>138504</v>
      </c>
      <c r="CB262" s="530">
        <v>133294</v>
      </c>
      <c r="CC262" s="530">
        <v>128139</v>
      </c>
      <c r="CD262" s="530">
        <v>122384</v>
      </c>
      <c r="CE262" s="530">
        <v>118183</v>
      </c>
      <c r="CF262" s="530">
        <v>112126</v>
      </c>
      <c r="CG262" s="530">
        <v>108049</v>
      </c>
      <c r="CH262" s="530">
        <v>103207</v>
      </c>
      <c r="CI262" s="530">
        <v>96719</v>
      </c>
      <c r="CJ262" s="530">
        <v>92720</v>
      </c>
      <c r="CK262" s="530">
        <v>90588</v>
      </c>
      <c r="CL262" s="530">
        <v>71655</v>
      </c>
      <c r="CM262" s="530">
        <v>64742</v>
      </c>
      <c r="CN262" s="530">
        <v>57072</v>
      </c>
      <c r="CO262" s="530">
        <v>47833</v>
      </c>
      <c r="CP262" s="530">
        <v>42623</v>
      </c>
      <c r="CQ262" s="530">
        <v>35984</v>
      </c>
      <c r="CR262" s="530">
        <v>30949</v>
      </c>
      <c r="CS262" s="530">
        <v>26151</v>
      </c>
      <c r="CT262" s="530">
        <v>21195</v>
      </c>
      <c r="CU262" s="530">
        <v>16819</v>
      </c>
      <c r="CV262" s="530">
        <v>12767</v>
      </c>
      <c r="CW262" s="530">
        <v>9399</v>
      </c>
      <c r="CX262" s="530">
        <v>6756</v>
      </c>
      <c r="CY262" s="530">
        <v>4907</v>
      </c>
      <c r="CZ262" s="530">
        <v>3428</v>
      </c>
      <c r="DA262" s="530">
        <v>8497</v>
      </c>
      <c r="DB262" s="162">
        <f t="shared" si="79"/>
        <v>14965258</v>
      </c>
      <c r="DC262" s="163">
        <f t="shared" si="80"/>
        <v>14.965258</v>
      </c>
      <c r="DD262" s="165">
        <f t="shared" si="82"/>
        <v>1.1616250312470138E-2</v>
      </c>
    </row>
    <row r="263" spans="1:108" x14ac:dyDescent="0.2">
      <c r="A263" s="159"/>
      <c r="B263" s="159"/>
      <c r="C263" s="159"/>
      <c r="D263" s="160">
        <f t="shared" si="81"/>
        <v>2032</v>
      </c>
      <c r="E263" s="530">
        <v>154119</v>
      </c>
      <c r="F263" s="530">
        <v>153814</v>
      </c>
      <c r="G263" s="530">
        <v>154316</v>
      </c>
      <c r="H263" s="530">
        <v>155149</v>
      </c>
      <c r="I263" s="530">
        <v>156218</v>
      </c>
      <c r="J263" s="530">
        <v>157610</v>
      </c>
      <c r="K263" s="530">
        <v>159042</v>
      </c>
      <c r="L263" s="530">
        <v>160186</v>
      </c>
      <c r="M263" s="530">
        <v>161115</v>
      </c>
      <c r="N263" s="530">
        <v>161508</v>
      </c>
      <c r="O263" s="530">
        <v>166796</v>
      </c>
      <c r="P263" s="530">
        <v>163760</v>
      </c>
      <c r="Q263" s="530">
        <v>162468</v>
      </c>
      <c r="R263" s="530">
        <v>164882</v>
      </c>
      <c r="S263" s="530">
        <v>166052</v>
      </c>
      <c r="T263" s="530">
        <v>169018</v>
      </c>
      <c r="U263" s="530">
        <v>173540</v>
      </c>
      <c r="V263" s="530">
        <v>172914</v>
      </c>
      <c r="W263" s="530">
        <v>178414</v>
      </c>
      <c r="X263" s="530">
        <v>184967</v>
      </c>
      <c r="Y263" s="530">
        <v>189333</v>
      </c>
      <c r="Z263" s="530">
        <v>190634</v>
      </c>
      <c r="AA263" s="530">
        <v>196345</v>
      </c>
      <c r="AB263" s="530">
        <v>199279</v>
      </c>
      <c r="AC263" s="530">
        <v>203214</v>
      </c>
      <c r="AD263" s="530">
        <v>202951</v>
      </c>
      <c r="AE263" s="530">
        <v>199318</v>
      </c>
      <c r="AF263" s="530">
        <v>195698</v>
      </c>
      <c r="AG263" s="530">
        <v>193665</v>
      </c>
      <c r="AH263" s="530">
        <v>191034</v>
      </c>
      <c r="AI263" s="530">
        <v>190476</v>
      </c>
      <c r="AJ263" s="530">
        <v>195460</v>
      </c>
      <c r="AK263" s="530">
        <v>197872</v>
      </c>
      <c r="AL263" s="530">
        <v>195070</v>
      </c>
      <c r="AM263" s="530">
        <v>195949</v>
      </c>
      <c r="AN263" s="530">
        <v>200806</v>
      </c>
      <c r="AO263" s="530">
        <v>205340</v>
      </c>
      <c r="AP263" s="530">
        <v>210523</v>
      </c>
      <c r="AQ263" s="530">
        <v>211374</v>
      </c>
      <c r="AR263" s="530">
        <v>212653</v>
      </c>
      <c r="AS263" s="530">
        <v>213707</v>
      </c>
      <c r="AT263" s="530">
        <v>216317</v>
      </c>
      <c r="AU263" s="530">
        <v>215452</v>
      </c>
      <c r="AV263" s="530">
        <v>211574</v>
      </c>
      <c r="AW263" s="530">
        <v>209291</v>
      </c>
      <c r="AX263" s="530">
        <v>206779</v>
      </c>
      <c r="AY263" s="530">
        <v>205832</v>
      </c>
      <c r="AZ263" s="530">
        <v>203837</v>
      </c>
      <c r="BA263" s="530">
        <v>200246</v>
      </c>
      <c r="BB263" s="530">
        <v>198061</v>
      </c>
      <c r="BC263" s="530">
        <v>190890</v>
      </c>
      <c r="BD263" s="530">
        <v>185832</v>
      </c>
      <c r="BE263" s="530">
        <v>177102</v>
      </c>
      <c r="BF263" s="530">
        <v>173075</v>
      </c>
      <c r="BG263" s="530">
        <v>168088</v>
      </c>
      <c r="BH263" s="530">
        <v>166359</v>
      </c>
      <c r="BI263" s="530">
        <v>165199</v>
      </c>
      <c r="BJ263" s="530">
        <v>167002</v>
      </c>
      <c r="BK263" s="530">
        <v>169650</v>
      </c>
      <c r="BL263" s="530">
        <v>173637</v>
      </c>
      <c r="BM263" s="530">
        <v>180409</v>
      </c>
      <c r="BN263" s="530">
        <v>182567</v>
      </c>
      <c r="BO263" s="530">
        <v>170947</v>
      </c>
      <c r="BP263" s="530">
        <v>169415</v>
      </c>
      <c r="BQ263" s="530">
        <v>162951</v>
      </c>
      <c r="BR263" s="530">
        <v>159436</v>
      </c>
      <c r="BS263" s="530">
        <v>158487</v>
      </c>
      <c r="BT263" s="530">
        <v>159865</v>
      </c>
      <c r="BU263" s="530">
        <v>163338</v>
      </c>
      <c r="BV263" s="530">
        <v>164208</v>
      </c>
      <c r="BW263" s="530">
        <v>161655</v>
      </c>
      <c r="BX263" s="530">
        <v>159275</v>
      </c>
      <c r="BY263" s="530">
        <v>152637</v>
      </c>
      <c r="BZ263" s="530">
        <v>147833</v>
      </c>
      <c r="CA263" s="530">
        <v>142851</v>
      </c>
      <c r="CB263" s="530">
        <v>136930</v>
      </c>
      <c r="CC263" s="530">
        <v>131538</v>
      </c>
      <c r="CD263" s="530">
        <v>126173</v>
      </c>
      <c r="CE263" s="530">
        <v>120226</v>
      </c>
      <c r="CF263" s="530">
        <v>115736</v>
      </c>
      <c r="CG263" s="530">
        <v>109443</v>
      </c>
      <c r="CH263" s="530">
        <v>105091</v>
      </c>
      <c r="CI263" s="530">
        <v>99940</v>
      </c>
      <c r="CJ263" s="530">
        <v>93095</v>
      </c>
      <c r="CK263" s="530">
        <v>88698</v>
      </c>
      <c r="CL263" s="530">
        <v>86075</v>
      </c>
      <c r="CM263" s="530">
        <v>67544</v>
      </c>
      <c r="CN263" s="530">
        <v>60487</v>
      </c>
      <c r="CO263" s="530">
        <v>52674</v>
      </c>
      <c r="CP263" s="530">
        <v>43616</v>
      </c>
      <c r="CQ263" s="530">
        <v>38331</v>
      </c>
      <c r="CR263" s="530">
        <v>31787</v>
      </c>
      <c r="CS263" s="530">
        <v>26911</v>
      </c>
      <c r="CT263" s="530">
        <v>22240</v>
      </c>
      <c r="CU263" s="530">
        <v>17521</v>
      </c>
      <c r="CV263" s="530">
        <v>13458</v>
      </c>
      <c r="CW263" s="530">
        <v>9897</v>
      </c>
      <c r="CX263" s="530">
        <v>7126</v>
      </c>
      <c r="CY263" s="530">
        <v>4969</v>
      </c>
      <c r="CZ263" s="530">
        <v>3490</v>
      </c>
      <c r="DA263" s="530">
        <v>8614</v>
      </c>
      <c r="DB263" s="162">
        <f t="shared" si="79"/>
        <v>15128296</v>
      </c>
      <c r="DC263" s="163">
        <f t="shared" si="80"/>
        <v>15.128296000000001</v>
      </c>
      <c r="DD263" s="165">
        <f t="shared" si="82"/>
        <v>1.0894432959324874E-2</v>
      </c>
    </row>
    <row r="264" spans="1:108" x14ac:dyDescent="0.2">
      <c r="A264" s="159"/>
      <c r="B264" s="159"/>
      <c r="C264" s="159"/>
      <c r="D264" s="160">
        <f t="shared" si="81"/>
        <v>2033</v>
      </c>
      <c r="E264" s="530">
        <v>155049</v>
      </c>
      <c r="F264" s="530">
        <v>154624</v>
      </c>
      <c r="G264" s="530">
        <v>155039</v>
      </c>
      <c r="H264" s="530">
        <v>155790</v>
      </c>
      <c r="I264" s="530">
        <v>156809</v>
      </c>
      <c r="J264" s="530">
        <v>157965</v>
      </c>
      <c r="K264" s="530">
        <v>159215</v>
      </c>
      <c r="L264" s="530">
        <v>160456</v>
      </c>
      <c r="M264" s="530">
        <v>161523</v>
      </c>
      <c r="N264" s="530">
        <v>162411</v>
      </c>
      <c r="O264" s="530">
        <v>162772</v>
      </c>
      <c r="P264" s="530">
        <v>168045</v>
      </c>
      <c r="Q264" s="530">
        <v>164943</v>
      </c>
      <c r="R264" s="530">
        <v>163603</v>
      </c>
      <c r="S264" s="530">
        <v>166098</v>
      </c>
      <c r="T264" s="530">
        <v>167435</v>
      </c>
      <c r="U264" s="530">
        <v>170549</v>
      </c>
      <c r="V264" s="530">
        <v>175743</v>
      </c>
      <c r="W264" s="530">
        <v>177503</v>
      </c>
      <c r="X264" s="530">
        <v>184612</v>
      </c>
      <c r="Y264" s="530">
        <v>189608</v>
      </c>
      <c r="Z264" s="530">
        <v>192421</v>
      </c>
      <c r="AA264" s="530">
        <v>194772</v>
      </c>
      <c r="AB264" s="530">
        <v>201631</v>
      </c>
      <c r="AC264" s="530">
        <v>203187</v>
      </c>
      <c r="AD264" s="530">
        <v>205496</v>
      </c>
      <c r="AE264" s="530">
        <v>205221</v>
      </c>
      <c r="AF264" s="530">
        <v>201934</v>
      </c>
      <c r="AG264" s="530">
        <v>198447</v>
      </c>
      <c r="AH264" s="530">
        <v>196451</v>
      </c>
      <c r="AI264" s="530">
        <v>193664</v>
      </c>
      <c r="AJ264" s="530">
        <v>192779</v>
      </c>
      <c r="AK264" s="530">
        <v>197496</v>
      </c>
      <c r="AL264" s="530">
        <v>199897</v>
      </c>
      <c r="AM264" s="530">
        <v>197069</v>
      </c>
      <c r="AN264" s="530">
        <v>197765</v>
      </c>
      <c r="AO264" s="530">
        <v>202491</v>
      </c>
      <c r="AP264" s="530">
        <v>206925</v>
      </c>
      <c r="AQ264" s="530">
        <v>211958</v>
      </c>
      <c r="AR264" s="530">
        <v>212668</v>
      </c>
      <c r="AS264" s="530">
        <v>213846</v>
      </c>
      <c r="AT264" s="530">
        <v>214775</v>
      </c>
      <c r="AU264" s="530">
        <v>217220</v>
      </c>
      <c r="AV264" s="530">
        <v>216190</v>
      </c>
      <c r="AW264" s="530">
        <v>212203</v>
      </c>
      <c r="AX264" s="530">
        <v>209858</v>
      </c>
      <c r="AY264" s="530">
        <v>207272</v>
      </c>
      <c r="AZ264" s="530">
        <v>206228</v>
      </c>
      <c r="BA264" s="530">
        <v>204138</v>
      </c>
      <c r="BB264" s="530">
        <v>200489</v>
      </c>
      <c r="BC264" s="530">
        <v>198276</v>
      </c>
      <c r="BD264" s="530">
        <v>191087</v>
      </c>
      <c r="BE264" s="530">
        <v>186012</v>
      </c>
      <c r="BF264" s="530">
        <v>177280</v>
      </c>
      <c r="BG264" s="530">
        <v>173329</v>
      </c>
      <c r="BH264" s="530">
        <v>168470</v>
      </c>
      <c r="BI264" s="530">
        <v>166803</v>
      </c>
      <c r="BJ264" s="530">
        <v>165586</v>
      </c>
      <c r="BK264" s="530">
        <v>167332</v>
      </c>
      <c r="BL264" s="530">
        <v>170027</v>
      </c>
      <c r="BM264" s="530">
        <v>174045</v>
      </c>
      <c r="BN264" s="530">
        <v>180794</v>
      </c>
      <c r="BO264" s="530">
        <v>182919</v>
      </c>
      <c r="BP264" s="530">
        <v>171335</v>
      </c>
      <c r="BQ264" s="530">
        <v>169731</v>
      </c>
      <c r="BR264" s="530">
        <v>163104</v>
      </c>
      <c r="BS264" s="530">
        <v>159423</v>
      </c>
      <c r="BT264" s="530">
        <v>158317</v>
      </c>
      <c r="BU264" s="530">
        <v>159508</v>
      </c>
      <c r="BV264" s="530">
        <v>162805</v>
      </c>
      <c r="BW264" s="530">
        <v>163504</v>
      </c>
      <c r="BX264" s="530">
        <v>160723</v>
      </c>
      <c r="BY264" s="530">
        <v>158175</v>
      </c>
      <c r="BZ264" s="530">
        <v>151430</v>
      </c>
      <c r="CA264" s="530">
        <v>146391</v>
      </c>
      <c r="CB264" s="530">
        <v>141227</v>
      </c>
      <c r="CC264" s="530">
        <v>135128</v>
      </c>
      <c r="CD264" s="530">
        <v>129524</v>
      </c>
      <c r="CE264" s="530">
        <v>123951</v>
      </c>
      <c r="CF264" s="530">
        <v>117744</v>
      </c>
      <c r="CG264" s="530">
        <v>112970</v>
      </c>
      <c r="CH264" s="530">
        <v>106456</v>
      </c>
      <c r="CI264" s="530">
        <v>101774</v>
      </c>
      <c r="CJ264" s="530">
        <v>96206</v>
      </c>
      <c r="CK264" s="530">
        <v>89071</v>
      </c>
      <c r="CL264" s="530">
        <v>84294</v>
      </c>
      <c r="CM264" s="530">
        <v>81147</v>
      </c>
      <c r="CN264" s="530">
        <v>63118</v>
      </c>
      <c r="CO264" s="530">
        <v>55839</v>
      </c>
      <c r="CP264" s="530">
        <v>48044</v>
      </c>
      <c r="CQ264" s="530">
        <v>39240</v>
      </c>
      <c r="CR264" s="530">
        <v>33876</v>
      </c>
      <c r="CS264" s="530">
        <v>27654</v>
      </c>
      <c r="CT264" s="530">
        <v>22896</v>
      </c>
      <c r="CU264" s="530">
        <v>18392</v>
      </c>
      <c r="CV264" s="530">
        <v>14023</v>
      </c>
      <c r="CW264" s="530">
        <v>10433</v>
      </c>
      <c r="CX264" s="530">
        <v>7503</v>
      </c>
      <c r="CY264" s="530">
        <v>5241</v>
      </c>
      <c r="CZ264" s="530">
        <v>3535</v>
      </c>
      <c r="DA264" s="530">
        <v>8753</v>
      </c>
      <c r="DB264" s="162">
        <f t="shared" si="79"/>
        <v>15288728</v>
      </c>
      <c r="DC264" s="163">
        <f t="shared" si="80"/>
        <v>15.288728000000001</v>
      </c>
      <c r="DD264" s="165">
        <f t="shared" si="82"/>
        <v>1.0604763418166865E-2</v>
      </c>
    </row>
    <row r="265" spans="1:108" x14ac:dyDescent="0.2">
      <c r="A265" s="159"/>
      <c r="B265" s="159"/>
      <c r="C265" s="159"/>
      <c r="D265" s="160">
        <f t="shared" si="81"/>
        <v>2034</v>
      </c>
      <c r="E265" s="530">
        <v>156154</v>
      </c>
      <c r="F265" s="530">
        <v>155555</v>
      </c>
      <c r="G265" s="530">
        <v>155849</v>
      </c>
      <c r="H265" s="530">
        <v>156513</v>
      </c>
      <c r="I265" s="530">
        <v>157450</v>
      </c>
      <c r="J265" s="530">
        <v>158556</v>
      </c>
      <c r="K265" s="530">
        <v>159570</v>
      </c>
      <c r="L265" s="530">
        <v>160629</v>
      </c>
      <c r="M265" s="530">
        <v>161793</v>
      </c>
      <c r="N265" s="530">
        <v>162819</v>
      </c>
      <c r="O265" s="530">
        <v>163675</v>
      </c>
      <c r="P265" s="530">
        <v>164021</v>
      </c>
      <c r="Q265" s="530">
        <v>169227</v>
      </c>
      <c r="R265" s="530">
        <v>166078</v>
      </c>
      <c r="S265" s="530">
        <v>164819</v>
      </c>
      <c r="T265" s="530">
        <v>167481</v>
      </c>
      <c r="U265" s="530">
        <v>168966</v>
      </c>
      <c r="V265" s="530">
        <v>172752</v>
      </c>
      <c r="W265" s="530">
        <v>180332</v>
      </c>
      <c r="X265" s="530">
        <v>183701</v>
      </c>
      <c r="Y265" s="530">
        <v>189254</v>
      </c>
      <c r="Z265" s="530">
        <v>192698</v>
      </c>
      <c r="AA265" s="530">
        <v>196558</v>
      </c>
      <c r="AB265" s="530">
        <v>200058</v>
      </c>
      <c r="AC265" s="530">
        <v>205538</v>
      </c>
      <c r="AD265" s="530">
        <v>205469</v>
      </c>
      <c r="AE265" s="530">
        <v>207765</v>
      </c>
      <c r="AF265" s="530">
        <v>207836</v>
      </c>
      <c r="AG265" s="530">
        <v>204681</v>
      </c>
      <c r="AH265" s="530">
        <v>201232</v>
      </c>
      <c r="AI265" s="530">
        <v>199080</v>
      </c>
      <c r="AJ265" s="530">
        <v>195966</v>
      </c>
      <c r="AK265" s="530">
        <v>194815</v>
      </c>
      <c r="AL265" s="530">
        <v>199521</v>
      </c>
      <c r="AM265" s="530">
        <v>201894</v>
      </c>
      <c r="AN265" s="530">
        <v>198885</v>
      </c>
      <c r="AO265" s="530">
        <v>199451</v>
      </c>
      <c r="AP265" s="530">
        <v>204078</v>
      </c>
      <c r="AQ265" s="530">
        <v>208362</v>
      </c>
      <c r="AR265" s="530">
        <v>213251</v>
      </c>
      <c r="AS265" s="530">
        <v>213861</v>
      </c>
      <c r="AT265" s="530">
        <v>214914</v>
      </c>
      <c r="AU265" s="530">
        <v>215681</v>
      </c>
      <c r="AV265" s="530">
        <v>217957</v>
      </c>
      <c r="AW265" s="530">
        <v>216815</v>
      </c>
      <c r="AX265" s="530">
        <v>212769</v>
      </c>
      <c r="AY265" s="530">
        <v>210348</v>
      </c>
      <c r="AZ265" s="530">
        <v>207666</v>
      </c>
      <c r="BA265" s="530">
        <v>206528</v>
      </c>
      <c r="BB265" s="530">
        <v>204376</v>
      </c>
      <c r="BC265" s="530">
        <v>200700</v>
      </c>
      <c r="BD265" s="530">
        <v>198461</v>
      </c>
      <c r="BE265" s="530">
        <v>191258</v>
      </c>
      <c r="BF265" s="530">
        <v>186175</v>
      </c>
      <c r="BG265" s="530">
        <v>177525</v>
      </c>
      <c r="BH265" s="530">
        <v>173701</v>
      </c>
      <c r="BI265" s="530">
        <v>168909</v>
      </c>
      <c r="BJ265" s="530">
        <v>167186</v>
      </c>
      <c r="BK265" s="530">
        <v>165922</v>
      </c>
      <c r="BL265" s="530">
        <v>167718</v>
      </c>
      <c r="BM265" s="530">
        <v>170448</v>
      </c>
      <c r="BN265" s="530">
        <v>174454</v>
      </c>
      <c r="BO265" s="530">
        <v>181154</v>
      </c>
      <c r="BP265" s="530">
        <v>183257</v>
      </c>
      <c r="BQ265" s="530">
        <v>171645</v>
      </c>
      <c r="BR265" s="530">
        <v>169855</v>
      </c>
      <c r="BS265" s="530">
        <v>163072</v>
      </c>
      <c r="BT265" s="530">
        <v>159254</v>
      </c>
      <c r="BU265" s="530">
        <v>157972</v>
      </c>
      <c r="BV265" s="530">
        <v>159006</v>
      </c>
      <c r="BW265" s="530">
        <v>162118</v>
      </c>
      <c r="BX265" s="530">
        <v>162561</v>
      </c>
      <c r="BY265" s="530">
        <v>159614</v>
      </c>
      <c r="BZ265" s="530">
        <v>156917</v>
      </c>
      <c r="CA265" s="530">
        <v>149955</v>
      </c>
      <c r="CB265" s="530">
        <v>144727</v>
      </c>
      <c r="CC265" s="530">
        <v>139368</v>
      </c>
      <c r="CD265" s="530">
        <v>133061</v>
      </c>
      <c r="CE265" s="530">
        <v>127246</v>
      </c>
      <c r="CF265" s="530">
        <v>121399</v>
      </c>
      <c r="CG265" s="530">
        <v>114941</v>
      </c>
      <c r="CH265" s="530">
        <v>109895</v>
      </c>
      <c r="CI265" s="530">
        <v>103108</v>
      </c>
      <c r="CJ265" s="530">
        <v>97984</v>
      </c>
      <c r="CK265" s="530">
        <v>92061</v>
      </c>
      <c r="CL265" s="530">
        <v>84662</v>
      </c>
      <c r="CM265" s="530">
        <v>79483</v>
      </c>
      <c r="CN265" s="530">
        <v>75843</v>
      </c>
      <c r="CO265" s="530">
        <v>58282</v>
      </c>
      <c r="CP265" s="530">
        <v>50946</v>
      </c>
      <c r="CQ265" s="530">
        <v>43240</v>
      </c>
      <c r="CR265" s="530">
        <v>34695</v>
      </c>
      <c r="CS265" s="530">
        <v>29485</v>
      </c>
      <c r="CT265" s="530">
        <v>23540</v>
      </c>
      <c r="CU265" s="530">
        <v>18941</v>
      </c>
      <c r="CV265" s="530">
        <v>14724</v>
      </c>
      <c r="CW265" s="530">
        <v>10872</v>
      </c>
      <c r="CX265" s="530">
        <v>7910</v>
      </c>
      <c r="CY265" s="530">
        <v>5519</v>
      </c>
      <c r="CZ265" s="530">
        <v>3728</v>
      </c>
      <c r="DA265" s="530">
        <v>8897</v>
      </c>
      <c r="DB265" s="162">
        <f t="shared" si="79"/>
        <v>15446641</v>
      </c>
      <c r="DC265" s="163">
        <f t="shared" si="80"/>
        <v>15.446641</v>
      </c>
      <c r="DD265" s="165">
        <f t="shared" si="82"/>
        <v>1.0328720610373789E-2</v>
      </c>
    </row>
    <row r="266" spans="1:108" x14ac:dyDescent="0.2">
      <c r="A266" s="159"/>
      <c r="B266" s="159"/>
      <c r="C266" s="159"/>
      <c r="D266" s="160">
        <f t="shared" si="81"/>
        <v>2035</v>
      </c>
      <c r="E266" s="530">
        <v>157430</v>
      </c>
      <c r="F266" s="530">
        <v>156660</v>
      </c>
      <c r="G266" s="530">
        <v>156781</v>
      </c>
      <c r="H266" s="530">
        <v>157323</v>
      </c>
      <c r="I266" s="530">
        <v>158173</v>
      </c>
      <c r="J266" s="530">
        <v>159197</v>
      </c>
      <c r="K266" s="530">
        <v>160161</v>
      </c>
      <c r="L266" s="530">
        <v>160984</v>
      </c>
      <c r="M266" s="530">
        <v>161966</v>
      </c>
      <c r="N266" s="530">
        <v>163089</v>
      </c>
      <c r="O266" s="530">
        <v>164083</v>
      </c>
      <c r="P266" s="530">
        <v>164924</v>
      </c>
      <c r="Q266" s="530">
        <v>165204</v>
      </c>
      <c r="R266" s="530">
        <v>170362</v>
      </c>
      <c r="S266" s="530">
        <v>167294</v>
      </c>
      <c r="T266" s="530">
        <v>166202</v>
      </c>
      <c r="U266" s="530">
        <v>169012</v>
      </c>
      <c r="V266" s="530">
        <v>171170</v>
      </c>
      <c r="W266" s="530">
        <v>177341</v>
      </c>
      <c r="X266" s="530">
        <v>186531</v>
      </c>
      <c r="Y266" s="530">
        <v>188343</v>
      </c>
      <c r="Z266" s="530">
        <v>192344</v>
      </c>
      <c r="AA266" s="530">
        <v>196835</v>
      </c>
      <c r="AB266" s="530">
        <v>201844</v>
      </c>
      <c r="AC266" s="530">
        <v>203966</v>
      </c>
      <c r="AD266" s="530">
        <v>207819</v>
      </c>
      <c r="AE266" s="530">
        <v>207739</v>
      </c>
      <c r="AF266" s="530">
        <v>210379</v>
      </c>
      <c r="AG266" s="530">
        <v>210582</v>
      </c>
      <c r="AH266" s="530">
        <v>207468</v>
      </c>
      <c r="AI266" s="530">
        <v>203860</v>
      </c>
      <c r="AJ266" s="530">
        <v>201381</v>
      </c>
      <c r="AK266" s="530">
        <v>198001</v>
      </c>
      <c r="AL266" s="530">
        <v>196841</v>
      </c>
      <c r="AM266" s="530">
        <v>201520</v>
      </c>
      <c r="AN266" s="530">
        <v>203710</v>
      </c>
      <c r="AO266" s="530">
        <v>200571</v>
      </c>
      <c r="AP266" s="530">
        <v>201039</v>
      </c>
      <c r="AQ266" s="530">
        <v>205517</v>
      </c>
      <c r="AR266" s="530">
        <v>209657</v>
      </c>
      <c r="AS266" s="530">
        <v>214443</v>
      </c>
      <c r="AT266" s="530">
        <v>214929</v>
      </c>
      <c r="AU266" s="530">
        <v>215820</v>
      </c>
      <c r="AV266" s="530">
        <v>216419</v>
      </c>
      <c r="AW266" s="530">
        <v>218580</v>
      </c>
      <c r="AX266" s="530">
        <v>217376</v>
      </c>
      <c r="AY266" s="530">
        <v>213258</v>
      </c>
      <c r="AZ266" s="530">
        <v>210740</v>
      </c>
      <c r="BA266" s="530">
        <v>207964</v>
      </c>
      <c r="BB266" s="530">
        <v>206764</v>
      </c>
      <c r="BC266" s="530">
        <v>204582</v>
      </c>
      <c r="BD266" s="530">
        <v>200883</v>
      </c>
      <c r="BE266" s="530">
        <v>198621</v>
      </c>
      <c r="BF266" s="530">
        <v>191411</v>
      </c>
      <c r="BG266" s="530">
        <v>186403</v>
      </c>
      <c r="BH266" s="530">
        <v>177888</v>
      </c>
      <c r="BI266" s="530">
        <v>174130</v>
      </c>
      <c r="BJ266" s="530">
        <v>169288</v>
      </c>
      <c r="BK266" s="530">
        <v>167519</v>
      </c>
      <c r="BL266" s="530">
        <v>166311</v>
      </c>
      <c r="BM266" s="530">
        <v>168150</v>
      </c>
      <c r="BN266" s="530">
        <v>170869</v>
      </c>
      <c r="BO266" s="530">
        <v>174841</v>
      </c>
      <c r="BP266" s="530">
        <v>181505</v>
      </c>
      <c r="BQ266" s="530">
        <v>183514</v>
      </c>
      <c r="BR266" s="530">
        <v>171761</v>
      </c>
      <c r="BS266" s="530">
        <v>169788</v>
      </c>
      <c r="BT266" s="530">
        <v>162884</v>
      </c>
      <c r="BU266" s="530">
        <v>158907</v>
      </c>
      <c r="BV266" s="530">
        <v>157485</v>
      </c>
      <c r="BW266" s="530">
        <v>158351</v>
      </c>
      <c r="BX266" s="530">
        <v>161190</v>
      </c>
      <c r="BY266" s="530">
        <v>161441</v>
      </c>
      <c r="BZ266" s="530">
        <v>158346</v>
      </c>
      <c r="CA266" s="530">
        <v>155382</v>
      </c>
      <c r="CB266" s="530">
        <v>148250</v>
      </c>
      <c r="CC266" s="530">
        <v>142824</v>
      </c>
      <c r="CD266" s="530">
        <v>137238</v>
      </c>
      <c r="CE266" s="530">
        <v>130726</v>
      </c>
      <c r="CF266" s="530">
        <v>124631</v>
      </c>
      <c r="CG266" s="530">
        <v>118515</v>
      </c>
      <c r="CH266" s="530">
        <v>111822</v>
      </c>
      <c r="CI266" s="530">
        <v>106449</v>
      </c>
      <c r="CJ266" s="530">
        <v>99283</v>
      </c>
      <c r="CK266" s="530">
        <v>93774</v>
      </c>
      <c r="CL266" s="530">
        <v>87517</v>
      </c>
      <c r="CM266" s="530">
        <v>79845</v>
      </c>
      <c r="CN266" s="530">
        <v>74303</v>
      </c>
      <c r="CO266" s="530">
        <v>70048</v>
      </c>
      <c r="CP266" s="530">
        <v>53191</v>
      </c>
      <c r="CQ266" s="530">
        <v>45868</v>
      </c>
      <c r="CR266" s="530">
        <v>38249</v>
      </c>
      <c r="CS266" s="530">
        <v>30212</v>
      </c>
      <c r="CT266" s="530">
        <v>25110</v>
      </c>
      <c r="CU266" s="530">
        <v>19483</v>
      </c>
      <c r="CV266" s="530">
        <v>15166</v>
      </c>
      <c r="CW266" s="530">
        <v>11416</v>
      </c>
      <c r="CX266" s="530">
        <v>8243</v>
      </c>
      <c r="CY266" s="530">
        <v>5818</v>
      </c>
      <c r="CZ266" s="530">
        <v>3926</v>
      </c>
      <c r="DA266" s="530">
        <v>9147</v>
      </c>
      <c r="DB266" s="162">
        <f t="shared" si="79"/>
        <v>15602100</v>
      </c>
      <c r="DC266" s="163">
        <f t="shared" si="80"/>
        <v>15.6021</v>
      </c>
      <c r="DD266" s="165">
        <f t="shared" si="82"/>
        <v>1.0064259278117518E-2</v>
      </c>
    </row>
    <row r="267" spans="1:108" x14ac:dyDescent="0.2">
      <c r="A267" s="159"/>
      <c r="B267" s="159"/>
      <c r="C267" s="159"/>
      <c r="D267" s="160">
        <f t="shared" si="81"/>
        <v>2036</v>
      </c>
      <c r="E267" s="530">
        <v>158846</v>
      </c>
      <c r="F267" s="530">
        <v>157935</v>
      </c>
      <c r="G267" s="530">
        <v>157886</v>
      </c>
      <c r="H267" s="530">
        <v>158255</v>
      </c>
      <c r="I267" s="530">
        <v>158983</v>
      </c>
      <c r="J267" s="530">
        <v>159920</v>
      </c>
      <c r="K267" s="530">
        <v>160802</v>
      </c>
      <c r="L267" s="530">
        <v>161575</v>
      </c>
      <c r="M267" s="530">
        <v>162321</v>
      </c>
      <c r="N267" s="530">
        <v>163262</v>
      </c>
      <c r="O267" s="530">
        <v>164353</v>
      </c>
      <c r="P267" s="530">
        <v>165332</v>
      </c>
      <c r="Q267" s="530">
        <v>166107</v>
      </c>
      <c r="R267" s="530">
        <v>166339</v>
      </c>
      <c r="S267" s="530">
        <v>171577</v>
      </c>
      <c r="T267" s="530">
        <v>168677</v>
      </c>
      <c r="U267" s="530">
        <v>167733</v>
      </c>
      <c r="V267" s="530">
        <v>171214</v>
      </c>
      <c r="W267" s="530">
        <v>175760</v>
      </c>
      <c r="X267" s="530">
        <v>183543</v>
      </c>
      <c r="Y267" s="530">
        <v>191172</v>
      </c>
      <c r="Z267" s="530">
        <v>191433</v>
      </c>
      <c r="AA267" s="530">
        <v>196481</v>
      </c>
      <c r="AB267" s="530">
        <v>202121</v>
      </c>
      <c r="AC267" s="530">
        <v>205751</v>
      </c>
      <c r="AD267" s="530">
        <v>206248</v>
      </c>
      <c r="AE267" s="530">
        <v>210088</v>
      </c>
      <c r="AF267" s="530">
        <v>210353</v>
      </c>
      <c r="AG267" s="530">
        <v>213124</v>
      </c>
      <c r="AH267" s="530">
        <v>213368</v>
      </c>
      <c r="AI267" s="530">
        <v>210094</v>
      </c>
      <c r="AJ267" s="530">
        <v>206160</v>
      </c>
      <c r="AK267" s="530">
        <v>203415</v>
      </c>
      <c r="AL267" s="530">
        <v>200026</v>
      </c>
      <c r="AM267" s="530">
        <v>198841</v>
      </c>
      <c r="AN267" s="530">
        <v>203334</v>
      </c>
      <c r="AO267" s="530">
        <v>205393</v>
      </c>
      <c r="AP267" s="530">
        <v>202161</v>
      </c>
      <c r="AQ267" s="530">
        <v>202479</v>
      </c>
      <c r="AR267" s="530">
        <v>206816</v>
      </c>
      <c r="AS267" s="530">
        <v>210854</v>
      </c>
      <c r="AT267" s="530">
        <v>215510</v>
      </c>
      <c r="AU267" s="530">
        <v>215835</v>
      </c>
      <c r="AV267" s="530">
        <v>216560</v>
      </c>
      <c r="AW267" s="530">
        <v>217043</v>
      </c>
      <c r="AX267" s="530">
        <v>219140</v>
      </c>
      <c r="AY267" s="530">
        <v>217860</v>
      </c>
      <c r="AZ267" s="530">
        <v>213647</v>
      </c>
      <c r="BA267" s="530">
        <v>211034</v>
      </c>
      <c r="BB267" s="530">
        <v>208198</v>
      </c>
      <c r="BC267" s="530">
        <v>206968</v>
      </c>
      <c r="BD267" s="530">
        <v>204759</v>
      </c>
      <c r="BE267" s="530">
        <v>201039</v>
      </c>
      <c r="BF267" s="530">
        <v>198761</v>
      </c>
      <c r="BG267" s="530">
        <v>191630</v>
      </c>
      <c r="BH267" s="530">
        <v>186749</v>
      </c>
      <c r="BI267" s="530">
        <v>178307</v>
      </c>
      <c r="BJ267" s="530">
        <v>174497</v>
      </c>
      <c r="BK267" s="530">
        <v>169617</v>
      </c>
      <c r="BL267" s="530">
        <v>167906</v>
      </c>
      <c r="BM267" s="530">
        <v>166748</v>
      </c>
      <c r="BN267" s="530">
        <v>168584</v>
      </c>
      <c r="BO267" s="530">
        <v>171273</v>
      </c>
      <c r="BP267" s="530">
        <v>175218</v>
      </c>
      <c r="BQ267" s="530">
        <v>181771</v>
      </c>
      <c r="BR267" s="530">
        <v>183574</v>
      </c>
      <c r="BS267" s="530">
        <v>171687</v>
      </c>
      <c r="BT267" s="530">
        <v>169564</v>
      </c>
      <c r="BU267" s="530">
        <v>162516</v>
      </c>
      <c r="BV267" s="530">
        <v>158417</v>
      </c>
      <c r="BW267" s="530">
        <v>156846</v>
      </c>
      <c r="BX267" s="530">
        <v>157463</v>
      </c>
      <c r="BY267" s="530">
        <v>160087</v>
      </c>
      <c r="BZ267" s="530">
        <v>160161</v>
      </c>
      <c r="CA267" s="530">
        <v>156799</v>
      </c>
      <c r="CB267" s="530">
        <v>153614</v>
      </c>
      <c r="CC267" s="530">
        <v>146303</v>
      </c>
      <c r="CD267" s="530">
        <v>140647</v>
      </c>
      <c r="CE267" s="530">
        <v>134834</v>
      </c>
      <c r="CF267" s="530">
        <v>128046</v>
      </c>
      <c r="CG267" s="530">
        <v>121677</v>
      </c>
      <c r="CH267" s="530">
        <v>115308</v>
      </c>
      <c r="CI267" s="530">
        <v>108327</v>
      </c>
      <c r="CJ267" s="530">
        <v>102511</v>
      </c>
      <c r="CK267" s="530">
        <v>95030</v>
      </c>
      <c r="CL267" s="530">
        <v>89162</v>
      </c>
      <c r="CM267" s="530">
        <v>82552</v>
      </c>
      <c r="CN267" s="530">
        <v>74656</v>
      </c>
      <c r="CO267" s="530">
        <v>68642</v>
      </c>
      <c r="CP267" s="530">
        <v>63948</v>
      </c>
      <c r="CQ267" s="530">
        <v>47908</v>
      </c>
      <c r="CR267" s="530">
        <v>40592</v>
      </c>
      <c r="CS267" s="530">
        <v>33323</v>
      </c>
      <c r="CT267" s="530">
        <v>25741</v>
      </c>
      <c r="CU267" s="530">
        <v>20790</v>
      </c>
      <c r="CV267" s="530">
        <v>15604</v>
      </c>
      <c r="CW267" s="530">
        <v>11759</v>
      </c>
      <c r="CX267" s="530">
        <v>8656</v>
      </c>
      <c r="CY267" s="530">
        <v>6063</v>
      </c>
      <c r="CZ267" s="530">
        <v>4139</v>
      </c>
      <c r="DA267" s="530">
        <v>9479</v>
      </c>
      <c r="DB267" s="162">
        <f t="shared" si="79"/>
        <v>15755211</v>
      </c>
      <c r="DC267" s="163">
        <f t="shared" si="80"/>
        <v>15.755210999999999</v>
      </c>
      <c r="DD267" s="165">
        <f t="shared" si="82"/>
        <v>9.8134866460283625E-3</v>
      </c>
    </row>
    <row r="268" spans="1:108" x14ac:dyDescent="0.2">
      <c r="A268" s="159"/>
      <c r="B268" s="159"/>
      <c r="C268" s="159"/>
      <c r="D268" s="160">
        <f t="shared" si="81"/>
        <v>2037</v>
      </c>
      <c r="E268" s="530">
        <v>160358</v>
      </c>
      <c r="F268" s="530">
        <v>159351</v>
      </c>
      <c r="G268" s="530">
        <v>159161</v>
      </c>
      <c r="H268" s="530">
        <v>159360</v>
      </c>
      <c r="I268" s="530">
        <v>159915</v>
      </c>
      <c r="J268" s="530">
        <v>160730</v>
      </c>
      <c r="K268" s="530">
        <v>161525</v>
      </c>
      <c r="L268" s="530">
        <v>162216</v>
      </c>
      <c r="M268" s="530">
        <v>162912</v>
      </c>
      <c r="N268" s="530">
        <v>163617</v>
      </c>
      <c r="O268" s="530">
        <v>164526</v>
      </c>
      <c r="P268" s="530">
        <v>165602</v>
      </c>
      <c r="Q268" s="530">
        <v>166515</v>
      </c>
      <c r="R268" s="530">
        <v>167242</v>
      </c>
      <c r="S268" s="530">
        <v>167554</v>
      </c>
      <c r="T268" s="530">
        <v>172959</v>
      </c>
      <c r="U268" s="530">
        <v>170208</v>
      </c>
      <c r="V268" s="530">
        <v>169935</v>
      </c>
      <c r="W268" s="530">
        <v>175804</v>
      </c>
      <c r="X268" s="530">
        <v>181962</v>
      </c>
      <c r="Y268" s="530">
        <v>188185</v>
      </c>
      <c r="Z268" s="530">
        <v>194262</v>
      </c>
      <c r="AA268" s="530">
        <v>195570</v>
      </c>
      <c r="AB268" s="530">
        <v>201767</v>
      </c>
      <c r="AC268" s="530">
        <v>206028</v>
      </c>
      <c r="AD268" s="530">
        <v>208032</v>
      </c>
      <c r="AE268" s="530">
        <v>208517</v>
      </c>
      <c r="AF268" s="530">
        <v>212702</v>
      </c>
      <c r="AG268" s="530">
        <v>213098</v>
      </c>
      <c r="AH268" s="530">
        <v>215909</v>
      </c>
      <c r="AI268" s="530">
        <v>215993</v>
      </c>
      <c r="AJ268" s="530">
        <v>212392</v>
      </c>
      <c r="AK268" s="530">
        <v>208192</v>
      </c>
      <c r="AL268" s="530">
        <v>205438</v>
      </c>
      <c r="AM268" s="530">
        <v>202025</v>
      </c>
      <c r="AN268" s="530">
        <v>200656</v>
      </c>
      <c r="AO268" s="530">
        <v>205018</v>
      </c>
      <c r="AP268" s="530">
        <v>206983</v>
      </c>
      <c r="AQ268" s="530">
        <v>203601</v>
      </c>
      <c r="AR268" s="530">
        <v>203780</v>
      </c>
      <c r="AS268" s="530">
        <v>208014</v>
      </c>
      <c r="AT268" s="530">
        <v>211924</v>
      </c>
      <c r="AU268" s="530">
        <v>216418</v>
      </c>
      <c r="AV268" s="530">
        <v>216575</v>
      </c>
      <c r="AW268" s="530">
        <v>217184</v>
      </c>
      <c r="AX268" s="530">
        <v>217604</v>
      </c>
      <c r="AY268" s="530">
        <v>219622</v>
      </c>
      <c r="AZ268" s="530">
        <v>218244</v>
      </c>
      <c r="BA268" s="530">
        <v>213939</v>
      </c>
      <c r="BB268" s="530">
        <v>211264</v>
      </c>
      <c r="BC268" s="530">
        <v>208400</v>
      </c>
      <c r="BD268" s="530">
        <v>207141</v>
      </c>
      <c r="BE268" s="530">
        <v>204908</v>
      </c>
      <c r="BF268" s="530">
        <v>201172</v>
      </c>
      <c r="BG268" s="530">
        <v>198967</v>
      </c>
      <c r="BH268" s="530">
        <v>191965</v>
      </c>
      <c r="BI268" s="530">
        <v>187149</v>
      </c>
      <c r="BJ268" s="530">
        <v>178663</v>
      </c>
      <c r="BK268" s="530">
        <v>174811</v>
      </c>
      <c r="BL268" s="530">
        <v>169999</v>
      </c>
      <c r="BM268" s="530">
        <v>168339</v>
      </c>
      <c r="BN268" s="530">
        <v>167189</v>
      </c>
      <c r="BO268" s="530">
        <v>168997</v>
      </c>
      <c r="BP268" s="530">
        <v>171668</v>
      </c>
      <c r="BQ268" s="530">
        <v>175516</v>
      </c>
      <c r="BR268" s="530">
        <v>181839</v>
      </c>
      <c r="BS268" s="530">
        <v>183438</v>
      </c>
      <c r="BT268" s="530">
        <v>171452</v>
      </c>
      <c r="BU268" s="530">
        <v>169156</v>
      </c>
      <c r="BV268" s="530">
        <v>162002</v>
      </c>
      <c r="BW268" s="530">
        <v>157774</v>
      </c>
      <c r="BX268" s="530">
        <v>155974</v>
      </c>
      <c r="BY268" s="530">
        <v>156400</v>
      </c>
      <c r="BZ268" s="530">
        <v>158824</v>
      </c>
      <c r="CA268" s="530">
        <v>158600</v>
      </c>
      <c r="CB268" s="530">
        <v>155019</v>
      </c>
      <c r="CC268" s="530">
        <v>151595</v>
      </c>
      <c r="CD268" s="530">
        <v>144074</v>
      </c>
      <c r="CE268" s="530">
        <v>138184</v>
      </c>
      <c r="CF268" s="530">
        <v>132073</v>
      </c>
      <c r="CG268" s="530">
        <v>125018</v>
      </c>
      <c r="CH268" s="530">
        <v>118391</v>
      </c>
      <c r="CI268" s="530">
        <v>111711</v>
      </c>
      <c r="CJ268" s="530">
        <v>104328</v>
      </c>
      <c r="CK268" s="530">
        <v>98130</v>
      </c>
      <c r="CL268" s="530">
        <v>90365</v>
      </c>
      <c r="CM268" s="530">
        <v>84114</v>
      </c>
      <c r="CN268" s="530">
        <v>77199</v>
      </c>
      <c r="CO268" s="530">
        <v>68982</v>
      </c>
      <c r="CP268" s="530">
        <v>62679</v>
      </c>
      <c r="CQ268" s="530">
        <v>57611</v>
      </c>
      <c r="CR268" s="530">
        <v>42413</v>
      </c>
      <c r="CS268" s="530">
        <v>35377</v>
      </c>
      <c r="CT268" s="530">
        <v>28402</v>
      </c>
      <c r="CU268" s="530">
        <v>21320</v>
      </c>
      <c r="CV268" s="530">
        <v>16654</v>
      </c>
      <c r="CW268" s="530">
        <v>12099</v>
      </c>
      <c r="CX268" s="530">
        <v>8916</v>
      </c>
      <c r="CY268" s="530">
        <v>6367</v>
      </c>
      <c r="CZ268" s="530">
        <v>4313</v>
      </c>
      <c r="DA268" s="530">
        <v>9873</v>
      </c>
      <c r="DB268" s="162">
        <f t="shared" si="79"/>
        <v>15905938</v>
      </c>
      <c r="DC268" s="163">
        <f t="shared" si="80"/>
        <v>15.905938000000001</v>
      </c>
      <c r="DD268" s="165">
        <f t="shared" si="82"/>
        <v>9.5668030088585689E-3</v>
      </c>
    </row>
    <row r="269" spans="1:108" x14ac:dyDescent="0.2">
      <c r="A269" s="159"/>
      <c r="B269" s="159"/>
      <c r="C269" s="159"/>
      <c r="D269" s="160">
        <f t="shared" si="81"/>
        <v>2038</v>
      </c>
      <c r="E269" s="530">
        <v>161927</v>
      </c>
      <c r="F269" s="530">
        <v>160862</v>
      </c>
      <c r="G269" s="530">
        <v>160577</v>
      </c>
      <c r="H269" s="530">
        <v>160635</v>
      </c>
      <c r="I269" s="530">
        <v>161020</v>
      </c>
      <c r="J269" s="530">
        <v>161662</v>
      </c>
      <c r="K269" s="530">
        <v>162335</v>
      </c>
      <c r="L269" s="530">
        <v>162939</v>
      </c>
      <c r="M269" s="530">
        <v>163553</v>
      </c>
      <c r="N269" s="530">
        <v>164208</v>
      </c>
      <c r="O269" s="530">
        <v>164881</v>
      </c>
      <c r="P269" s="530">
        <v>165775</v>
      </c>
      <c r="Q269" s="530">
        <v>166785</v>
      </c>
      <c r="R269" s="530">
        <v>167650</v>
      </c>
      <c r="S269" s="530">
        <v>168457</v>
      </c>
      <c r="T269" s="530">
        <v>168937</v>
      </c>
      <c r="U269" s="530">
        <v>174489</v>
      </c>
      <c r="V269" s="530">
        <v>172410</v>
      </c>
      <c r="W269" s="530">
        <v>174525</v>
      </c>
      <c r="X269" s="530">
        <v>182006</v>
      </c>
      <c r="Y269" s="530">
        <v>186604</v>
      </c>
      <c r="Z269" s="530">
        <v>191276</v>
      </c>
      <c r="AA269" s="530">
        <v>198399</v>
      </c>
      <c r="AB269" s="530">
        <v>200856</v>
      </c>
      <c r="AC269" s="530">
        <v>205674</v>
      </c>
      <c r="AD269" s="530">
        <v>208311</v>
      </c>
      <c r="AE269" s="530">
        <v>210301</v>
      </c>
      <c r="AF269" s="530">
        <v>211131</v>
      </c>
      <c r="AG269" s="530">
        <v>215446</v>
      </c>
      <c r="AH269" s="530">
        <v>215883</v>
      </c>
      <c r="AI269" s="530">
        <v>218533</v>
      </c>
      <c r="AJ269" s="530">
        <v>218290</v>
      </c>
      <c r="AK269" s="530">
        <v>214422</v>
      </c>
      <c r="AL269" s="530">
        <v>210214</v>
      </c>
      <c r="AM269" s="530">
        <v>207435</v>
      </c>
      <c r="AN269" s="530">
        <v>203839</v>
      </c>
      <c r="AO269" s="530">
        <v>202341</v>
      </c>
      <c r="AP269" s="530">
        <v>206608</v>
      </c>
      <c r="AQ269" s="530">
        <v>208420</v>
      </c>
      <c r="AR269" s="530">
        <v>204901</v>
      </c>
      <c r="AS269" s="530">
        <v>204980</v>
      </c>
      <c r="AT269" s="530">
        <v>209086</v>
      </c>
      <c r="AU269" s="530">
        <v>212834</v>
      </c>
      <c r="AV269" s="530">
        <v>217158</v>
      </c>
      <c r="AW269" s="530">
        <v>217201</v>
      </c>
      <c r="AX269" s="530">
        <v>217745</v>
      </c>
      <c r="AY269" s="530">
        <v>218088</v>
      </c>
      <c r="AZ269" s="530">
        <v>220003</v>
      </c>
      <c r="BA269" s="530">
        <v>218530</v>
      </c>
      <c r="BB269" s="530">
        <v>214169</v>
      </c>
      <c r="BC269" s="530">
        <v>211461</v>
      </c>
      <c r="BD269" s="530">
        <v>208573</v>
      </c>
      <c r="BE269" s="530">
        <v>207286</v>
      </c>
      <c r="BF269" s="530">
        <v>205038</v>
      </c>
      <c r="BG269" s="530">
        <v>201373</v>
      </c>
      <c r="BH269" s="530">
        <v>199288</v>
      </c>
      <c r="BI269" s="530">
        <v>192352</v>
      </c>
      <c r="BJ269" s="530">
        <v>187483</v>
      </c>
      <c r="BK269" s="530">
        <v>178967</v>
      </c>
      <c r="BL269" s="530">
        <v>175181</v>
      </c>
      <c r="BM269" s="530">
        <v>170427</v>
      </c>
      <c r="BN269" s="530">
        <v>168776</v>
      </c>
      <c r="BO269" s="530">
        <v>167609</v>
      </c>
      <c r="BP269" s="530">
        <v>169401</v>
      </c>
      <c r="BQ269" s="530">
        <v>171984</v>
      </c>
      <c r="BR269" s="530">
        <v>175619</v>
      </c>
      <c r="BS269" s="530">
        <v>181718</v>
      </c>
      <c r="BT269" s="530">
        <v>183140</v>
      </c>
      <c r="BU269" s="530">
        <v>171034</v>
      </c>
      <c r="BV269" s="530">
        <v>168600</v>
      </c>
      <c r="BW269" s="530">
        <v>161335</v>
      </c>
      <c r="BX269" s="530">
        <v>156897</v>
      </c>
      <c r="BY269" s="530">
        <v>154927</v>
      </c>
      <c r="BZ269" s="530">
        <v>155178</v>
      </c>
      <c r="CA269" s="530">
        <v>157283</v>
      </c>
      <c r="CB269" s="530">
        <v>156802</v>
      </c>
      <c r="CC269" s="530">
        <v>152986</v>
      </c>
      <c r="CD269" s="530">
        <v>149284</v>
      </c>
      <c r="CE269" s="530">
        <v>141556</v>
      </c>
      <c r="CF269" s="530">
        <v>135359</v>
      </c>
      <c r="CG269" s="530">
        <v>128953</v>
      </c>
      <c r="CH269" s="530">
        <v>121648</v>
      </c>
      <c r="CI269" s="530">
        <v>114706</v>
      </c>
      <c r="CJ269" s="530">
        <v>107596</v>
      </c>
      <c r="CK269" s="530">
        <v>99881</v>
      </c>
      <c r="CL269" s="530">
        <v>93324</v>
      </c>
      <c r="CM269" s="530">
        <v>85261</v>
      </c>
      <c r="CN269" s="530">
        <v>78671</v>
      </c>
      <c r="CO269" s="530">
        <v>71345</v>
      </c>
      <c r="CP269" s="530">
        <v>63002</v>
      </c>
      <c r="CQ269" s="530">
        <v>56485</v>
      </c>
      <c r="CR269" s="530">
        <v>51020</v>
      </c>
      <c r="CS269" s="530">
        <v>36977</v>
      </c>
      <c r="CT269" s="530">
        <v>30163</v>
      </c>
      <c r="CU269" s="530">
        <v>23530</v>
      </c>
      <c r="CV269" s="530">
        <v>17081</v>
      </c>
      <c r="CW269" s="530">
        <v>12915</v>
      </c>
      <c r="CX269" s="530">
        <v>9174</v>
      </c>
      <c r="CY269" s="530">
        <v>6558</v>
      </c>
      <c r="CZ269" s="530">
        <v>4529</v>
      </c>
      <c r="DA269" s="530">
        <v>10286</v>
      </c>
      <c r="DB269" s="162">
        <f t="shared" si="79"/>
        <v>16054333</v>
      </c>
      <c r="DC269" s="163">
        <f t="shared" si="80"/>
        <v>16.054333</v>
      </c>
      <c r="DD269" s="165">
        <f t="shared" si="82"/>
        <v>9.3295346681219887E-3</v>
      </c>
    </row>
    <row r="270" spans="1:108" ht="12.75" customHeight="1" x14ac:dyDescent="0.2">
      <c r="D270" s="160">
        <f t="shared" si="81"/>
        <v>2039</v>
      </c>
      <c r="E270" s="530">
        <v>163503</v>
      </c>
      <c r="F270" s="530">
        <v>162430</v>
      </c>
      <c r="G270" s="530">
        <v>162088</v>
      </c>
      <c r="H270" s="530">
        <v>162050</v>
      </c>
      <c r="I270" s="530">
        <v>162295</v>
      </c>
      <c r="J270" s="530">
        <v>162767</v>
      </c>
      <c r="K270" s="530">
        <v>163267</v>
      </c>
      <c r="L270" s="530">
        <v>163749</v>
      </c>
      <c r="M270" s="530">
        <v>164276</v>
      </c>
      <c r="N270" s="530">
        <v>164849</v>
      </c>
      <c r="O270" s="530">
        <v>165472</v>
      </c>
      <c r="P270" s="530">
        <v>166130</v>
      </c>
      <c r="Q270" s="530">
        <v>166958</v>
      </c>
      <c r="R270" s="530">
        <v>167922</v>
      </c>
      <c r="S270" s="530">
        <v>168865</v>
      </c>
      <c r="T270" s="530">
        <v>169840</v>
      </c>
      <c r="U270" s="530">
        <v>170468</v>
      </c>
      <c r="V270" s="530">
        <v>176690</v>
      </c>
      <c r="W270" s="530">
        <v>176999</v>
      </c>
      <c r="X270" s="530">
        <v>180727</v>
      </c>
      <c r="Y270" s="530">
        <v>186648</v>
      </c>
      <c r="Z270" s="530">
        <v>189695</v>
      </c>
      <c r="AA270" s="530">
        <v>195413</v>
      </c>
      <c r="AB270" s="530">
        <v>203684</v>
      </c>
      <c r="AC270" s="530">
        <v>204763</v>
      </c>
      <c r="AD270" s="530">
        <v>207957</v>
      </c>
      <c r="AE270" s="530">
        <v>210580</v>
      </c>
      <c r="AF270" s="530">
        <v>212915</v>
      </c>
      <c r="AG270" s="530">
        <v>213876</v>
      </c>
      <c r="AH270" s="530">
        <v>218231</v>
      </c>
      <c r="AI270" s="530">
        <v>218507</v>
      </c>
      <c r="AJ270" s="530">
        <v>220829</v>
      </c>
      <c r="AK270" s="530">
        <v>220319</v>
      </c>
      <c r="AL270" s="530">
        <v>216442</v>
      </c>
      <c r="AM270" s="530">
        <v>212210</v>
      </c>
      <c r="AN270" s="530">
        <v>209247</v>
      </c>
      <c r="AO270" s="530">
        <v>205524</v>
      </c>
      <c r="AP270" s="530">
        <v>203932</v>
      </c>
      <c r="AQ270" s="530">
        <v>208045</v>
      </c>
      <c r="AR270" s="530">
        <v>209717</v>
      </c>
      <c r="AS270" s="530">
        <v>206101</v>
      </c>
      <c r="AT270" s="530">
        <v>206056</v>
      </c>
      <c r="AU270" s="530">
        <v>209998</v>
      </c>
      <c r="AV270" s="530">
        <v>213576</v>
      </c>
      <c r="AW270" s="530">
        <v>217784</v>
      </c>
      <c r="AX270" s="530">
        <v>217764</v>
      </c>
      <c r="AY270" s="530">
        <v>218229</v>
      </c>
      <c r="AZ270" s="530">
        <v>218473</v>
      </c>
      <c r="BA270" s="530">
        <v>220287</v>
      </c>
      <c r="BB270" s="530">
        <v>218753</v>
      </c>
      <c r="BC270" s="530">
        <v>214362</v>
      </c>
      <c r="BD270" s="530">
        <v>211629</v>
      </c>
      <c r="BE270" s="530">
        <v>208718</v>
      </c>
      <c r="BF270" s="530">
        <v>207411</v>
      </c>
      <c r="BG270" s="530">
        <v>205232</v>
      </c>
      <c r="BH270" s="530">
        <v>201689</v>
      </c>
      <c r="BI270" s="530">
        <v>199660</v>
      </c>
      <c r="BJ270" s="530">
        <v>192672</v>
      </c>
      <c r="BK270" s="530">
        <v>187762</v>
      </c>
      <c r="BL270" s="530">
        <v>179325</v>
      </c>
      <c r="BM270" s="530">
        <v>175592</v>
      </c>
      <c r="BN270" s="530">
        <v>170857</v>
      </c>
      <c r="BO270" s="530">
        <v>169191</v>
      </c>
      <c r="BP270" s="530">
        <v>168021</v>
      </c>
      <c r="BQ270" s="530">
        <v>169730</v>
      </c>
      <c r="BR270" s="530">
        <v>172105</v>
      </c>
      <c r="BS270" s="530">
        <v>175533</v>
      </c>
      <c r="BT270" s="530">
        <v>181433</v>
      </c>
      <c r="BU270" s="530">
        <v>182648</v>
      </c>
      <c r="BV270" s="530">
        <v>170467</v>
      </c>
      <c r="BW270" s="530">
        <v>167885</v>
      </c>
      <c r="BX270" s="530">
        <v>160432</v>
      </c>
      <c r="BY270" s="530">
        <v>155846</v>
      </c>
      <c r="BZ270" s="530">
        <v>153726</v>
      </c>
      <c r="CA270" s="530">
        <v>153682</v>
      </c>
      <c r="CB270" s="530">
        <v>155507</v>
      </c>
      <c r="CC270" s="530">
        <v>154750</v>
      </c>
      <c r="CD270" s="530">
        <v>150659</v>
      </c>
      <c r="CE270" s="530">
        <v>146676</v>
      </c>
      <c r="CF270" s="530">
        <v>138665</v>
      </c>
      <c r="CG270" s="530">
        <v>132169</v>
      </c>
      <c r="CH270" s="530">
        <v>125482</v>
      </c>
      <c r="CI270" s="530">
        <v>117869</v>
      </c>
      <c r="CJ270" s="530">
        <v>110491</v>
      </c>
      <c r="CK270" s="530">
        <v>103020</v>
      </c>
      <c r="CL270" s="530">
        <v>95001</v>
      </c>
      <c r="CM270" s="530">
        <v>88064</v>
      </c>
      <c r="CN270" s="530">
        <v>79758</v>
      </c>
      <c r="CO270" s="530">
        <v>72718</v>
      </c>
      <c r="CP270" s="530">
        <v>65177</v>
      </c>
      <c r="CQ270" s="530">
        <v>56793</v>
      </c>
      <c r="CR270" s="530">
        <v>50039</v>
      </c>
      <c r="CS270" s="530">
        <v>44497</v>
      </c>
      <c r="CT270" s="530">
        <v>31538</v>
      </c>
      <c r="CU270" s="530">
        <v>24997</v>
      </c>
      <c r="CV270" s="530">
        <v>18856</v>
      </c>
      <c r="CW270" s="530">
        <v>13246</v>
      </c>
      <c r="CX270" s="530">
        <v>9792</v>
      </c>
      <c r="CY270" s="530">
        <v>6748</v>
      </c>
      <c r="CZ270" s="530">
        <v>4664</v>
      </c>
      <c r="DA270" s="530">
        <v>10742</v>
      </c>
      <c r="DB270" s="162">
        <f>SUM(E270:DA270)</f>
        <v>16200426</v>
      </c>
      <c r="DC270" s="163">
        <f>DB270/1000000</f>
        <v>16.200426</v>
      </c>
      <c r="DD270" s="165">
        <f>(DC270-DC269)/DC269</f>
        <v>9.0999109087870848E-3</v>
      </c>
    </row>
    <row r="271" spans="1:108" ht="12.75" customHeight="1" x14ac:dyDescent="0.2">
      <c r="D271" s="160">
        <f t="shared" si="81"/>
        <v>2040</v>
      </c>
      <c r="E271" s="530">
        <v>165018</v>
      </c>
      <c r="F271" s="530">
        <v>164006</v>
      </c>
      <c r="G271" s="530">
        <v>163656</v>
      </c>
      <c r="H271" s="530">
        <v>163561</v>
      </c>
      <c r="I271" s="530">
        <v>163710</v>
      </c>
      <c r="J271" s="530">
        <v>164042</v>
      </c>
      <c r="K271" s="530">
        <v>164371</v>
      </c>
      <c r="L271" s="530">
        <v>164681</v>
      </c>
      <c r="M271" s="530">
        <v>165086</v>
      </c>
      <c r="N271" s="530">
        <v>165571</v>
      </c>
      <c r="O271" s="530">
        <v>166113</v>
      </c>
      <c r="P271" s="530">
        <v>166721</v>
      </c>
      <c r="Q271" s="530">
        <v>167313</v>
      </c>
      <c r="R271" s="530">
        <v>168095</v>
      </c>
      <c r="S271" s="530">
        <v>169137</v>
      </c>
      <c r="T271" s="530">
        <v>170247</v>
      </c>
      <c r="U271" s="530">
        <v>171371</v>
      </c>
      <c r="V271" s="530">
        <v>172670</v>
      </c>
      <c r="W271" s="530">
        <v>181279</v>
      </c>
      <c r="X271" s="530">
        <v>183201</v>
      </c>
      <c r="Y271" s="530">
        <v>185369</v>
      </c>
      <c r="Z271" s="530">
        <v>189739</v>
      </c>
      <c r="AA271" s="530">
        <v>193833</v>
      </c>
      <c r="AB271" s="530">
        <v>200699</v>
      </c>
      <c r="AC271" s="530">
        <v>207591</v>
      </c>
      <c r="AD271" s="530">
        <v>207047</v>
      </c>
      <c r="AE271" s="530">
        <v>210226</v>
      </c>
      <c r="AF271" s="530">
        <v>213194</v>
      </c>
      <c r="AG271" s="530">
        <v>215661</v>
      </c>
      <c r="AH271" s="530">
        <v>216661</v>
      </c>
      <c r="AI271" s="530">
        <v>220855</v>
      </c>
      <c r="AJ271" s="530">
        <v>220803</v>
      </c>
      <c r="AK271" s="530">
        <v>222857</v>
      </c>
      <c r="AL271" s="530">
        <v>222337</v>
      </c>
      <c r="AM271" s="530">
        <v>218435</v>
      </c>
      <c r="AN271" s="530">
        <v>214022</v>
      </c>
      <c r="AO271" s="530">
        <v>210930</v>
      </c>
      <c r="AP271" s="530">
        <v>207113</v>
      </c>
      <c r="AQ271" s="530">
        <v>205371</v>
      </c>
      <c r="AR271" s="530">
        <v>209343</v>
      </c>
      <c r="AS271" s="530">
        <v>210913</v>
      </c>
      <c r="AT271" s="530">
        <v>207178</v>
      </c>
      <c r="AU271" s="530">
        <v>206970</v>
      </c>
      <c r="AV271" s="530">
        <v>210743</v>
      </c>
      <c r="AW271" s="530">
        <v>214205</v>
      </c>
      <c r="AX271" s="530">
        <v>218347</v>
      </c>
      <c r="AY271" s="530">
        <v>218248</v>
      </c>
      <c r="AZ271" s="530">
        <v>218614</v>
      </c>
      <c r="BA271" s="530">
        <v>218759</v>
      </c>
      <c r="BB271" s="530">
        <v>220508</v>
      </c>
      <c r="BC271" s="530">
        <v>218939</v>
      </c>
      <c r="BD271" s="530">
        <v>214525</v>
      </c>
      <c r="BE271" s="530">
        <v>211769</v>
      </c>
      <c r="BF271" s="530">
        <v>208841</v>
      </c>
      <c r="BG271" s="530">
        <v>207600</v>
      </c>
      <c r="BH271" s="530">
        <v>205540</v>
      </c>
      <c r="BI271" s="530">
        <v>202055</v>
      </c>
      <c r="BJ271" s="530">
        <v>199963</v>
      </c>
      <c r="BK271" s="530">
        <v>192938</v>
      </c>
      <c r="BL271" s="530">
        <v>188095</v>
      </c>
      <c r="BM271" s="530">
        <v>179725</v>
      </c>
      <c r="BN271" s="530">
        <v>176004</v>
      </c>
      <c r="BO271" s="530">
        <v>171268</v>
      </c>
      <c r="BP271" s="530">
        <v>169598</v>
      </c>
      <c r="BQ271" s="530">
        <v>168356</v>
      </c>
      <c r="BR271" s="530">
        <v>169864</v>
      </c>
      <c r="BS271" s="530">
        <v>172040</v>
      </c>
      <c r="BT271" s="530">
        <v>175285</v>
      </c>
      <c r="BU271" s="530">
        <v>180958</v>
      </c>
      <c r="BV271" s="530">
        <v>182003</v>
      </c>
      <c r="BW271" s="530">
        <v>169743</v>
      </c>
      <c r="BX271" s="530">
        <v>166925</v>
      </c>
      <c r="BY271" s="530">
        <v>159353</v>
      </c>
      <c r="BZ271" s="530">
        <v>154637</v>
      </c>
      <c r="CA271" s="530">
        <v>152253</v>
      </c>
      <c r="CB271" s="530">
        <v>151958</v>
      </c>
      <c r="CC271" s="530">
        <v>153478</v>
      </c>
      <c r="CD271" s="530">
        <v>152401</v>
      </c>
      <c r="CE271" s="530">
        <v>148033</v>
      </c>
      <c r="CF271" s="530">
        <v>143682</v>
      </c>
      <c r="CG271" s="530">
        <v>135403</v>
      </c>
      <c r="CH271" s="530">
        <v>128620</v>
      </c>
      <c r="CI271" s="530">
        <v>121592</v>
      </c>
      <c r="CJ271" s="530">
        <v>113548</v>
      </c>
      <c r="CK271" s="530">
        <v>105803</v>
      </c>
      <c r="CL271" s="530">
        <v>97997</v>
      </c>
      <c r="CM271" s="530">
        <v>89658</v>
      </c>
      <c r="CN271" s="530">
        <v>82391</v>
      </c>
      <c r="CO271" s="530">
        <v>73737</v>
      </c>
      <c r="CP271" s="530">
        <v>66444</v>
      </c>
      <c r="CQ271" s="530">
        <v>58769</v>
      </c>
      <c r="CR271" s="530">
        <v>50331</v>
      </c>
      <c r="CS271" s="530">
        <v>43657</v>
      </c>
      <c r="CT271" s="530">
        <v>37965</v>
      </c>
      <c r="CU271" s="530">
        <v>26144</v>
      </c>
      <c r="CV271" s="530">
        <v>20035</v>
      </c>
      <c r="CW271" s="530">
        <v>14624</v>
      </c>
      <c r="CX271" s="530">
        <v>10043</v>
      </c>
      <c r="CY271" s="530">
        <v>7202</v>
      </c>
      <c r="CZ271" s="530">
        <v>4800</v>
      </c>
      <c r="DA271" s="530">
        <v>11173</v>
      </c>
      <c r="DB271" s="162">
        <f>SUM(E271:DA271)</f>
        <v>16344185</v>
      </c>
      <c r="DC271" s="163">
        <f>DB271/1000000</f>
        <v>16.344185</v>
      </c>
      <c r="DD271" s="165">
        <f>(DC271-DC270)/DC270</f>
        <v>8.8737789981571651E-3</v>
      </c>
    </row>
  </sheetData>
  <sheetProtection selectLockedCells="1"/>
  <mergeCells count="11">
    <mergeCell ref="X1:Z1"/>
    <mergeCell ref="J25:O25"/>
    <mergeCell ref="J43:O43"/>
    <mergeCell ref="J61:O61"/>
    <mergeCell ref="J79:O79"/>
    <mergeCell ref="J187:O187"/>
    <mergeCell ref="J97:O97"/>
    <mergeCell ref="J115:O115"/>
    <mergeCell ref="J133:O133"/>
    <mergeCell ref="J151:O151"/>
    <mergeCell ref="J169:O169"/>
  </mergeCells>
  <dataValidations count="2">
    <dataValidation type="list" allowBlank="1" showInputMessage="1" showErrorMessage="1" sqref="H22 H40 H58 H76 H94 H112 H130 H148 H166 H184" xr:uid="{00000000-0002-0000-1000-000000000000}">
      <formula1>Gender</formula1>
    </dataValidation>
    <dataValidation type="list" allowBlank="1" showInputMessage="1" showErrorMessage="1" sqref="D25 D43 D61 D169 D79 D97 D115 D133 D151 D187" xr:uid="{00000000-0002-0000-1000-000001000000}">
      <formula1>ABSRate</formula1>
    </dataValidation>
  </dataValidations>
  <pageMargins left="0.75" right="0.75" top="1" bottom="1" header="0.5" footer="0.5"/>
  <pageSetup paperSize="9" orientation="portrait" verticalDpi="0" r:id="rId1"/>
  <headerFooter alignWithMargins="0">
    <oddHeader>&amp;C&amp;"Calibri"&amp;12&amp;KFF0000 OFFICIAL&amp;1#_x000D_</oddHeader>
    <oddFooter>&amp;C_x000D_&amp;1#&amp;"Calibri"&amp;12&amp;KFF0000 OFFICIAL</oddFooter>
  </headerFooter>
  <ignoredErrors>
    <ignoredError sqref="DB203:DB221 DB228:DB244 DB253:DB269 DB245:DB246 DB270:DB271" formulaRange="1"/>
  </ignoredError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9">
    <tabColor theme="6"/>
  </sheetPr>
  <dimension ref="A1:Z188"/>
  <sheetViews>
    <sheetView showGridLines="0" zoomScaleNormal="100" workbookViewId="0"/>
  </sheetViews>
  <sheetFormatPr defaultColWidth="13" defaultRowHeight="12.75" customHeight="1" outlineLevelRow="1" x14ac:dyDescent="0.2"/>
  <cols>
    <col min="1" max="1" width="3.7109375" customWidth="1"/>
    <col min="2" max="3" width="3.7109375" hidden="1" customWidth="1"/>
    <col min="4" max="4" width="15.7109375" customWidth="1"/>
    <col min="5" max="10" width="10.7109375" customWidth="1"/>
    <col min="11" max="11" width="3.7109375" customWidth="1"/>
    <col min="12" max="23" width="10.7109375" customWidth="1"/>
    <col min="24" max="108" width="13" customWidth="1"/>
  </cols>
  <sheetData>
    <row r="1" spans="1:26" ht="23.25" x14ac:dyDescent="0.2">
      <c r="A1" s="97">
        <f>IF((SUM(E8:J17)&lt;&gt;0),2,0)</f>
        <v>0</v>
      </c>
      <c r="B1" s="107"/>
      <c r="C1" s="107"/>
      <c r="D1" s="106" t="s">
        <v>921</v>
      </c>
      <c r="E1" s="107"/>
      <c r="F1" s="107"/>
      <c r="G1" s="107"/>
      <c r="H1" s="107"/>
      <c r="I1" s="107"/>
      <c r="J1" s="107"/>
      <c r="K1" s="107"/>
      <c r="L1" s="107"/>
      <c r="M1" s="108"/>
      <c r="N1" s="108"/>
      <c r="O1" s="108"/>
      <c r="P1" s="108"/>
      <c r="Q1" s="108"/>
      <c r="R1" s="108"/>
      <c r="S1" s="108"/>
      <c r="T1" s="108"/>
      <c r="U1" s="108"/>
      <c r="V1" s="108"/>
      <c r="W1" s="108"/>
      <c r="X1" s="587" t="str">
        <f>IF(A1=0,MsgNotUsed,"")</f>
        <v>** NOT USED **</v>
      </c>
      <c r="Y1" s="587"/>
      <c r="Z1" s="587"/>
    </row>
    <row r="2" spans="1:26" ht="15.75" x14ac:dyDescent="0.2">
      <c r="A2" s="107"/>
      <c r="B2" s="107"/>
      <c r="C2" s="107"/>
      <c r="D2" s="100" t="str">
        <f>CONCATENATE("Name of medicine: ", MedicineBrand)</f>
        <v xml:space="preserve">Name of medicine: </v>
      </c>
      <c r="E2" s="107"/>
      <c r="F2" s="107"/>
      <c r="G2" s="107"/>
      <c r="H2" s="107"/>
      <c r="I2" s="107"/>
      <c r="J2" s="107"/>
      <c r="K2" s="107"/>
      <c r="L2" s="107"/>
      <c r="M2" s="108"/>
      <c r="N2" s="108"/>
      <c r="O2" s="108"/>
      <c r="P2" s="108"/>
      <c r="Q2" s="108"/>
      <c r="R2" s="108"/>
      <c r="S2" s="108"/>
      <c r="T2" s="108"/>
      <c r="U2" s="108"/>
      <c r="V2" s="108"/>
      <c r="W2" s="108"/>
      <c r="X2" s="108"/>
      <c r="Y2" s="108"/>
      <c r="Z2" s="108"/>
    </row>
    <row r="3" spans="1:26" ht="15.75" x14ac:dyDescent="0.2">
      <c r="A3" s="107"/>
      <c r="B3" s="107"/>
      <c r="C3" s="107"/>
      <c r="D3" s="100" t="str">
        <f>CONCATENATE("Indication: ",Indication)</f>
        <v xml:space="preserve">Indication: </v>
      </c>
      <c r="E3" s="107"/>
      <c r="F3" s="107"/>
      <c r="G3" s="107"/>
      <c r="H3" s="107"/>
      <c r="I3" s="107"/>
      <c r="J3" s="107"/>
      <c r="K3" s="107"/>
      <c r="L3" s="107"/>
      <c r="M3" s="108"/>
      <c r="N3" s="108"/>
      <c r="O3" s="108"/>
      <c r="P3" s="108"/>
      <c r="Q3" s="108"/>
      <c r="R3" s="108"/>
      <c r="S3" s="108"/>
      <c r="T3" s="108"/>
      <c r="U3" s="108"/>
      <c r="V3" s="108"/>
      <c r="W3" s="108"/>
      <c r="X3" s="108"/>
      <c r="Y3" s="108"/>
      <c r="Z3" s="108"/>
    </row>
    <row r="4" spans="1:26" x14ac:dyDescent="0.2"/>
    <row r="5" spans="1:26" ht="15.75" x14ac:dyDescent="0.2">
      <c r="D5" s="111" t="s">
        <v>866</v>
      </c>
      <c r="E5" s="113"/>
      <c r="F5" s="113"/>
      <c r="G5" s="113"/>
      <c r="H5" s="113"/>
      <c r="I5" s="113"/>
      <c r="J5" s="113"/>
      <c r="K5" s="113"/>
      <c r="L5" s="113"/>
      <c r="M5" s="224"/>
      <c r="N5" s="224"/>
      <c r="O5" s="224"/>
      <c r="P5" s="224"/>
      <c r="Q5" s="224"/>
      <c r="R5" s="224"/>
      <c r="S5" s="224"/>
      <c r="T5" s="224"/>
      <c r="U5" s="224"/>
      <c r="V5" s="224"/>
      <c r="W5" s="224"/>
      <c r="X5" s="224"/>
      <c r="Y5" s="224"/>
      <c r="Z5" s="224"/>
    </row>
    <row r="6" spans="1:26" hidden="1" x14ac:dyDescent="0.2"/>
    <row r="7" spans="1:26" hidden="1" x14ac:dyDescent="0.2">
      <c r="D7" s="450"/>
      <c r="E7" s="71">
        <f>FirstYear</f>
        <v>2026</v>
      </c>
      <c r="F7" s="74">
        <f>E7+1</f>
        <v>2027</v>
      </c>
      <c r="G7" s="74">
        <f>F7+1</f>
        <v>2028</v>
      </c>
      <c r="H7" s="74">
        <f>G7+1</f>
        <v>2029</v>
      </c>
      <c r="I7" s="74">
        <f>H7+1</f>
        <v>2030</v>
      </c>
      <c r="J7" s="74">
        <f>I7+1</f>
        <v>2031</v>
      </c>
    </row>
    <row r="8" spans="1:26" hidden="1" x14ac:dyDescent="0.2">
      <c r="D8" s="451">
        <v>1</v>
      </c>
      <c r="E8" s="153">
        <f t="shared" ref="E8:J8" si="0">E27</f>
        <v>0</v>
      </c>
      <c r="F8" s="153">
        <f t="shared" si="0"/>
        <v>0</v>
      </c>
      <c r="G8" s="153">
        <f t="shared" si="0"/>
        <v>0</v>
      </c>
      <c r="H8" s="153">
        <f t="shared" si="0"/>
        <v>0</v>
      </c>
      <c r="I8" s="153">
        <f t="shared" si="0"/>
        <v>0</v>
      </c>
      <c r="J8" s="153">
        <f t="shared" si="0"/>
        <v>0</v>
      </c>
    </row>
    <row r="9" spans="1:26" hidden="1" x14ac:dyDescent="0.2">
      <c r="D9" s="451">
        <v>2</v>
      </c>
      <c r="E9" s="153">
        <f t="shared" ref="E9:J9" si="1">E44</f>
        <v>0</v>
      </c>
      <c r="F9" s="153">
        <f t="shared" si="1"/>
        <v>0</v>
      </c>
      <c r="G9" s="153">
        <f t="shared" si="1"/>
        <v>0</v>
      </c>
      <c r="H9" s="153">
        <f t="shared" si="1"/>
        <v>0</v>
      </c>
      <c r="I9" s="153">
        <f t="shared" si="1"/>
        <v>0</v>
      </c>
      <c r="J9" s="153">
        <f t="shared" si="1"/>
        <v>0</v>
      </c>
    </row>
    <row r="10" spans="1:26" hidden="1" x14ac:dyDescent="0.2">
      <c r="D10" s="451">
        <v>3</v>
      </c>
      <c r="E10" s="153">
        <f t="shared" ref="E10:J10" si="2">E61</f>
        <v>0</v>
      </c>
      <c r="F10" s="153">
        <f t="shared" si="2"/>
        <v>0</v>
      </c>
      <c r="G10" s="153">
        <f t="shared" si="2"/>
        <v>0</v>
      </c>
      <c r="H10" s="153">
        <f t="shared" si="2"/>
        <v>0</v>
      </c>
      <c r="I10" s="153">
        <f t="shared" si="2"/>
        <v>0</v>
      </c>
      <c r="J10" s="153">
        <f t="shared" si="2"/>
        <v>0</v>
      </c>
    </row>
    <row r="11" spans="1:26" hidden="1" x14ac:dyDescent="0.2">
      <c r="D11" s="451">
        <v>4</v>
      </c>
      <c r="E11" s="153">
        <f t="shared" ref="E11:J11" si="3">E78</f>
        <v>0</v>
      </c>
      <c r="F11" s="153">
        <f t="shared" si="3"/>
        <v>0</v>
      </c>
      <c r="G11" s="153">
        <f t="shared" si="3"/>
        <v>0</v>
      </c>
      <c r="H11" s="153">
        <f t="shared" si="3"/>
        <v>0</v>
      </c>
      <c r="I11" s="153">
        <f t="shared" si="3"/>
        <v>0</v>
      </c>
      <c r="J11" s="153">
        <f t="shared" si="3"/>
        <v>0</v>
      </c>
    </row>
    <row r="12" spans="1:26" hidden="1" x14ac:dyDescent="0.2">
      <c r="D12" s="451">
        <v>5</v>
      </c>
      <c r="E12" s="153">
        <f t="shared" ref="E12:J12" si="4">E95</f>
        <v>0</v>
      </c>
      <c r="F12" s="153">
        <f t="shared" si="4"/>
        <v>0</v>
      </c>
      <c r="G12" s="153">
        <f t="shared" si="4"/>
        <v>0</v>
      </c>
      <c r="H12" s="153">
        <f t="shared" si="4"/>
        <v>0</v>
      </c>
      <c r="I12" s="153">
        <f t="shared" si="4"/>
        <v>0</v>
      </c>
      <c r="J12" s="153">
        <f t="shared" si="4"/>
        <v>0</v>
      </c>
    </row>
    <row r="13" spans="1:26" hidden="1" x14ac:dyDescent="0.2">
      <c r="D13" s="451">
        <v>6</v>
      </c>
      <c r="E13" s="153">
        <f t="shared" ref="E13:J13" si="5">E112</f>
        <v>0</v>
      </c>
      <c r="F13" s="153">
        <f t="shared" si="5"/>
        <v>0</v>
      </c>
      <c r="G13" s="153">
        <f t="shared" si="5"/>
        <v>0</v>
      </c>
      <c r="H13" s="153">
        <f t="shared" si="5"/>
        <v>0</v>
      </c>
      <c r="I13" s="153">
        <f t="shared" si="5"/>
        <v>0</v>
      </c>
      <c r="J13" s="153">
        <f t="shared" si="5"/>
        <v>0</v>
      </c>
    </row>
    <row r="14" spans="1:26" hidden="1" x14ac:dyDescent="0.2">
      <c r="D14" s="451">
        <v>7</v>
      </c>
      <c r="E14" s="153">
        <f t="shared" ref="E14:J14" si="6">E129</f>
        <v>0</v>
      </c>
      <c r="F14" s="153">
        <f t="shared" si="6"/>
        <v>0</v>
      </c>
      <c r="G14" s="153">
        <f t="shared" si="6"/>
        <v>0</v>
      </c>
      <c r="H14" s="153">
        <f t="shared" si="6"/>
        <v>0</v>
      </c>
      <c r="I14" s="153">
        <f t="shared" si="6"/>
        <v>0</v>
      </c>
      <c r="J14" s="153">
        <f t="shared" si="6"/>
        <v>0</v>
      </c>
    </row>
    <row r="15" spans="1:26" hidden="1" x14ac:dyDescent="0.2">
      <c r="D15" s="451">
        <v>8</v>
      </c>
      <c r="E15" s="153">
        <f t="shared" ref="E15:J15" si="7">E146</f>
        <v>0</v>
      </c>
      <c r="F15" s="153">
        <f t="shared" si="7"/>
        <v>0</v>
      </c>
      <c r="G15" s="153">
        <f t="shared" si="7"/>
        <v>0</v>
      </c>
      <c r="H15" s="153">
        <f t="shared" si="7"/>
        <v>0</v>
      </c>
      <c r="I15" s="153">
        <f t="shared" si="7"/>
        <v>0</v>
      </c>
      <c r="J15" s="153">
        <f t="shared" si="7"/>
        <v>0</v>
      </c>
    </row>
    <row r="16" spans="1:26" hidden="1" x14ac:dyDescent="0.2">
      <c r="D16" s="451">
        <v>9</v>
      </c>
      <c r="E16" s="153">
        <f t="shared" ref="E16:J16" si="8">E163</f>
        <v>0</v>
      </c>
      <c r="F16" s="153">
        <f t="shared" si="8"/>
        <v>0</v>
      </c>
      <c r="G16" s="153">
        <f t="shared" si="8"/>
        <v>0</v>
      </c>
      <c r="H16" s="153">
        <f t="shared" si="8"/>
        <v>0</v>
      </c>
      <c r="I16" s="153">
        <f t="shared" si="8"/>
        <v>0</v>
      </c>
      <c r="J16" s="153">
        <f t="shared" si="8"/>
        <v>0</v>
      </c>
    </row>
    <row r="17" spans="1:26" hidden="1" x14ac:dyDescent="0.2">
      <c r="D17" s="451">
        <v>10</v>
      </c>
      <c r="E17" s="153">
        <f t="shared" ref="E17:J17" si="9">E180</f>
        <v>0</v>
      </c>
      <c r="F17" s="153">
        <f t="shared" si="9"/>
        <v>0</v>
      </c>
      <c r="G17" s="153">
        <f t="shared" si="9"/>
        <v>0</v>
      </c>
      <c r="H17" s="153">
        <f t="shared" si="9"/>
        <v>0</v>
      </c>
      <c r="I17" s="153">
        <f t="shared" si="9"/>
        <v>0</v>
      </c>
      <c r="J17" s="153">
        <f t="shared" si="9"/>
        <v>0</v>
      </c>
    </row>
    <row r="18" spans="1:26" x14ac:dyDescent="0.2">
      <c r="D18" s="450"/>
    </row>
    <row r="19" spans="1:26" ht="15.75" x14ac:dyDescent="0.2">
      <c r="A19" s="172"/>
      <c r="B19" s="209">
        <f>IF(E23&lt;&gt;"",VLOOKUP(E23,GenderCode,2,FALSE),0)</f>
        <v>0</v>
      </c>
      <c r="C19" s="52">
        <v>1</v>
      </c>
      <c r="D19" s="72" t="str">
        <f>IF(B19=0,MsgNotUsed, CONCATENATE("AIHW ", C19, ": ", E21,": ", E23, " (", E26, "-", J26, ")"))</f>
        <v>** NOT USED **</v>
      </c>
      <c r="E19" s="113"/>
      <c r="F19" s="113"/>
      <c r="G19" s="113"/>
      <c r="H19" s="113"/>
      <c r="I19" s="154"/>
      <c r="J19" s="113"/>
      <c r="K19" s="113"/>
      <c r="L19" s="113"/>
      <c r="M19" s="224"/>
      <c r="N19" s="224"/>
      <c r="O19" s="224"/>
      <c r="P19" s="224"/>
      <c r="Q19" s="224"/>
      <c r="R19" s="224"/>
      <c r="S19" s="224"/>
      <c r="T19" s="224"/>
      <c r="U19" s="224"/>
      <c r="V19" s="224"/>
      <c r="W19" s="224"/>
      <c r="X19" s="224"/>
      <c r="Y19" s="224"/>
      <c r="Z19" s="224"/>
    </row>
    <row r="20" spans="1:26" hidden="1" outlineLevel="1" x14ac:dyDescent="0.2">
      <c r="A20" s="172"/>
      <c r="B20" s="172"/>
      <c r="C20" s="172"/>
      <c r="D20" s="450"/>
    </row>
    <row r="21" spans="1:26" hidden="1" outlineLevel="1" x14ac:dyDescent="0.2">
      <c r="A21" s="172"/>
      <c r="B21" s="172"/>
      <c r="C21" s="172"/>
      <c r="D21" s="37" t="s">
        <v>270</v>
      </c>
      <c r="E21" s="669"/>
      <c r="F21" s="642"/>
      <c r="G21" s="642"/>
      <c r="H21" s="642"/>
      <c r="I21" s="642"/>
      <c r="J21" s="643"/>
      <c r="L21" s="37" t="s">
        <v>261</v>
      </c>
      <c r="M21" s="669"/>
      <c r="N21" s="642"/>
      <c r="O21" s="642"/>
      <c r="P21" s="642"/>
      <c r="Q21" s="642"/>
      <c r="R21" s="643"/>
      <c r="S21" s="38"/>
      <c r="T21" s="38"/>
      <c r="U21" s="38"/>
      <c r="V21" s="38"/>
      <c r="W21" s="38"/>
      <c r="X21" s="38"/>
      <c r="Y21" s="38"/>
      <c r="Z21" s="38"/>
    </row>
    <row r="22" spans="1:26" hidden="1" outlineLevel="1" x14ac:dyDescent="0.2">
      <c r="A22" s="172"/>
      <c r="B22" s="172"/>
      <c r="C22" s="172"/>
      <c r="D22" s="450"/>
    </row>
    <row r="23" spans="1:26" hidden="1" outlineLevel="1" x14ac:dyDescent="0.2">
      <c r="A23" s="172"/>
      <c r="B23" s="172"/>
      <c r="C23" s="172"/>
      <c r="D23" s="75" t="s">
        <v>51</v>
      </c>
      <c r="E23" s="70"/>
      <c r="G23" s="172"/>
      <c r="H23" s="172"/>
      <c r="I23" s="75" t="s">
        <v>355</v>
      </c>
      <c r="J23" s="70"/>
      <c r="L23" s="173"/>
      <c r="M23" s="38"/>
      <c r="N23" s="38"/>
      <c r="O23" s="38"/>
      <c r="P23" s="38"/>
      <c r="Q23" s="38"/>
      <c r="R23" s="38"/>
      <c r="S23" s="38"/>
      <c r="T23" s="38"/>
      <c r="U23" s="38"/>
      <c r="V23" s="38"/>
      <c r="W23" s="38"/>
      <c r="X23" s="38"/>
      <c r="Y23" s="38"/>
      <c r="Z23" s="38"/>
    </row>
    <row r="24" spans="1:26" hidden="1" outlineLevel="1" x14ac:dyDescent="0.2">
      <c r="A24" s="172"/>
      <c r="B24" s="172"/>
      <c r="C24" s="172"/>
      <c r="L24" s="173"/>
      <c r="M24" s="38"/>
      <c r="N24" s="38"/>
      <c r="O24" s="38"/>
      <c r="P24" s="38"/>
      <c r="Q24" s="38"/>
      <c r="R24" s="38"/>
      <c r="S24" s="38"/>
      <c r="T24" s="38"/>
      <c r="U24" s="38"/>
      <c r="V24" s="38"/>
      <c r="W24" s="38"/>
      <c r="X24" s="38"/>
      <c r="Y24" s="38"/>
      <c r="Z24" s="38"/>
    </row>
    <row r="25" spans="1:26" hidden="1" outlineLevel="1" x14ac:dyDescent="0.2">
      <c r="A25" s="172"/>
      <c r="B25" s="172"/>
      <c r="C25" s="172"/>
      <c r="E25" s="260" t="s">
        <v>246</v>
      </c>
      <c r="L25" s="173"/>
      <c r="M25" s="38"/>
      <c r="N25" s="38"/>
      <c r="O25" s="38"/>
      <c r="P25" s="38"/>
      <c r="Q25" s="38"/>
      <c r="R25" s="38"/>
      <c r="S25" s="38"/>
      <c r="T25" s="38"/>
      <c r="U25" s="38"/>
      <c r="V25" s="38"/>
      <c r="W25" s="38"/>
      <c r="X25" s="38"/>
      <c r="Y25" s="38"/>
      <c r="Z25" s="38"/>
    </row>
    <row r="26" spans="1:26" hidden="1" outlineLevel="1" x14ac:dyDescent="0.2">
      <c r="A26" s="172"/>
      <c r="B26" s="172"/>
      <c r="C26" s="172"/>
      <c r="E26" s="71">
        <f>IF(J23&lt;&gt;"",J23,FirstYear)</f>
        <v>2026</v>
      </c>
      <c r="F26" s="74">
        <f>E26+1</f>
        <v>2027</v>
      </c>
      <c r="G26" s="74">
        <f>F26+1</f>
        <v>2028</v>
      </c>
      <c r="H26" s="74">
        <f>G26+1</f>
        <v>2029</v>
      </c>
      <c r="I26" s="74">
        <f>H26+1</f>
        <v>2030</v>
      </c>
      <c r="J26" s="74">
        <f>I26+1</f>
        <v>2031</v>
      </c>
      <c r="L26" s="173"/>
      <c r="M26" s="38"/>
      <c r="N26" s="38"/>
      <c r="O26" s="38"/>
      <c r="P26" s="38"/>
      <c r="Q26" s="38"/>
      <c r="R26" s="38"/>
      <c r="S26" s="38"/>
      <c r="T26" s="38"/>
      <c r="U26" s="38"/>
      <c r="V26" s="38"/>
      <c r="W26" s="38"/>
      <c r="X26" s="38"/>
      <c r="Y26" s="38"/>
      <c r="Z26" s="38"/>
    </row>
    <row r="27" spans="1:26" hidden="1" outlineLevel="1" x14ac:dyDescent="0.2">
      <c r="A27" s="172"/>
      <c r="B27" s="172"/>
      <c r="C27" s="172"/>
      <c r="E27" s="57">
        <f t="shared" ref="E27:J27" si="10">IF($B$19&lt;&gt;0,VLOOKUP($B$19,$C$31:$J$33,E28),0)</f>
        <v>0</v>
      </c>
      <c r="F27" s="57">
        <f t="shared" si="10"/>
        <v>0</v>
      </c>
      <c r="G27" s="57">
        <f t="shared" si="10"/>
        <v>0</v>
      </c>
      <c r="H27" s="57">
        <f t="shared" si="10"/>
        <v>0</v>
      </c>
      <c r="I27" s="57">
        <f t="shared" si="10"/>
        <v>0</v>
      </c>
      <c r="J27" s="57">
        <f t="shared" si="10"/>
        <v>0</v>
      </c>
      <c r="L27" s="173"/>
      <c r="M27" s="38"/>
      <c r="N27" s="38"/>
      <c r="O27" s="38"/>
      <c r="P27" s="38"/>
      <c r="Q27" s="38"/>
      <c r="R27" s="38"/>
      <c r="S27" s="38"/>
      <c r="T27" s="38"/>
      <c r="U27" s="38"/>
      <c r="V27" s="38"/>
      <c r="W27" s="38"/>
      <c r="X27" s="38"/>
      <c r="Y27" s="38"/>
      <c r="Z27" s="38"/>
    </row>
    <row r="28" spans="1:26" hidden="1" outlineLevel="1" x14ac:dyDescent="0.2">
      <c r="A28" s="172"/>
      <c r="B28" s="172"/>
      <c r="C28" s="172"/>
      <c r="E28" s="155">
        <v>3</v>
      </c>
      <c r="F28" s="155">
        <v>4</v>
      </c>
      <c r="G28" s="155">
        <v>5</v>
      </c>
      <c r="H28" s="155">
        <v>6</v>
      </c>
      <c r="I28" s="155">
        <v>7</v>
      </c>
      <c r="J28" s="155">
        <v>8</v>
      </c>
      <c r="L28" s="173"/>
      <c r="M28" s="38"/>
      <c r="N28" s="38"/>
      <c r="O28" s="38"/>
      <c r="P28" s="38"/>
      <c r="Q28" s="38"/>
      <c r="R28" s="38"/>
      <c r="S28" s="38"/>
      <c r="T28" s="38"/>
      <c r="U28" s="38"/>
      <c r="V28" s="38"/>
      <c r="W28" s="38"/>
      <c r="X28" s="38"/>
      <c r="Y28" s="38"/>
      <c r="Z28" s="38"/>
    </row>
    <row r="29" spans="1:26" hidden="1" outlineLevel="1" x14ac:dyDescent="0.2">
      <c r="A29" s="172"/>
      <c r="B29" s="172"/>
      <c r="C29" s="172"/>
      <c r="D29" s="26" t="s">
        <v>314</v>
      </c>
      <c r="E29" s="71">
        <f t="shared" ref="E29:J29" si="11">E26</f>
        <v>2026</v>
      </c>
      <c r="F29" s="71">
        <f t="shared" si="11"/>
        <v>2027</v>
      </c>
      <c r="G29" s="71">
        <f t="shared" si="11"/>
        <v>2028</v>
      </c>
      <c r="H29" s="71">
        <f t="shared" si="11"/>
        <v>2029</v>
      </c>
      <c r="I29" s="71">
        <f t="shared" si="11"/>
        <v>2030</v>
      </c>
      <c r="J29" s="71">
        <f t="shared" si="11"/>
        <v>2031</v>
      </c>
      <c r="L29" s="172"/>
      <c r="M29" s="39"/>
      <c r="N29" s="39"/>
      <c r="O29" s="39"/>
      <c r="P29" s="39"/>
      <c r="Q29" s="39"/>
      <c r="R29" s="39"/>
      <c r="S29" s="39"/>
      <c r="T29" s="39"/>
      <c r="U29" s="39"/>
      <c r="V29" s="39"/>
      <c r="W29" s="39"/>
      <c r="X29" s="39"/>
      <c r="Y29" s="39"/>
      <c r="Z29" s="39"/>
    </row>
    <row r="30" spans="1:26" hidden="1" outlineLevel="1" x14ac:dyDescent="0.2">
      <c r="A30" s="172"/>
      <c r="B30" s="172"/>
      <c r="D30" s="156" t="s">
        <v>231</v>
      </c>
      <c r="E30" s="57">
        <f t="shared" ref="E30:J30" si="12">IF(OR(E31="",E31=0),SUM(E32:E33),E31)</f>
        <v>0</v>
      </c>
      <c r="F30" s="57">
        <f t="shared" si="12"/>
        <v>0</v>
      </c>
      <c r="G30" s="57">
        <f t="shared" si="12"/>
        <v>0</v>
      </c>
      <c r="H30" s="57">
        <f t="shared" si="12"/>
        <v>0</v>
      </c>
      <c r="I30" s="57">
        <f t="shared" si="12"/>
        <v>0</v>
      </c>
      <c r="J30" s="57">
        <f t="shared" si="12"/>
        <v>0</v>
      </c>
      <c r="L30" s="172"/>
      <c r="M30" s="39"/>
      <c r="N30" s="39"/>
      <c r="O30" s="39"/>
      <c r="P30" s="39"/>
      <c r="Q30" s="39"/>
      <c r="R30" s="39"/>
      <c r="S30" s="39"/>
      <c r="T30" s="39"/>
      <c r="U30" s="39"/>
      <c r="V30" s="39"/>
      <c r="W30" s="39"/>
      <c r="X30" s="39"/>
      <c r="Y30" s="39"/>
      <c r="Z30" s="39"/>
    </row>
    <row r="31" spans="1:26" hidden="1" outlineLevel="1" x14ac:dyDescent="0.2">
      <c r="A31" s="172"/>
      <c r="B31" s="172"/>
      <c r="C31" s="52">
        <v>1</v>
      </c>
      <c r="D31" s="156" t="s">
        <v>356</v>
      </c>
      <c r="E31" s="42"/>
      <c r="F31" s="42"/>
      <c r="G31" s="42"/>
      <c r="H31" s="42"/>
      <c r="I31" s="42"/>
      <c r="J31" s="42"/>
      <c r="L31" s="172"/>
      <c r="M31" s="39"/>
      <c r="N31" s="39"/>
      <c r="O31" s="39"/>
      <c r="P31" s="39"/>
      <c r="Q31" s="39"/>
      <c r="R31" s="39"/>
      <c r="S31" s="39"/>
      <c r="T31" s="39"/>
      <c r="U31" s="39"/>
      <c r="V31" s="39"/>
      <c r="W31" s="39"/>
      <c r="X31" s="39"/>
      <c r="Y31" s="39"/>
      <c r="Z31" s="39"/>
    </row>
    <row r="32" spans="1:26" hidden="1" outlineLevel="1" x14ac:dyDescent="0.2">
      <c r="A32" s="172"/>
      <c r="B32" s="172"/>
      <c r="C32" s="52">
        <v>2</v>
      </c>
      <c r="D32" s="156" t="s">
        <v>234</v>
      </c>
      <c r="E32" s="42"/>
      <c r="F32" s="42"/>
      <c r="G32" s="42"/>
      <c r="H32" s="42"/>
      <c r="I32" s="42"/>
      <c r="J32" s="42"/>
      <c r="L32" s="172"/>
      <c r="M32" s="39"/>
      <c r="N32" s="39"/>
      <c r="O32" s="39"/>
      <c r="P32" s="39"/>
      <c r="Q32" s="39"/>
      <c r="R32" s="39"/>
      <c r="S32" s="39"/>
      <c r="T32" s="39"/>
      <c r="U32" s="39"/>
      <c r="V32" s="39"/>
      <c r="W32" s="39"/>
      <c r="X32" s="39"/>
      <c r="Y32" s="39"/>
      <c r="Z32" s="39"/>
    </row>
    <row r="33" spans="1:26" hidden="1" outlineLevel="1" x14ac:dyDescent="0.2">
      <c r="A33" s="172"/>
      <c r="B33" s="172"/>
      <c r="C33" s="52">
        <v>3</v>
      </c>
      <c r="D33" s="156" t="s">
        <v>235</v>
      </c>
      <c r="E33" s="42"/>
      <c r="F33" s="42"/>
      <c r="G33" s="42"/>
      <c r="H33" s="42"/>
      <c r="I33" s="42"/>
      <c r="J33" s="42"/>
      <c r="L33" s="172"/>
      <c r="M33" s="39"/>
      <c r="N33" s="39"/>
      <c r="O33" s="39"/>
      <c r="P33" s="39"/>
      <c r="Q33" s="39"/>
      <c r="R33" s="39"/>
      <c r="S33" s="39"/>
      <c r="T33" s="39"/>
      <c r="U33" s="39"/>
      <c r="V33" s="39"/>
      <c r="W33" s="39"/>
      <c r="X33" s="39"/>
      <c r="Y33" s="39"/>
      <c r="Z33" s="39"/>
    </row>
    <row r="34" spans="1:26" hidden="1" outlineLevel="1" x14ac:dyDescent="0.2">
      <c r="A34" s="172"/>
      <c r="B34" s="172"/>
      <c r="C34" s="172"/>
      <c r="L34" s="172"/>
      <c r="M34" s="39"/>
      <c r="N34" s="39"/>
      <c r="O34" s="39"/>
      <c r="P34" s="39"/>
      <c r="Q34" s="39"/>
      <c r="R34" s="39"/>
      <c r="S34" s="39"/>
      <c r="T34" s="39"/>
      <c r="U34" s="39"/>
      <c r="V34" s="39"/>
      <c r="W34" s="39"/>
      <c r="X34" s="39"/>
      <c r="Y34" s="39"/>
      <c r="Z34" s="39"/>
    </row>
    <row r="35" spans="1:26" collapsed="1" x14ac:dyDescent="0.2">
      <c r="A35" s="172"/>
      <c r="B35" s="172"/>
      <c r="C35" s="172"/>
      <c r="L35" s="172"/>
      <c r="M35" s="39"/>
      <c r="N35" s="39"/>
      <c r="O35" s="39"/>
      <c r="P35" s="39"/>
      <c r="Q35" s="39"/>
      <c r="R35" s="39"/>
      <c r="S35" s="39"/>
      <c r="T35" s="39"/>
      <c r="U35" s="39"/>
      <c r="V35" s="39"/>
      <c r="W35" s="39"/>
      <c r="X35" s="39"/>
      <c r="Y35" s="39"/>
      <c r="Z35" s="39"/>
    </row>
    <row r="36" spans="1:26" ht="15.75" x14ac:dyDescent="0.2">
      <c r="A36" s="172"/>
      <c r="B36" s="209">
        <f>IF(E40&lt;&gt;"",VLOOKUP(E40,GenderCode,2,FALSE),0)</f>
        <v>0</v>
      </c>
      <c r="C36" s="52">
        <v>2</v>
      </c>
      <c r="D36" s="72" t="str">
        <f>IF(B36=0,MsgNotUsed, CONCATENATE("AIHW ", C36, ": ", E38,": ", E40, " (", E43, "-", J43, ")"))</f>
        <v>** NOT USED **</v>
      </c>
      <c r="E36" s="113"/>
      <c r="F36" s="113"/>
      <c r="G36" s="113"/>
      <c r="H36" s="113"/>
      <c r="I36" s="154"/>
      <c r="J36" s="113"/>
      <c r="K36" s="113"/>
      <c r="L36" s="113"/>
      <c r="M36" s="224"/>
      <c r="N36" s="224"/>
      <c r="O36" s="224"/>
      <c r="P36" s="224"/>
      <c r="Q36" s="224"/>
      <c r="R36" s="224"/>
      <c r="S36" s="224"/>
      <c r="T36" s="224"/>
      <c r="U36" s="224"/>
      <c r="V36" s="224"/>
      <c r="W36" s="224"/>
      <c r="X36" s="224"/>
      <c r="Y36" s="224"/>
      <c r="Z36" s="224"/>
    </row>
    <row r="37" spans="1:26" hidden="1" outlineLevel="1" x14ac:dyDescent="0.2">
      <c r="A37" s="172"/>
      <c r="B37" s="172"/>
      <c r="C37" s="172"/>
      <c r="D37" s="450"/>
      <c r="S37" s="1"/>
      <c r="T37" s="1"/>
      <c r="U37" s="1"/>
      <c r="V37" s="1"/>
      <c r="W37" s="1"/>
      <c r="X37" s="1"/>
      <c r="Y37" s="1"/>
      <c r="Z37" s="1"/>
    </row>
    <row r="38" spans="1:26" hidden="1" outlineLevel="1" x14ac:dyDescent="0.2">
      <c r="A38" s="172"/>
      <c r="B38" s="172"/>
      <c r="C38" s="172"/>
      <c r="D38" s="37" t="s">
        <v>270</v>
      </c>
      <c r="E38" s="669"/>
      <c r="F38" s="642"/>
      <c r="G38" s="642"/>
      <c r="H38" s="642"/>
      <c r="I38" s="642"/>
      <c r="J38" s="643"/>
      <c r="L38" s="37" t="s">
        <v>261</v>
      </c>
      <c r="M38" s="669"/>
      <c r="N38" s="642"/>
      <c r="O38" s="642"/>
      <c r="P38" s="642"/>
      <c r="Q38" s="642"/>
      <c r="R38" s="643"/>
      <c r="S38" s="38"/>
      <c r="T38" s="38"/>
      <c r="U38" s="38"/>
      <c r="V38" s="38"/>
      <c r="W38" s="38"/>
      <c r="X38" s="38"/>
      <c r="Y38" s="38"/>
      <c r="Z38" s="38"/>
    </row>
    <row r="39" spans="1:26" hidden="1" outlineLevel="1" x14ac:dyDescent="0.2">
      <c r="A39" s="172"/>
      <c r="B39" s="172"/>
      <c r="C39" s="172"/>
      <c r="D39" s="450"/>
      <c r="S39" s="38"/>
      <c r="T39" s="38"/>
      <c r="U39" s="38"/>
      <c r="V39" s="38"/>
      <c r="W39" s="38"/>
      <c r="X39" s="38"/>
      <c r="Y39" s="38"/>
      <c r="Z39" s="38"/>
    </row>
    <row r="40" spans="1:26" hidden="1" outlineLevel="1" x14ac:dyDescent="0.2">
      <c r="A40" s="172"/>
      <c r="B40" s="172"/>
      <c r="C40" s="172"/>
      <c r="D40" s="75" t="s">
        <v>51</v>
      </c>
      <c r="E40" s="70"/>
      <c r="G40" s="172"/>
      <c r="H40" s="172"/>
      <c r="I40" s="75" t="s">
        <v>355</v>
      </c>
      <c r="J40" s="70"/>
      <c r="L40" s="173"/>
      <c r="M40" s="38"/>
      <c r="N40" s="38"/>
      <c r="O40" s="38"/>
      <c r="P40" s="38"/>
      <c r="Q40" s="38"/>
      <c r="R40" s="38"/>
      <c r="S40" s="38"/>
      <c r="T40" s="38"/>
      <c r="U40" s="38"/>
      <c r="V40" s="38"/>
      <c r="W40" s="38"/>
      <c r="X40" s="38"/>
      <c r="Y40" s="38"/>
      <c r="Z40" s="38"/>
    </row>
    <row r="41" spans="1:26" hidden="1" outlineLevel="1" x14ac:dyDescent="0.2">
      <c r="A41" s="172"/>
      <c r="B41" s="172"/>
      <c r="C41" s="172"/>
      <c r="L41" s="173"/>
      <c r="M41" s="38"/>
      <c r="N41" s="38"/>
      <c r="O41" s="38"/>
      <c r="P41" s="38"/>
      <c r="Q41" s="38"/>
      <c r="R41" s="38"/>
      <c r="S41" s="38"/>
      <c r="T41" s="38"/>
      <c r="U41" s="38"/>
      <c r="V41" s="38"/>
      <c r="W41" s="38"/>
      <c r="X41" s="38"/>
      <c r="Y41" s="38"/>
      <c r="Z41" s="38"/>
    </row>
    <row r="42" spans="1:26" hidden="1" outlineLevel="1" x14ac:dyDescent="0.2">
      <c r="A42" s="172"/>
      <c r="B42" s="172"/>
      <c r="C42" s="172"/>
      <c r="E42" s="260" t="s">
        <v>246</v>
      </c>
      <c r="L42" s="173"/>
      <c r="M42" s="38"/>
      <c r="N42" s="38"/>
      <c r="O42" s="38"/>
      <c r="P42" s="38"/>
      <c r="Q42" s="38"/>
      <c r="R42" s="38"/>
      <c r="S42" s="38"/>
      <c r="T42" s="38"/>
      <c r="U42" s="38"/>
      <c r="V42" s="38"/>
      <c r="W42" s="38"/>
      <c r="X42" s="38"/>
      <c r="Y42" s="38"/>
      <c r="Z42" s="38"/>
    </row>
    <row r="43" spans="1:26" hidden="1" outlineLevel="1" x14ac:dyDescent="0.2">
      <c r="A43" s="172"/>
      <c r="B43" s="172"/>
      <c r="C43" s="172"/>
      <c r="E43" s="71">
        <f>IF(J40&lt;&gt;"",J40,FirstYear)</f>
        <v>2026</v>
      </c>
      <c r="F43" s="74">
        <f>E43+1</f>
        <v>2027</v>
      </c>
      <c r="G43" s="74">
        <f>F43+1</f>
        <v>2028</v>
      </c>
      <c r="H43" s="74">
        <f>G43+1</f>
        <v>2029</v>
      </c>
      <c r="I43" s="74">
        <f>H43+1</f>
        <v>2030</v>
      </c>
      <c r="J43" s="74">
        <f>I43+1</f>
        <v>2031</v>
      </c>
      <c r="L43" s="173"/>
      <c r="M43" s="38"/>
      <c r="N43" s="38"/>
      <c r="O43" s="38"/>
      <c r="P43" s="38"/>
      <c r="Q43" s="38"/>
      <c r="R43" s="38"/>
      <c r="S43" s="38"/>
      <c r="T43" s="38"/>
      <c r="U43" s="38"/>
      <c r="V43" s="38"/>
      <c r="W43" s="38"/>
      <c r="X43" s="38"/>
      <c r="Y43" s="38"/>
      <c r="Z43" s="38"/>
    </row>
    <row r="44" spans="1:26" hidden="1" outlineLevel="1" x14ac:dyDescent="0.2">
      <c r="A44" s="172"/>
      <c r="B44" s="172"/>
      <c r="C44" s="172"/>
      <c r="E44" s="57">
        <f t="shared" ref="E44:J44" si="13">IF($B$36&lt;&gt;0,VLOOKUP($B$36,$C$48:$J$50,E45),0)</f>
        <v>0</v>
      </c>
      <c r="F44" s="57">
        <f t="shared" si="13"/>
        <v>0</v>
      </c>
      <c r="G44" s="57">
        <f t="shared" si="13"/>
        <v>0</v>
      </c>
      <c r="H44" s="57">
        <f t="shared" si="13"/>
        <v>0</v>
      </c>
      <c r="I44" s="57">
        <f t="shared" si="13"/>
        <v>0</v>
      </c>
      <c r="J44" s="57">
        <f t="shared" si="13"/>
        <v>0</v>
      </c>
      <c r="L44" s="173"/>
      <c r="M44" s="38"/>
      <c r="N44" s="38"/>
      <c r="O44" s="38"/>
      <c r="P44" s="38"/>
      <c r="Q44" s="38"/>
      <c r="R44" s="38"/>
      <c r="S44" s="38"/>
      <c r="T44" s="38"/>
      <c r="U44" s="38"/>
      <c r="V44" s="38"/>
      <c r="W44" s="38"/>
      <c r="X44" s="38"/>
      <c r="Y44" s="38"/>
      <c r="Z44" s="38"/>
    </row>
    <row r="45" spans="1:26" hidden="1" outlineLevel="1" x14ac:dyDescent="0.2">
      <c r="A45" s="172"/>
      <c r="B45" s="172"/>
      <c r="C45" s="172"/>
      <c r="E45" s="155">
        <v>3</v>
      </c>
      <c r="F45" s="155">
        <v>4</v>
      </c>
      <c r="G45" s="155">
        <v>5</v>
      </c>
      <c r="H45" s="155">
        <v>6</v>
      </c>
      <c r="I45" s="155">
        <v>7</v>
      </c>
      <c r="J45" s="155">
        <v>8</v>
      </c>
      <c r="L45" s="173"/>
      <c r="M45" s="38"/>
      <c r="N45" s="38"/>
      <c r="O45" s="38"/>
      <c r="P45" s="38"/>
      <c r="Q45" s="38"/>
      <c r="R45" s="38"/>
      <c r="S45" s="38"/>
      <c r="T45" s="38"/>
      <c r="U45" s="38"/>
      <c r="V45" s="38"/>
      <c r="W45" s="38"/>
      <c r="X45" s="38"/>
      <c r="Y45" s="38"/>
      <c r="Z45" s="38"/>
    </row>
    <row r="46" spans="1:26" hidden="1" outlineLevel="1" x14ac:dyDescent="0.2">
      <c r="A46" s="172"/>
      <c r="B46" s="172"/>
      <c r="C46" s="172"/>
      <c r="D46" s="26" t="s">
        <v>314</v>
      </c>
      <c r="E46" s="71">
        <f t="shared" ref="E46:J46" si="14">E43</f>
        <v>2026</v>
      </c>
      <c r="F46" s="71">
        <f t="shared" si="14"/>
        <v>2027</v>
      </c>
      <c r="G46" s="71">
        <f t="shared" si="14"/>
        <v>2028</v>
      </c>
      <c r="H46" s="71">
        <f t="shared" si="14"/>
        <v>2029</v>
      </c>
      <c r="I46" s="71">
        <f t="shared" si="14"/>
        <v>2030</v>
      </c>
      <c r="J46" s="71">
        <f t="shared" si="14"/>
        <v>2031</v>
      </c>
      <c r="L46" s="172"/>
      <c r="M46" s="39"/>
      <c r="N46" s="39"/>
      <c r="O46" s="39"/>
      <c r="P46" s="39"/>
      <c r="Q46" s="39"/>
      <c r="R46" s="39"/>
      <c r="S46" s="39"/>
      <c r="T46" s="39"/>
      <c r="U46" s="39"/>
      <c r="V46" s="39"/>
      <c r="W46" s="39"/>
      <c r="X46" s="39"/>
      <c r="Y46" s="39"/>
      <c r="Z46" s="39"/>
    </row>
    <row r="47" spans="1:26" hidden="1" outlineLevel="1" x14ac:dyDescent="0.2">
      <c r="A47" s="172"/>
      <c r="B47" s="172"/>
      <c r="D47" s="156" t="s">
        <v>231</v>
      </c>
      <c r="E47" s="57">
        <f t="shared" ref="E47:J47" si="15">IF(OR(E48="",E48=0),SUM(E49:E50),E48)</f>
        <v>0</v>
      </c>
      <c r="F47" s="57">
        <f t="shared" si="15"/>
        <v>0</v>
      </c>
      <c r="G47" s="57">
        <f t="shared" si="15"/>
        <v>0</v>
      </c>
      <c r="H47" s="57">
        <f t="shared" si="15"/>
        <v>0</v>
      </c>
      <c r="I47" s="57">
        <f t="shared" si="15"/>
        <v>0</v>
      </c>
      <c r="J47" s="57">
        <f t="shared" si="15"/>
        <v>0</v>
      </c>
      <c r="L47" s="172"/>
      <c r="M47" s="39"/>
      <c r="N47" s="39"/>
      <c r="O47" s="39"/>
      <c r="P47" s="39"/>
      <c r="Q47" s="39"/>
      <c r="R47" s="39"/>
      <c r="S47" s="39"/>
      <c r="T47" s="39"/>
      <c r="U47" s="39"/>
      <c r="V47" s="39"/>
      <c r="W47" s="39"/>
      <c r="X47" s="39"/>
      <c r="Y47" s="39"/>
      <c r="Z47" s="39"/>
    </row>
    <row r="48" spans="1:26" hidden="1" outlineLevel="1" x14ac:dyDescent="0.2">
      <c r="A48" s="172"/>
      <c r="B48" s="172"/>
      <c r="C48" s="52">
        <v>1</v>
      </c>
      <c r="D48" s="156" t="s">
        <v>356</v>
      </c>
      <c r="E48" s="42"/>
      <c r="F48" s="42"/>
      <c r="G48" s="42"/>
      <c r="H48" s="42"/>
      <c r="I48" s="42"/>
      <c r="J48" s="42"/>
      <c r="L48" s="172"/>
      <c r="M48" s="39"/>
      <c r="N48" s="39"/>
      <c r="O48" s="39"/>
      <c r="P48" s="39"/>
      <c r="Q48" s="39"/>
      <c r="R48" s="39"/>
      <c r="S48" s="39"/>
      <c r="T48" s="39"/>
      <c r="U48" s="39"/>
      <c r="V48" s="39"/>
      <c r="W48" s="39"/>
      <c r="X48" s="39"/>
      <c r="Y48" s="39"/>
      <c r="Z48" s="39"/>
    </row>
    <row r="49" spans="1:26" hidden="1" outlineLevel="1" x14ac:dyDescent="0.2">
      <c r="A49" s="172"/>
      <c r="B49" s="172"/>
      <c r="C49" s="52">
        <v>2</v>
      </c>
      <c r="D49" s="156" t="s">
        <v>234</v>
      </c>
      <c r="E49" s="42"/>
      <c r="F49" s="42"/>
      <c r="G49" s="42"/>
      <c r="H49" s="42"/>
      <c r="I49" s="42"/>
      <c r="J49" s="42"/>
      <c r="L49" s="172"/>
      <c r="M49" s="39"/>
      <c r="N49" s="39"/>
      <c r="O49" s="39"/>
      <c r="P49" s="39"/>
      <c r="Q49" s="39"/>
      <c r="R49" s="39"/>
      <c r="S49" s="39"/>
      <c r="T49" s="39"/>
      <c r="U49" s="39"/>
      <c r="V49" s="39"/>
      <c r="W49" s="39"/>
      <c r="X49" s="39"/>
      <c r="Y49" s="39"/>
      <c r="Z49" s="39"/>
    </row>
    <row r="50" spans="1:26" hidden="1" outlineLevel="1" x14ac:dyDescent="0.2">
      <c r="A50" s="172"/>
      <c r="B50" s="172"/>
      <c r="C50" s="52">
        <v>3</v>
      </c>
      <c r="D50" s="156" t="s">
        <v>235</v>
      </c>
      <c r="E50" s="42"/>
      <c r="F50" s="42"/>
      <c r="G50" s="42"/>
      <c r="H50" s="42"/>
      <c r="I50" s="42"/>
      <c r="J50" s="42"/>
      <c r="L50" s="172"/>
      <c r="M50" s="39"/>
      <c r="N50" s="39"/>
      <c r="O50" s="39"/>
      <c r="P50" s="39"/>
      <c r="Q50" s="39"/>
      <c r="R50" s="39"/>
      <c r="S50" s="39"/>
      <c r="T50" s="39"/>
      <c r="U50" s="39"/>
      <c r="V50" s="39"/>
      <c r="W50" s="39"/>
      <c r="X50" s="39"/>
      <c r="Y50" s="39"/>
      <c r="Z50" s="39"/>
    </row>
    <row r="51" spans="1:26" hidden="1" outlineLevel="1" x14ac:dyDescent="0.2">
      <c r="A51" s="172"/>
      <c r="B51" s="172"/>
      <c r="C51" s="172"/>
      <c r="L51" s="172"/>
      <c r="M51" s="39"/>
      <c r="N51" s="39"/>
      <c r="O51" s="39"/>
      <c r="P51" s="39"/>
      <c r="Q51" s="39"/>
      <c r="R51" s="39"/>
      <c r="S51" s="39"/>
      <c r="T51" s="39"/>
      <c r="U51" s="39"/>
      <c r="V51" s="39"/>
      <c r="W51" s="39"/>
      <c r="X51" s="39"/>
      <c r="Y51" s="39"/>
      <c r="Z51" s="39"/>
    </row>
    <row r="52" spans="1:26" collapsed="1" x14ac:dyDescent="0.2">
      <c r="A52" s="172"/>
      <c r="B52" s="172"/>
      <c r="C52" s="172"/>
      <c r="L52" s="172"/>
      <c r="M52" s="39"/>
      <c r="N52" s="39"/>
      <c r="O52" s="39"/>
      <c r="P52" s="39"/>
      <c r="Q52" s="39"/>
      <c r="R52" s="39"/>
      <c r="S52" s="39"/>
      <c r="T52" s="39"/>
      <c r="U52" s="39"/>
      <c r="V52" s="39"/>
      <c r="W52" s="39"/>
      <c r="X52" s="39"/>
      <c r="Y52" s="39"/>
      <c r="Z52" s="39"/>
    </row>
    <row r="53" spans="1:26" ht="15.75" x14ac:dyDescent="0.2">
      <c r="A53" s="172"/>
      <c r="B53" s="209">
        <f>IF(E57&lt;&gt;"",VLOOKUP(E57,GenderCode,2,FALSE),0)</f>
        <v>0</v>
      </c>
      <c r="C53" s="52">
        <v>3</v>
      </c>
      <c r="D53" s="72" t="str">
        <f>IF(B53=0,MsgNotUsed, CONCATENATE("AIHW ", C53, ": ", E55,": ", E57, " (", E60, "-", J60, ")"))</f>
        <v>** NOT USED **</v>
      </c>
      <c r="E53" s="113"/>
      <c r="F53" s="113"/>
      <c r="G53" s="113"/>
      <c r="H53" s="113"/>
      <c r="I53" s="154"/>
      <c r="J53" s="113"/>
      <c r="K53" s="113"/>
      <c r="L53" s="113"/>
      <c r="M53" s="224"/>
      <c r="N53" s="224"/>
      <c r="O53" s="224"/>
      <c r="P53" s="224"/>
      <c r="Q53" s="224"/>
      <c r="R53" s="224"/>
      <c r="S53" s="224"/>
      <c r="T53" s="224"/>
      <c r="U53" s="224"/>
      <c r="V53" s="224"/>
      <c r="W53" s="224"/>
      <c r="X53" s="224"/>
      <c r="Y53" s="224"/>
      <c r="Z53" s="224"/>
    </row>
    <row r="54" spans="1:26" hidden="1" outlineLevel="1" x14ac:dyDescent="0.2">
      <c r="A54" s="172"/>
      <c r="B54" s="172"/>
      <c r="C54" s="172"/>
      <c r="D54" s="450"/>
      <c r="S54" s="1"/>
      <c r="T54" s="1"/>
      <c r="U54" s="1"/>
      <c r="V54" s="1"/>
      <c r="W54" s="1"/>
      <c r="X54" s="1"/>
      <c r="Y54" s="1"/>
      <c r="Z54" s="1"/>
    </row>
    <row r="55" spans="1:26" hidden="1" outlineLevel="1" x14ac:dyDescent="0.2">
      <c r="A55" s="172"/>
      <c r="B55" s="172"/>
      <c r="C55" s="172"/>
      <c r="D55" s="37" t="s">
        <v>270</v>
      </c>
      <c r="E55" s="669"/>
      <c r="F55" s="642"/>
      <c r="G55" s="642"/>
      <c r="H55" s="642"/>
      <c r="I55" s="642"/>
      <c r="J55" s="643"/>
      <c r="L55" s="37" t="s">
        <v>261</v>
      </c>
      <c r="M55" s="669"/>
      <c r="N55" s="642"/>
      <c r="O55" s="642"/>
      <c r="P55" s="642"/>
      <c r="Q55" s="642"/>
      <c r="R55" s="643"/>
      <c r="S55" s="38"/>
      <c r="T55" s="38"/>
      <c r="U55" s="38"/>
      <c r="V55" s="38"/>
      <c r="W55" s="38"/>
      <c r="X55" s="38"/>
      <c r="Y55" s="38"/>
      <c r="Z55" s="38"/>
    </row>
    <row r="56" spans="1:26" hidden="1" outlineLevel="1" x14ac:dyDescent="0.2">
      <c r="A56" s="172"/>
      <c r="B56" s="172"/>
      <c r="C56" s="172"/>
      <c r="D56" s="450"/>
      <c r="S56" s="38"/>
      <c r="T56" s="38"/>
      <c r="U56" s="38"/>
      <c r="V56" s="38"/>
      <c r="W56" s="38"/>
      <c r="X56" s="38"/>
      <c r="Y56" s="38"/>
      <c r="Z56" s="38"/>
    </row>
    <row r="57" spans="1:26" hidden="1" outlineLevel="1" x14ac:dyDescent="0.2">
      <c r="A57" s="172"/>
      <c r="B57" s="172"/>
      <c r="C57" s="172"/>
      <c r="D57" s="75" t="s">
        <v>51</v>
      </c>
      <c r="E57" s="70"/>
      <c r="G57" s="172"/>
      <c r="H57" s="172"/>
      <c r="I57" s="75" t="s">
        <v>355</v>
      </c>
      <c r="J57" s="70"/>
      <c r="L57" s="173"/>
      <c r="M57" s="38"/>
      <c r="N57" s="38"/>
      <c r="O57" s="38"/>
      <c r="P57" s="38"/>
      <c r="Q57" s="38"/>
      <c r="R57" s="38"/>
      <c r="S57" s="38"/>
      <c r="T57" s="38"/>
      <c r="U57" s="38"/>
      <c r="V57" s="38"/>
      <c r="W57" s="38"/>
      <c r="X57" s="38"/>
      <c r="Y57" s="38"/>
      <c r="Z57" s="38"/>
    </row>
    <row r="58" spans="1:26" hidden="1" outlineLevel="1" x14ac:dyDescent="0.2">
      <c r="A58" s="172"/>
      <c r="B58" s="172"/>
      <c r="C58" s="172"/>
      <c r="L58" s="173"/>
      <c r="M58" s="38"/>
      <c r="N58" s="38"/>
      <c r="O58" s="38"/>
      <c r="P58" s="38"/>
      <c r="Q58" s="38"/>
      <c r="R58" s="38"/>
      <c r="S58" s="38"/>
      <c r="T58" s="38"/>
      <c r="U58" s="38"/>
      <c r="V58" s="38"/>
      <c r="W58" s="38"/>
      <c r="X58" s="38"/>
      <c r="Y58" s="38"/>
      <c r="Z58" s="38"/>
    </row>
    <row r="59" spans="1:26" hidden="1" outlineLevel="1" x14ac:dyDescent="0.2">
      <c r="A59" s="172"/>
      <c r="B59" s="172"/>
      <c r="C59" s="172"/>
      <c r="E59" s="260" t="s">
        <v>246</v>
      </c>
      <c r="L59" s="173"/>
      <c r="M59" s="38"/>
      <c r="N59" s="38"/>
      <c r="O59" s="38"/>
      <c r="P59" s="38"/>
      <c r="Q59" s="38"/>
      <c r="R59" s="38"/>
      <c r="S59" s="38"/>
      <c r="T59" s="38"/>
      <c r="U59" s="38"/>
      <c r="V59" s="38"/>
      <c r="W59" s="38"/>
      <c r="X59" s="38"/>
      <c r="Y59" s="38"/>
      <c r="Z59" s="38"/>
    </row>
    <row r="60" spans="1:26" hidden="1" outlineLevel="1" x14ac:dyDescent="0.2">
      <c r="A60" s="172"/>
      <c r="B60" s="172"/>
      <c r="C60" s="172"/>
      <c r="E60" s="71">
        <f>IF(J57&lt;&gt;"",J57,FirstYear)</f>
        <v>2026</v>
      </c>
      <c r="F60" s="74">
        <f>E60+1</f>
        <v>2027</v>
      </c>
      <c r="G60" s="74">
        <f>F60+1</f>
        <v>2028</v>
      </c>
      <c r="H60" s="74">
        <f>G60+1</f>
        <v>2029</v>
      </c>
      <c r="I60" s="74">
        <f>H60+1</f>
        <v>2030</v>
      </c>
      <c r="J60" s="74">
        <f>I60+1</f>
        <v>2031</v>
      </c>
      <c r="L60" s="173"/>
      <c r="M60" s="38"/>
      <c r="N60" s="38"/>
      <c r="O60" s="38"/>
      <c r="P60" s="38"/>
      <c r="Q60" s="38"/>
      <c r="R60" s="38"/>
      <c r="S60" s="38"/>
      <c r="T60" s="38"/>
      <c r="U60" s="38"/>
      <c r="V60" s="38"/>
      <c r="W60" s="38"/>
      <c r="X60" s="38"/>
      <c r="Y60" s="38"/>
      <c r="Z60" s="38"/>
    </row>
    <row r="61" spans="1:26" hidden="1" outlineLevel="1" x14ac:dyDescent="0.2">
      <c r="A61" s="172"/>
      <c r="B61" s="172"/>
      <c r="C61" s="172"/>
      <c r="E61" s="57">
        <f t="shared" ref="E61:J61" si="16">IF($B$53&lt;&gt;0,VLOOKUP($B$53,$C$65:$J$67,E62),0)</f>
        <v>0</v>
      </c>
      <c r="F61" s="57">
        <f t="shared" si="16"/>
        <v>0</v>
      </c>
      <c r="G61" s="57">
        <f t="shared" si="16"/>
        <v>0</v>
      </c>
      <c r="H61" s="57">
        <f t="shared" si="16"/>
        <v>0</v>
      </c>
      <c r="I61" s="57">
        <f t="shared" si="16"/>
        <v>0</v>
      </c>
      <c r="J61" s="57">
        <f t="shared" si="16"/>
        <v>0</v>
      </c>
      <c r="L61" s="173"/>
      <c r="M61" s="38"/>
      <c r="N61" s="38"/>
      <c r="O61" s="38"/>
      <c r="P61" s="38"/>
      <c r="Q61" s="38"/>
      <c r="R61" s="38"/>
      <c r="S61" s="38"/>
      <c r="T61" s="38"/>
      <c r="U61" s="38"/>
      <c r="V61" s="38"/>
      <c r="W61" s="38"/>
      <c r="X61" s="38"/>
      <c r="Y61" s="38"/>
      <c r="Z61" s="38"/>
    </row>
    <row r="62" spans="1:26" hidden="1" outlineLevel="1" x14ac:dyDescent="0.2">
      <c r="A62" s="172"/>
      <c r="B62" s="172"/>
      <c r="C62" s="172"/>
      <c r="E62" s="155">
        <v>3</v>
      </c>
      <c r="F62" s="155">
        <v>4</v>
      </c>
      <c r="G62" s="155">
        <v>5</v>
      </c>
      <c r="H62" s="155">
        <v>6</v>
      </c>
      <c r="I62" s="155">
        <v>7</v>
      </c>
      <c r="J62" s="155">
        <v>8</v>
      </c>
      <c r="L62" s="173"/>
      <c r="M62" s="38"/>
      <c r="N62" s="38"/>
      <c r="O62" s="38"/>
      <c r="P62" s="38"/>
      <c r="Q62" s="38"/>
      <c r="R62" s="38"/>
      <c r="S62" s="38"/>
      <c r="T62" s="38"/>
      <c r="U62" s="38"/>
      <c r="V62" s="38"/>
      <c r="W62" s="38"/>
      <c r="X62" s="38"/>
      <c r="Y62" s="38"/>
      <c r="Z62" s="38"/>
    </row>
    <row r="63" spans="1:26" hidden="1" outlineLevel="1" x14ac:dyDescent="0.2">
      <c r="A63" s="172"/>
      <c r="B63" s="172"/>
      <c r="C63" s="172"/>
      <c r="D63" s="26" t="s">
        <v>314</v>
      </c>
      <c r="E63" s="71">
        <f t="shared" ref="E63:J63" si="17">E60</f>
        <v>2026</v>
      </c>
      <c r="F63" s="71">
        <f t="shared" si="17"/>
        <v>2027</v>
      </c>
      <c r="G63" s="71">
        <f t="shared" si="17"/>
        <v>2028</v>
      </c>
      <c r="H63" s="71">
        <f t="shared" si="17"/>
        <v>2029</v>
      </c>
      <c r="I63" s="71">
        <f t="shared" si="17"/>
        <v>2030</v>
      </c>
      <c r="J63" s="71">
        <f t="shared" si="17"/>
        <v>2031</v>
      </c>
      <c r="L63" s="172"/>
      <c r="M63" s="39"/>
      <c r="N63" s="39"/>
      <c r="O63" s="39"/>
      <c r="P63" s="39"/>
      <c r="Q63" s="39"/>
      <c r="R63" s="39"/>
      <c r="S63" s="39"/>
      <c r="T63" s="39"/>
      <c r="U63" s="39"/>
      <c r="V63" s="39"/>
      <c r="W63" s="39"/>
      <c r="X63" s="39"/>
      <c r="Y63" s="39"/>
      <c r="Z63" s="39"/>
    </row>
    <row r="64" spans="1:26" hidden="1" outlineLevel="1" x14ac:dyDescent="0.2">
      <c r="A64" s="172"/>
      <c r="B64" s="172"/>
      <c r="D64" s="156" t="s">
        <v>231</v>
      </c>
      <c r="E64" s="57">
        <f t="shared" ref="E64:J64" si="18">IF(OR(E65="",E65=0),SUM(E66:E67),E65)</f>
        <v>0</v>
      </c>
      <c r="F64" s="57">
        <f t="shared" si="18"/>
        <v>0</v>
      </c>
      <c r="G64" s="57">
        <f t="shared" si="18"/>
        <v>0</v>
      </c>
      <c r="H64" s="57">
        <f t="shared" si="18"/>
        <v>0</v>
      </c>
      <c r="I64" s="57">
        <f t="shared" si="18"/>
        <v>0</v>
      </c>
      <c r="J64" s="57">
        <f t="shared" si="18"/>
        <v>0</v>
      </c>
      <c r="L64" s="172"/>
      <c r="M64" s="39"/>
      <c r="N64" s="39"/>
      <c r="O64" s="39"/>
      <c r="P64" s="39"/>
      <c r="Q64" s="39"/>
      <c r="R64" s="39"/>
      <c r="S64" s="39"/>
      <c r="T64" s="39"/>
      <c r="U64" s="39"/>
      <c r="V64" s="39"/>
      <c r="W64" s="39"/>
      <c r="X64" s="39"/>
      <c r="Y64" s="39"/>
      <c r="Z64" s="39"/>
    </row>
    <row r="65" spans="1:26" hidden="1" outlineLevel="1" x14ac:dyDescent="0.2">
      <c r="A65" s="172"/>
      <c r="B65" s="172"/>
      <c r="C65" s="52">
        <v>1</v>
      </c>
      <c r="D65" s="156" t="s">
        <v>356</v>
      </c>
      <c r="E65" s="42"/>
      <c r="F65" s="42"/>
      <c r="G65" s="42"/>
      <c r="H65" s="42"/>
      <c r="I65" s="42"/>
      <c r="J65" s="42"/>
      <c r="L65" s="172"/>
      <c r="M65" s="39"/>
      <c r="N65" s="39"/>
      <c r="O65" s="39"/>
      <c r="P65" s="39"/>
      <c r="Q65" s="39"/>
      <c r="R65" s="39"/>
      <c r="S65" s="39"/>
      <c r="T65" s="39"/>
      <c r="U65" s="39"/>
      <c r="V65" s="39"/>
      <c r="W65" s="39"/>
      <c r="X65" s="39"/>
      <c r="Y65" s="39"/>
      <c r="Z65" s="39"/>
    </row>
    <row r="66" spans="1:26" hidden="1" outlineLevel="1" x14ac:dyDescent="0.2">
      <c r="A66" s="172"/>
      <c r="B66" s="172"/>
      <c r="C66" s="52">
        <v>2</v>
      </c>
      <c r="D66" s="156" t="s">
        <v>234</v>
      </c>
      <c r="E66" s="42"/>
      <c r="F66" s="42"/>
      <c r="G66" s="42"/>
      <c r="H66" s="42"/>
      <c r="I66" s="42"/>
      <c r="J66" s="42"/>
      <c r="L66" s="172"/>
      <c r="M66" s="39"/>
      <c r="N66" s="39"/>
      <c r="O66" s="39"/>
      <c r="P66" s="39"/>
      <c r="Q66" s="39"/>
      <c r="R66" s="39"/>
      <c r="S66" s="39"/>
      <c r="T66" s="39"/>
      <c r="U66" s="39"/>
      <c r="V66" s="39"/>
      <c r="W66" s="39"/>
      <c r="X66" s="39"/>
      <c r="Y66" s="39"/>
      <c r="Z66" s="39"/>
    </row>
    <row r="67" spans="1:26" hidden="1" outlineLevel="1" x14ac:dyDescent="0.2">
      <c r="A67" s="172"/>
      <c r="B67" s="172"/>
      <c r="C67" s="52">
        <v>3</v>
      </c>
      <c r="D67" s="156" t="s">
        <v>235</v>
      </c>
      <c r="E67" s="42"/>
      <c r="F67" s="42"/>
      <c r="G67" s="42"/>
      <c r="H67" s="42"/>
      <c r="I67" s="42"/>
      <c r="J67" s="42"/>
      <c r="L67" s="172"/>
      <c r="M67" s="39"/>
      <c r="N67" s="39"/>
      <c r="O67" s="39"/>
      <c r="P67" s="39"/>
      <c r="Q67" s="39"/>
      <c r="R67" s="39"/>
      <c r="S67" s="39"/>
      <c r="T67" s="39"/>
      <c r="U67" s="39"/>
      <c r="V67" s="39"/>
      <c r="W67" s="39"/>
      <c r="X67" s="39"/>
      <c r="Y67" s="39"/>
      <c r="Z67" s="39"/>
    </row>
    <row r="68" spans="1:26" hidden="1" outlineLevel="1" x14ac:dyDescent="0.2">
      <c r="A68" s="172"/>
      <c r="B68" s="172"/>
      <c r="C68" s="172"/>
      <c r="L68" s="172"/>
      <c r="M68" s="39"/>
      <c r="N68" s="39"/>
      <c r="O68" s="39"/>
      <c r="P68" s="39"/>
      <c r="Q68" s="39"/>
      <c r="R68" s="39"/>
      <c r="S68" s="39"/>
      <c r="T68" s="39"/>
      <c r="U68" s="39"/>
      <c r="V68" s="39"/>
      <c r="W68" s="39"/>
      <c r="X68" s="39"/>
      <c r="Y68" s="39"/>
      <c r="Z68" s="39"/>
    </row>
    <row r="69" spans="1:26" collapsed="1" x14ac:dyDescent="0.2">
      <c r="A69" s="172"/>
      <c r="B69" s="172"/>
      <c r="C69" s="172"/>
      <c r="L69" s="172"/>
      <c r="M69" s="39"/>
      <c r="N69" s="39"/>
      <c r="O69" s="39"/>
      <c r="P69" s="39"/>
      <c r="Q69" s="39"/>
      <c r="R69" s="39"/>
      <c r="S69" s="39"/>
      <c r="T69" s="39"/>
      <c r="U69" s="39"/>
      <c r="V69" s="39"/>
      <c r="W69" s="39"/>
      <c r="X69" s="39"/>
      <c r="Y69" s="39"/>
      <c r="Z69" s="39"/>
    </row>
    <row r="70" spans="1:26" ht="15.75" x14ac:dyDescent="0.2">
      <c r="A70" s="172"/>
      <c r="B70" s="209">
        <f>IF(E74&lt;&gt;"",VLOOKUP(E74,GenderCode,2,FALSE),0)</f>
        <v>0</v>
      </c>
      <c r="C70" s="52">
        <v>4</v>
      </c>
      <c r="D70" s="72" t="str">
        <f>IF(B70=0,MsgNotUsed, CONCATENATE("AIHW ", C70, ": ", E72,": ", E74, " (", E77, "-", J77, ")"))</f>
        <v>** NOT USED **</v>
      </c>
      <c r="E70" s="113"/>
      <c r="F70" s="113"/>
      <c r="G70" s="113"/>
      <c r="H70" s="113"/>
      <c r="I70" s="154"/>
      <c r="J70" s="113"/>
      <c r="K70" s="113"/>
      <c r="L70" s="113"/>
      <c r="M70" s="224"/>
      <c r="N70" s="224"/>
      <c r="O70" s="224"/>
      <c r="P70" s="224"/>
      <c r="Q70" s="224"/>
      <c r="R70" s="224"/>
      <c r="S70" s="224"/>
      <c r="T70" s="224"/>
      <c r="U70" s="224"/>
      <c r="V70" s="224"/>
      <c r="W70" s="224"/>
      <c r="X70" s="224"/>
      <c r="Y70" s="224"/>
      <c r="Z70" s="224"/>
    </row>
    <row r="71" spans="1:26" hidden="1" outlineLevel="1" x14ac:dyDescent="0.2">
      <c r="A71" s="172"/>
      <c r="B71" s="172"/>
      <c r="C71" s="172"/>
      <c r="D71" s="450"/>
      <c r="S71" s="1"/>
      <c r="T71" s="1"/>
      <c r="U71" s="1"/>
      <c r="V71" s="1"/>
      <c r="W71" s="1"/>
      <c r="X71" s="1"/>
      <c r="Y71" s="1"/>
      <c r="Z71" s="1"/>
    </row>
    <row r="72" spans="1:26" hidden="1" outlineLevel="1" x14ac:dyDescent="0.2">
      <c r="A72" s="172"/>
      <c r="B72" s="172"/>
      <c r="C72" s="172"/>
      <c r="D72" s="37" t="s">
        <v>270</v>
      </c>
      <c r="E72" s="669"/>
      <c r="F72" s="642"/>
      <c r="G72" s="642"/>
      <c r="H72" s="642"/>
      <c r="I72" s="642"/>
      <c r="J72" s="643"/>
      <c r="L72" s="37" t="s">
        <v>261</v>
      </c>
      <c r="M72" s="669"/>
      <c r="N72" s="642"/>
      <c r="O72" s="642"/>
      <c r="P72" s="642"/>
      <c r="Q72" s="642"/>
      <c r="R72" s="643"/>
      <c r="S72" s="38"/>
      <c r="T72" s="38"/>
      <c r="U72" s="38"/>
      <c r="V72" s="38"/>
      <c r="W72" s="38"/>
      <c r="X72" s="38"/>
      <c r="Y72" s="38"/>
      <c r="Z72" s="38"/>
    </row>
    <row r="73" spans="1:26" hidden="1" outlineLevel="1" x14ac:dyDescent="0.2">
      <c r="A73" s="172"/>
      <c r="B73" s="172"/>
      <c r="C73" s="172"/>
      <c r="D73" s="450"/>
      <c r="S73" s="38"/>
      <c r="T73" s="38"/>
      <c r="U73" s="38"/>
      <c r="V73" s="38"/>
      <c r="W73" s="38"/>
      <c r="X73" s="38"/>
      <c r="Y73" s="38"/>
      <c r="Z73" s="38"/>
    </row>
    <row r="74" spans="1:26" hidden="1" outlineLevel="1" x14ac:dyDescent="0.2">
      <c r="A74" s="172"/>
      <c r="B74" s="172"/>
      <c r="C74" s="172"/>
      <c r="D74" s="75" t="s">
        <v>51</v>
      </c>
      <c r="E74" s="70"/>
      <c r="G74" s="172"/>
      <c r="H74" s="172"/>
      <c r="I74" s="75" t="s">
        <v>355</v>
      </c>
      <c r="J74" s="70"/>
      <c r="L74" s="173"/>
      <c r="M74" s="38"/>
      <c r="N74" s="38"/>
      <c r="O74" s="38"/>
      <c r="P74" s="38"/>
      <c r="Q74" s="38"/>
      <c r="R74" s="38"/>
      <c r="S74" s="38"/>
      <c r="T74" s="38"/>
      <c r="U74" s="38"/>
      <c r="V74" s="38"/>
      <c r="W74" s="38"/>
      <c r="X74" s="38"/>
      <c r="Y74" s="38"/>
      <c r="Z74" s="38"/>
    </row>
    <row r="75" spans="1:26" hidden="1" outlineLevel="1" x14ac:dyDescent="0.2">
      <c r="A75" s="172"/>
      <c r="B75" s="172"/>
      <c r="C75" s="172"/>
      <c r="L75" s="173"/>
      <c r="M75" s="38"/>
      <c r="N75" s="38"/>
      <c r="O75" s="38"/>
      <c r="P75" s="38"/>
      <c r="Q75" s="38"/>
      <c r="R75" s="38"/>
      <c r="S75" s="38"/>
      <c r="T75" s="38"/>
      <c r="U75" s="38"/>
      <c r="V75" s="38"/>
      <c r="W75" s="38"/>
      <c r="X75" s="38"/>
      <c r="Y75" s="38"/>
      <c r="Z75" s="38"/>
    </row>
    <row r="76" spans="1:26" hidden="1" outlineLevel="1" x14ac:dyDescent="0.2">
      <c r="A76" s="172"/>
      <c r="B76" s="172"/>
      <c r="C76" s="172"/>
      <c r="E76" s="260" t="s">
        <v>246</v>
      </c>
      <c r="L76" s="173"/>
      <c r="M76" s="38"/>
      <c r="N76" s="38"/>
      <c r="O76" s="38"/>
      <c r="P76" s="38"/>
      <c r="Q76" s="38"/>
      <c r="R76" s="38"/>
      <c r="S76" s="38"/>
      <c r="T76" s="38"/>
      <c r="U76" s="38"/>
      <c r="V76" s="38"/>
      <c r="W76" s="38"/>
      <c r="X76" s="38"/>
      <c r="Y76" s="38"/>
      <c r="Z76" s="38"/>
    </row>
    <row r="77" spans="1:26" hidden="1" outlineLevel="1" x14ac:dyDescent="0.2">
      <c r="A77" s="172"/>
      <c r="B77" s="172"/>
      <c r="C77" s="172"/>
      <c r="E77" s="71">
        <f>IF(J74&lt;&gt;"",J74,FirstYear)</f>
        <v>2026</v>
      </c>
      <c r="F77" s="74">
        <f>E77+1</f>
        <v>2027</v>
      </c>
      <c r="G77" s="74">
        <f>F77+1</f>
        <v>2028</v>
      </c>
      <c r="H77" s="74">
        <f>G77+1</f>
        <v>2029</v>
      </c>
      <c r="I77" s="74">
        <f>H77+1</f>
        <v>2030</v>
      </c>
      <c r="J77" s="74">
        <f>I77+1</f>
        <v>2031</v>
      </c>
      <c r="L77" s="173"/>
      <c r="M77" s="38"/>
      <c r="N77" s="38"/>
      <c r="O77" s="38"/>
      <c r="P77" s="38"/>
      <c r="Q77" s="38"/>
      <c r="R77" s="38"/>
      <c r="S77" s="38"/>
      <c r="T77" s="38"/>
      <c r="U77" s="38"/>
      <c r="V77" s="38"/>
      <c r="W77" s="38"/>
      <c r="X77" s="38"/>
      <c r="Y77" s="38"/>
      <c r="Z77" s="38"/>
    </row>
    <row r="78" spans="1:26" hidden="1" outlineLevel="1" x14ac:dyDescent="0.2">
      <c r="A78" s="172"/>
      <c r="B78" s="172"/>
      <c r="C78" s="172"/>
      <c r="E78" s="57">
        <f t="shared" ref="E78:J78" si="19">IF($B$70&lt;&gt;0,VLOOKUP($B$70,$C$82:$J$84,E79),0)</f>
        <v>0</v>
      </c>
      <c r="F78" s="57">
        <f t="shared" si="19"/>
        <v>0</v>
      </c>
      <c r="G78" s="57">
        <f t="shared" si="19"/>
        <v>0</v>
      </c>
      <c r="H78" s="57">
        <f t="shared" si="19"/>
        <v>0</v>
      </c>
      <c r="I78" s="57">
        <f t="shared" si="19"/>
        <v>0</v>
      </c>
      <c r="J78" s="57">
        <f t="shared" si="19"/>
        <v>0</v>
      </c>
      <c r="L78" s="173"/>
      <c r="M78" s="38"/>
      <c r="N78" s="38"/>
      <c r="O78" s="38"/>
      <c r="P78" s="38"/>
      <c r="Q78" s="38"/>
      <c r="R78" s="38"/>
      <c r="S78" s="38"/>
      <c r="T78" s="38"/>
      <c r="U78" s="38"/>
      <c r="V78" s="38"/>
      <c r="W78" s="38"/>
      <c r="X78" s="38"/>
      <c r="Y78" s="38"/>
      <c r="Z78" s="38"/>
    </row>
    <row r="79" spans="1:26" hidden="1" outlineLevel="1" x14ac:dyDescent="0.2">
      <c r="A79" s="172"/>
      <c r="B79" s="172"/>
      <c r="C79" s="172"/>
      <c r="E79" s="155">
        <v>3</v>
      </c>
      <c r="F79" s="155">
        <v>4</v>
      </c>
      <c r="G79" s="155">
        <v>5</v>
      </c>
      <c r="H79" s="155">
        <v>6</v>
      </c>
      <c r="I79" s="155">
        <v>7</v>
      </c>
      <c r="J79" s="155">
        <v>8</v>
      </c>
      <c r="L79" s="173"/>
      <c r="M79" s="38"/>
      <c r="N79" s="38"/>
      <c r="O79" s="38"/>
      <c r="P79" s="38"/>
      <c r="Q79" s="38"/>
      <c r="R79" s="38"/>
      <c r="S79" s="38"/>
      <c r="T79" s="38"/>
      <c r="U79" s="38"/>
      <c r="V79" s="38"/>
      <c r="W79" s="38"/>
      <c r="X79" s="38"/>
      <c r="Y79" s="38"/>
      <c r="Z79" s="38"/>
    </row>
    <row r="80" spans="1:26" hidden="1" outlineLevel="1" x14ac:dyDescent="0.2">
      <c r="A80" s="172"/>
      <c r="B80" s="172"/>
      <c r="C80" s="172"/>
      <c r="D80" s="26" t="s">
        <v>314</v>
      </c>
      <c r="E80" s="71">
        <f t="shared" ref="E80:J80" si="20">E77</f>
        <v>2026</v>
      </c>
      <c r="F80" s="71">
        <f t="shared" si="20"/>
        <v>2027</v>
      </c>
      <c r="G80" s="71">
        <f t="shared" si="20"/>
        <v>2028</v>
      </c>
      <c r="H80" s="71">
        <f t="shared" si="20"/>
        <v>2029</v>
      </c>
      <c r="I80" s="71">
        <f t="shared" si="20"/>
        <v>2030</v>
      </c>
      <c r="J80" s="71">
        <f t="shared" si="20"/>
        <v>2031</v>
      </c>
      <c r="L80" s="172"/>
      <c r="M80" s="39"/>
      <c r="N80" s="39"/>
      <c r="O80" s="39"/>
      <c r="P80" s="39"/>
      <c r="Q80" s="39"/>
      <c r="R80" s="39"/>
      <c r="S80" s="39"/>
      <c r="T80" s="39"/>
      <c r="U80" s="39"/>
      <c r="V80" s="39"/>
      <c r="W80" s="39"/>
      <c r="X80" s="39"/>
      <c r="Y80" s="39"/>
      <c r="Z80" s="39"/>
    </row>
    <row r="81" spans="1:26" hidden="1" outlineLevel="1" x14ac:dyDescent="0.2">
      <c r="A81" s="172"/>
      <c r="B81" s="172"/>
      <c r="D81" s="156" t="s">
        <v>231</v>
      </c>
      <c r="E81" s="57">
        <f t="shared" ref="E81:J81" si="21">IF(OR(E82="",E82=0),SUM(E83:E84),E82)</f>
        <v>0</v>
      </c>
      <c r="F81" s="57">
        <f t="shared" si="21"/>
        <v>0</v>
      </c>
      <c r="G81" s="57">
        <f t="shared" si="21"/>
        <v>0</v>
      </c>
      <c r="H81" s="57">
        <f t="shared" si="21"/>
        <v>0</v>
      </c>
      <c r="I81" s="57">
        <f t="shared" si="21"/>
        <v>0</v>
      </c>
      <c r="J81" s="57">
        <f t="shared" si="21"/>
        <v>0</v>
      </c>
      <c r="L81" s="172"/>
      <c r="M81" s="39"/>
      <c r="N81" s="39"/>
      <c r="O81" s="39"/>
      <c r="P81" s="39"/>
      <c r="Q81" s="39"/>
      <c r="R81" s="39"/>
      <c r="S81" s="39"/>
      <c r="T81" s="39"/>
      <c r="U81" s="39"/>
      <c r="V81" s="39"/>
      <c r="W81" s="39"/>
      <c r="X81" s="39"/>
      <c r="Y81" s="39"/>
      <c r="Z81" s="39"/>
    </row>
    <row r="82" spans="1:26" hidden="1" outlineLevel="1" x14ac:dyDescent="0.2">
      <c r="A82" s="172"/>
      <c r="B82" s="172"/>
      <c r="C82" s="52">
        <v>1</v>
      </c>
      <c r="D82" s="156" t="s">
        <v>356</v>
      </c>
      <c r="E82" s="42"/>
      <c r="F82" s="42"/>
      <c r="G82" s="42"/>
      <c r="H82" s="42"/>
      <c r="I82" s="42"/>
      <c r="J82" s="42"/>
      <c r="L82" s="172"/>
      <c r="M82" s="39"/>
      <c r="N82" s="39"/>
      <c r="O82" s="39"/>
      <c r="P82" s="39"/>
      <c r="Q82" s="39"/>
      <c r="R82" s="39"/>
      <c r="S82" s="39"/>
      <c r="T82" s="39"/>
      <c r="U82" s="39"/>
      <c r="V82" s="39"/>
      <c r="W82" s="39"/>
      <c r="X82" s="39"/>
      <c r="Y82" s="39"/>
      <c r="Z82" s="39"/>
    </row>
    <row r="83" spans="1:26" hidden="1" outlineLevel="1" x14ac:dyDescent="0.2">
      <c r="A83" s="172"/>
      <c r="B83" s="172"/>
      <c r="C83" s="52">
        <v>2</v>
      </c>
      <c r="D83" s="156" t="s">
        <v>234</v>
      </c>
      <c r="E83" s="42"/>
      <c r="F83" s="42"/>
      <c r="G83" s="42"/>
      <c r="H83" s="42"/>
      <c r="I83" s="42"/>
      <c r="J83" s="42"/>
      <c r="L83" s="172"/>
      <c r="M83" s="39"/>
      <c r="N83" s="39"/>
      <c r="O83" s="39"/>
      <c r="P83" s="39"/>
      <c r="Q83" s="39"/>
      <c r="R83" s="39"/>
      <c r="S83" s="39"/>
      <c r="T83" s="39"/>
      <c r="U83" s="39"/>
      <c r="V83" s="39"/>
      <c r="W83" s="39"/>
      <c r="X83" s="39"/>
      <c r="Y83" s="39"/>
      <c r="Z83" s="39"/>
    </row>
    <row r="84" spans="1:26" hidden="1" outlineLevel="1" x14ac:dyDescent="0.2">
      <c r="A84" s="172"/>
      <c r="B84" s="172"/>
      <c r="C84" s="52">
        <v>3</v>
      </c>
      <c r="D84" s="156" t="s">
        <v>235</v>
      </c>
      <c r="E84" s="42"/>
      <c r="F84" s="42"/>
      <c r="G84" s="42"/>
      <c r="H84" s="42"/>
      <c r="I84" s="42"/>
      <c r="J84" s="42"/>
      <c r="L84" s="172"/>
      <c r="M84" s="39"/>
      <c r="N84" s="39"/>
      <c r="O84" s="39"/>
      <c r="P84" s="39"/>
      <c r="Q84" s="39"/>
      <c r="R84" s="39"/>
      <c r="S84" s="39"/>
      <c r="T84" s="39"/>
      <c r="U84" s="39"/>
      <c r="V84" s="39"/>
      <c r="W84" s="39"/>
      <c r="X84" s="39"/>
      <c r="Y84" s="39"/>
      <c r="Z84" s="39"/>
    </row>
    <row r="85" spans="1:26" hidden="1" outlineLevel="1" x14ac:dyDescent="0.2">
      <c r="A85" s="172"/>
      <c r="B85" s="172"/>
      <c r="C85" s="172"/>
      <c r="L85" s="172"/>
      <c r="M85" s="39"/>
      <c r="N85" s="39"/>
      <c r="O85" s="39"/>
      <c r="P85" s="39"/>
      <c r="Q85" s="39"/>
      <c r="R85" s="39"/>
      <c r="S85" s="39"/>
      <c r="T85" s="39"/>
      <c r="U85" s="39"/>
      <c r="V85" s="39"/>
      <c r="W85" s="39"/>
      <c r="X85" s="39"/>
      <c r="Y85" s="39"/>
      <c r="Z85" s="39"/>
    </row>
    <row r="86" spans="1:26" collapsed="1" x14ac:dyDescent="0.2">
      <c r="A86" s="172"/>
      <c r="B86" s="172"/>
      <c r="C86" s="172"/>
      <c r="L86" s="172"/>
      <c r="M86" s="39"/>
      <c r="N86" s="39"/>
      <c r="O86" s="39"/>
      <c r="P86" s="39"/>
      <c r="Q86" s="39"/>
      <c r="R86" s="39"/>
      <c r="S86" s="39"/>
      <c r="T86" s="39"/>
      <c r="U86" s="39"/>
      <c r="V86" s="39"/>
      <c r="W86" s="39"/>
      <c r="X86" s="39"/>
      <c r="Y86" s="39"/>
      <c r="Z86" s="39"/>
    </row>
    <row r="87" spans="1:26" ht="15.75" x14ac:dyDescent="0.2">
      <c r="A87" s="172"/>
      <c r="B87" s="209">
        <f>IF(E91&lt;&gt;"",VLOOKUP(E91,GenderCode,2,FALSE),0)</f>
        <v>0</v>
      </c>
      <c r="C87" s="52">
        <v>5</v>
      </c>
      <c r="D87" s="72" t="str">
        <f>IF(B87=0,MsgNotUsed, CONCATENATE("AIHW ", C87, ": ", E89,": ", E91, " (", E94, "-", J94, ")"))</f>
        <v>** NOT USED **</v>
      </c>
      <c r="E87" s="113"/>
      <c r="F87" s="113"/>
      <c r="G87" s="113"/>
      <c r="H87" s="113"/>
      <c r="I87" s="154"/>
      <c r="J87" s="113"/>
      <c r="K87" s="113"/>
      <c r="L87" s="113"/>
      <c r="M87" s="224"/>
      <c r="N87" s="224"/>
      <c r="O87" s="224"/>
      <c r="P87" s="224"/>
      <c r="Q87" s="224"/>
      <c r="R87" s="224"/>
      <c r="S87" s="224"/>
      <c r="T87" s="224"/>
      <c r="U87" s="224"/>
      <c r="V87" s="224"/>
      <c r="W87" s="224"/>
      <c r="X87" s="224"/>
      <c r="Y87" s="224"/>
      <c r="Z87" s="224"/>
    </row>
    <row r="88" spans="1:26" hidden="1" outlineLevel="1" x14ac:dyDescent="0.2">
      <c r="A88" s="172"/>
      <c r="B88" s="172"/>
      <c r="C88" s="172"/>
      <c r="D88" s="450"/>
      <c r="S88" s="1"/>
      <c r="T88" s="1"/>
      <c r="U88" s="1"/>
      <c r="V88" s="1"/>
      <c r="W88" s="1"/>
      <c r="X88" s="1"/>
      <c r="Y88" s="1"/>
      <c r="Z88" s="1"/>
    </row>
    <row r="89" spans="1:26" hidden="1" outlineLevel="1" x14ac:dyDescent="0.2">
      <c r="A89" s="172"/>
      <c r="B89" s="172"/>
      <c r="C89" s="172"/>
      <c r="D89" s="37" t="s">
        <v>270</v>
      </c>
      <c r="E89" s="669"/>
      <c r="F89" s="642"/>
      <c r="G89" s="642"/>
      <c r="H89" s="642"/>
      <c r="I89" s="642"/>
      <c r="J89" s="643"/>
      <c r="L89" s="37" t="s">
        <v>261</v>
      </c>
      <c r="M89" s="669"/>
      <c r="N89" s="642"/>
      <c r="O89" s="642"/>
      <c r="P89" s="642"/>
      <c r="Q89" s="642"/>
      <c r="R89" s="643"/>
      <c r="S89" s="38"/>
      <c r="T89" s="38"/>
      <c r="U89" s="38"/>
      <c r="V89" s="38"/>
      <c r="W89" s="38"/>
      <c r="X89" s="38"/>
      <c r="Y89" s="38"/>
      <c r="Z89" s="38"/>
    </row>
    <row r="90" spans="1:26" hidden="1" outlineLevel="1" x14ac:dyDescent="0.2">
      <c r="A90" s="172"/>
      <c r="B90" s="172"/>
      <c r="C90" s="172"/>
      <c r="D90" s="450"/>
      <c r="S90" s="38"/>
      <c r="T90" s="38"/>
      <c r="U90" s="38"/>
      <c r="V90" s="38"/>
      <c r="W90" s="38"/>
      <c r="X90" s="38"/>
      <c r="Y90" s="38"/>
      <c r="Z90" s="38"/>
    </row>
    <row r="91" spans="1:26" hidden="1" outlineLevel="1" x14ac:dyDescent="0.2">
      <c r="A91" s="172"/>
      <c r="B91" s="172"/>
      <c r="C91" s="172"/>
      <c r="D91" s="75" t="s">
        <v>51</v>
      </c>
      <c r="E91" s="70"/>
      <c r="G91" s="172"/>
      <c r="H91" s="172"/>
      <c r="I91" s="75" t="s">
        <v>355</v>
      </c>
      <c r="J91" s="70"/>
      <c r="L91" s="173"/>
      <c r="M91" s="38"/>
      <c r="N91" s="38"/>
      <c r="O91" s="38"/>
      <c r="P91" s="38"/>
      <c r="Q91" s="38"/>
      <c r="R91" s="38"/>
      <c r="S91" s="38"/>
      <c r="T91" s="38"/>
      <c r="U91" s="38"/>
      <c r="V91" s="38"/>
      <c r="W91" s="38"/>
      <c r="X91" s="38"/>
      <c r="Y91" s="38"/>
      <c r="Z91" s="38"/>
    </row>
    <row r="92" spans="1:26" hidden="1" outlineLevel="1" x14ac:dyDescent="0.2">
      <c r="A92" s="172"/>
      <c r="B92" s="172"/>
      <c r="C92" s="172"/>
      <c r="L92" s="173"/>
      <c r="M92" s="38"/>
      <c r="N92" s="38"/>
      <c r="O92" s="38"/>
      <c r="P92" s="38"/>
      <c r="Q92" s="38"/>
      <c r="R92" s="38"/>
      <c r="S92" s="38"/>
      <c r="T92" s="38"/>
      <c r="U92" s="38"/>
      <c r="V92" s="38"/>
      <c r="W92" s="38"/>
      <c r="X92" s="38"/>
      <c r="Y92" s="38"/>
      <c r="Z92" s="38"/>
    </row>
    <row r="93" spans="1:26" hidden="1" outlineLevel="1" x14ac:dyDescent="0.2">
      <c r="A93" s="172"/>
      <c r="B93" s="172"/>
      <c r="C93" s="172"/>
      <c r="E93" s="260" t="s">
        <v>246</v>
      </c>
      <c r="L93" s="173"/>
      <c r="M93" s="38"/>
      <c r="N93" s="38"/>
      <c r="O93" s="38"/>
      <c r="P93" s="38"/>
      <c r="Q93" s="38"/>
      <c r="R93" s="38"/>
      <c r="S93" s="38"/>
      <c r="T93" s="38"/>
      <c r="U93" s="38"/>
      <c r="V93" s="38"/>
      <c r="W93" s="38"/>
      <c r="X93" s="38"/>
      <c r="Y93" s="38"/>
      <c r="Z93" s="38"/>
    </row>
    <row r="94" spans="1:26" hidden="1" outlineLevel="1" x14ac:dyDescent="0.2">
      <c r="A94" s="172"/>
      <c r="B94" s="172"/>
      <c r="C94" s="172"/>
      <c r="E94" s="71">
        <f>IF(J91&lt;&gt;"",J91,FirstYear)</f>
        <v>2026</v>
      </c>
      <c r="F94" s="74">
        <f>E94+1</f>
        <v>2027</v>
      </c>
      <c r="G94" s="74">
        <f>F94+1</f>
        <v>2028</v>
      </c>
      <c r="H94" s="74">
        <f>G94+1</f>
        <v>2029</v>
      </c>
      <c r="I94" s="74">
        <f>H94+1</f>
        <v>2030</v>
      </c>
      <c r="J94" s="74">
        <f>I94+1</f>
        <v>2031</v>
      </c>
      <c r="L94" s="173"/>
      <c r="M94" s="38"/>
      <c r="N94" s="38"/>
      <c r="O94" s="38"/>
      <c r="P94" s="38"/>
      <c r="Q94" s="38"/>
      <c r="R94" s="38"/>
      <c r="S94" s="38"/>
      <c r="T94" s="38"/>
      <c r="U94" s="38"/>
      <c r="V94" s="38"/>
      <c r="W94" s="38"/>
      <c r="X94" s="38"/>
      <c r="Y94" s="38"/>
      <c r="Z94" s="38"/>
    </row>
    <row r="95" spans="1:26" hidden="1" outlineLevel="1" x14ac:dyDescent="0.2">
      <c r="A95" s="172"/>
      <c r="B95" s="172"/>
      <c r="C95" s="172"/>
      <c r="E95" s="57">
        <f t="shared" ref="E95:J95" si="22">IF($B$87&lt;&gt;0,VLOOKUP($B$87,$C$99:$J$101,E96),0)</f>
        <v>0</v>
      </c>
      <c r="F95" s="57">
        <f t="shared" si="22"/>
        <v>0</v>
      </c>
      <c r="G95" s="57">
        <f t="shared" si="22"/>
        <v>0</v>
      </c>
      <c r="H95" s="57">
        <f t="shared" si="22"/>
        <v>0</v>
      </c>
      <c r="I95" s="57">
        <f t="shared" si="22"/>
        <v>0</v>
      </c>
      <c r="J95" s="57">
        <f t="shared" si="22"/>
        <v>0</v>
      </c>
      <c r="L95" s="173"/>
      <c r="M95" s="38"/>
      <c r="N95" s="38"/>
      <c r="O95" s="38"/>
      <c r="P95" s="38"/>
      <c r="Q95" s="38"/>
      <c r="R95" s="38"/>
      <c r="S95" s="38"/>
      <c r="T95" s="38"/>
      <c r="U95" s="38"/>
      <c r="V95" s="38"/>
      <c r="W95" s="38"/>
      <c r="X95" s="38"/>
      <c r="Y95" s="38"/>
      <c r="Z95" s="38"/>
    </row>
    <row r="96" spans="1:26" hidden="1" outlineLevel="1" x14ac:dyDescent="0.2">
      <c r="A96" s="172"/>
      <c r="B96" s="172"/>
      <c r="C96" s="172"/>
      <c r="E96" s="155">
        <v>3</v>
      </c>
      <c r="F96" s="155">
        <v>4</v>
      </c>
      <c r="G96" s="155">
        <v>5</v>
      </c>
      <c r="H96" s="155">
        <v>6</v>
      </c>
      <c r="I96" s="155">
        <v>7</v>
      </c>
      <c r="J96" s="155">
        <v>8</v>
      </c>
      <c r="L96" s="173"/>
      <c r="M96" s="38"/>
      <c r="N96" s="38"/>
      <c r="O96" s="38"/>
      <c r="P96" s="38"/>
      <c r="Q96" s="38"/>
      <c r="R96" s="38"/>
      <c r="S96" s="38"/>
      <c r="T96" s="38"/>
      <c r="U96" s="38"/>
      <c r="V96" s="38"/>
      <c r="W96" s="38"/>
      <c r="X96" s="38"/>
      <c r="Y96" s="38"/>
      <c r="Z96" s="38"/>
    </row>
    <row r="97" spans="1:26" hidden="1" outlineLevel="1" x14ac:dyDescent="0.2">
      <c r="A97" s="172"/>
      <c r="B97" s="172"/>
      <c r="C97" s="172"/>
      <c r="D97" s="26" t="s">
        <v>314</v>
      </c>
      <c r="E97" s="71">
        <f t="shared" ref="E97:J97" si="23">E94</f>
        <v>2026</v>
      </c>
      <c r="F97" s="71">
        <f t="shared" si="23"/>
        <v>2027</v>
      </c>
      <c r="G97" s="71">
        <f t="shared" si="23"/>
        <v>2028</v>
      </c>
      <c r="H97" s="71">
        <f t="shared" si="23"/>
        <v>2029</v>
      </c>
      <c r="I97" s="71">
        <f t="shared" si="23"/>
        <v>2030</v>
      </c>
      <c r="J97" s="71">
        <f t="shared" si="23"/>
        <v>2031</v>
      </c>
      <c r="L97" s="172"/>
      <c r="M97" s="39"/>
      <c r="N97" s="39"/>
      <c r="O97" s="39"/>
      <c r="P97" s="39"/>
      <c r="Q97" s="39"/>
      <c r="R97" s="39"/>
      <c r="S97" s="39"/>
      <c r="T97" s="39"/>
      <c r="U97" s="39"/>
      <c r="V97" s="39"/>
      <c r="W97" s="39"/>
      <c r="X97" s="39"/>
      <c r="Y97" s="39"/>
      <c r="Z97" s="39"/>
    </row>
    <row r="98" spans="1:26" hidden="1" outlineLevel="1" x14ac:dyDescent="0.2">
      <c r="A98" s="172"/>
      <c r="B98" s="172"/>
      <c r="D98" s="156" t="s">
        <v>231</v>
      </c>
      <c r="E98" s="57">
        <f t="shared" ref="E98:J98" si="24">IF(OR(E99="",E99=0),SUM(E100:E101),E99)</f>
        <v>0</v>
      </c>
      <c r="F98" s="57">
        <f t="shared" si="24"/>
        <v>0</v>
      </c>
      <c r="G98" s="57">
        <f t="shared" si="24"/>
        <v>0</v>
      </c>
      <c r="H98" s="57">
        <f t="shared" si="24"/>
        <v>0</v>
      </c>
      <c r="I98" s="57">
        <f t="shared" si="24"/>
        <v>0</v>
      </c>
      <c r="J98" s="57">
        <f t="shared" si="24"/>
        <v>0</v>
      </c>
      <c r="L98" s="172"/>
      <c r="M98" s="39"/>
      <c r="N98" s="39"/>
      <c r="O98" s="39"/>
      <c r="P98" s="39"/>
      <c r="Q98" s="39"/>
      <c r="R98" s="39"/>
      <c r="S98" s="39"/>
      <c r="T98" s="39"/>
      <c r="U98" s="39"/>
      <c r="V98" s="39"/>
      <c r="W98" s="39"/>
      <c r="X98" s="39"/>
      <c r="Y98" s="39"/>
      <c r="Z98" s="39"/>
    </row>
    <row r="99" spans="1:26" hidden="1" outlineLevel="1" x14ac:dyDescent="0.2">
      <c r="A99" s="172"/>
      <c r="B99" s="172"/>
      <c r="C99" s="52">
        <v>1</v>
      </c>
      <c r="D99" s="156" t="s">
        <v>356</v>
      </c>
      <c r="E99" s="42"/>
      <c r="F99" s="42"/>
      <c r="G99" s="42"/>
      <c r="H99" s="42"/>
      <c r="I99" s="42"/>
      <c r="J99" s="42"/>
      <c r="L99" s="172"/>
      <c r="M99" s="39"/>
      <c r="N99" s="39"/>
      <c r="O99" s="39"/>
      <c r="P99" s="39"/>
      <c r="Q99" s="39"/>
      <c r="R99" s="39"/>
      <c r="S99" s="39"/>
      <c r="T99" s="39"/>
      <c r="U99" s="39"/>
      <c r="V99" s="39"/>
      <c r="W99" s="39"/>
      <c r="X99" s="39"/>
      <c r="Y99" s="39"/>
      <c r="Z99" s="39"/>
    </row>
    <row r="100" spans="1:26" hidden="1" outlineLevel="1" x14ac:dyDescent="0.2">
      <c r="A100" s="172"/>
      <c r="B100" s="172"/>
      <c r="C100" s="52">
        <v>2</v>
      </c>
      <c r="D100" s="156" t="s">
        <v>234</v>
      </c>
      <c r="E100" s="42"/>
      <c r="F100" s="42"/>
      <c r="G100" s="42"/>
      <c r="H100" s="42"/>
      <c r="I100" s="42"/>
      <c r="J100" s="42"/>
      <c r="L100" s="172"/>
      <c r="M100" s="39"/>
      <c r="N100" s="39"/>
      <c r="O100" s="39"/>
      <c r="P100" s="39"/>
      <c r="Q100" s="39"/>
      <c r="R100" s="39"/>
      <c r="S100" s="39"/>
      <c r="T100" s="39"/>
      <c r="U100" s="39"/>
      <c r="V100" s="39"/>
      <c r="W100" s="39"/>
      <c r="X100" s="39"/>
      <c r="Y100" s="39"/>
      <c r="Z100" s="39"/>
    </row>
    <row r="101" spans="1:26" hidden="1" outlineLevel="1" x14ac:dyDescent="0.2">
      <c r="A101" s="172"/>
      <c r="B101" s="172"/>
      <c r="C101" s="52">
        <v>3</v>
      </c>
      <c r="D101" s="156" t="s">
        <v>235</v>
      </c>
      <c r="E101" s="42"/>
      <c r="F101" s="42"/>
      <c r="G101" s="42"/>
      <c r="H101" s="42"/>
      <c r="I101" s="42"/>
      <c r="J101" s="42"/>
      <c r="L101" s="172"/>
      <c r="M101" s="39"/>
      <c r="N101" s="39"/>
      <c r="O101" s="39"/>
      <c r="P101" s="39"/>
      <c r="Q101" s="39"/>
      <c r="R101" s="39"/>
      <c r="S101" s="39"/>
      <c r="T101" s="39"/>
      <c r="U101" s="39"/>
      <c r="V101" s="39"/>
      <c r="W101" s="39"/>
      <c r="X101" s="39"/>
      <c r="Y101" s="39"/>
      <c r="Z101" s="39"/>
    </row>
    <row r="102" spans="1:26" hidden="1" outlineLevel="1" collapsed="1" x14ac:dyDescent="0.2">
      <c r="A102" s="172"/>
      <c r="B102" s="172"/>
      <c r="C102" s="172"/>
      <c r="L102" s="172"/>
      <c r="M102" s="39"/>
      <c r="N102" s="39"/>
      <c r="O102" s="39"/>
      <c r="P102" s="39"/>
      <c r="Q102" s="39"/>
      <c r="R102" s="39"/>
      <c r="S102" s="39"/>
      <c r="T102" s="39"/>
      <c r="U102" s="39"/>
      <c r="V102" s="39"/>
      <c r="W102" s="39"/>
      <c r="X102" s="39"/>
      <c r="Y102" s="39"/>
      <c r="Z102" s="39"/>
    </row>
    <row r="103" spans="1:26" collapsed="1" x14ac:dyDescent="0.2">
      <c r="A103" s="172"/>
      <c r="B103" s="172"/>
      <c r="C103" s="172"/>
      <c r="L103" s="172"/>
      <c r="M103" s="39"/>
      <c r="N103" s="39"/>
      <c r="O103" s="39"/>
      <c r="P103" s="39"/>
      <c r="Q103" s="39"/>
      <c r="R103" s="39"/>
      <c r="S103" s="39"/>
      <c r="T103" s="39"/>
      <c r="U103" s="39"/>
      <c r="V103" s="39"/>
      <c r="W103" s="39"/>
      <c r="X103" s="39"/>
      <c r="Y103" s="39"/>
      <c r="Z103" s="39"/>
    </row>
    <row r="104" spans="1:26" ht="15.75" x14ac:dyDescent="0.2">
      <c r="A104" s="172"/>
      <c r="B104" s="209">
        <f>IF(E108&lt;&gt;"",VLOOKUP(E108,GenderCode,2,FALSE),0)</f>
        <v>0</v>
      </c>
      <c r="C104" s="52">
        <v>6</v>
      </c>
      <c r="D104" s="72" t="str">
        <f>IF(B104=0,MsgNotUsed, CONCATENATE("AIHW ", C104, ": ", E106,": ", E108, " (", E111, "-", J111, ")"))</f>
        <v>** NOT USED **</v>
      </c>
      <c r="E104" s="113"/>
      <c r="F104" s="113"/>
      <c r="G104" s="113"/>
      <c r="H104" s="113"/>
      <c r="I104" s="154"/>
      <c r="J104" s="113"/>
      <c r="K104" s="113"/>
      <c r="L104" s="113"/>
      <c r="M104" s="224"/>
      <c r="N104" s="224"/>
      <c r="O104" s="224"/>
      <c r="P104" s="224"/>
      <c r="Q104" s="224"/>
      <c r="R104" s="224"/>
      <c r="S104" s="224"/>
      <c r="T104" s="224"/>
      <c r="U104" s="224"/>
      <c r="V104" s="224"/>
      <c r="W104" s="224"/>
      <c r="X104" s="224"/>
      <c r="Y104" s="224"/>
      <c r="Z104" s="224"/>
    </row>
    <row r="105" spans="1:26" hidden="1" outlineLevel="1" x14ac:dyDescent="0.2">
      <c r="A105" s="172"/>
      <c r="B105" s="172"/>
      <c r="C105" s="172"/>
      <c r="D105" s="450"/>
      <c r="S105" s="1"/>
      <c r="T105" s="1"/>
      <c r="U105" s="1"/>
      <c r="V105" s="1"/>
      <c r="W105" s="1"/>
      <c r="X105" s="1"/>
      <c r="Y105" s="1"/>
      <c r="Z105" s="1"/>
    </row>
    <row r="106" spans="1:26" hidden="1" outlineLevel="1" x14ac:dyDescent="0.2">
      <c r="A106" s="172"/>
      <c r="B106" s="172"/>
      <c r="C106" s="172"/>
      <c r="D106" s="37" t="s">
        <v>270</v>
      </c>
      <c r="E106" s="669"/>
      <c r="F106" s="642"/>
      <c r="G106" s="642"/>
      <c r="H106" s="642"/>
      <c r="I106" s="642"/>
      <c r="J106" s="643"/>
      <c r="L106" s="37" t="s">
        <v>261</v>
      </c>
      <c r="M106" s="669"/>
      <c r="N106" s="642"/>
      <c r="O106" s="642"/>
      <c r="P106" s="642"/>
      <c r="Q106" s="642"/>
      <c r="R106" s="643"/>
      <c r="S106" s="38"/>
      <c r="T106" s="38"/>
      <c r="U106" s="38"/>
      <c r="V106" s="38"/>
      <c r="W106" s="38"/>
      <c r="X106" s="38"/>
      <c r="Y106" s="38"/>
      <c r="Z106" s="38"/>
    </row>
    <row r="107" spans="1:26" hidden="1" outlineLevel="1" x14ac:dyDescent="0.2">
      <c r="A107" s="172"/>
      <c r="B107" s="172"/>
      <c r="C107" s="172"/>
      <c r="D107" s="450"/>
      <c r="S107" s="38"/>
      <c r="T107" s="38"/>
      <c r="U107" s="38"/>
      <c r="V107" s="38"/>
      <c r="W107" s="38"/>
      <c r="X107" s="38"/>
      <c r="Y107" s="38"/>
      <c r="Z107" s="38"/>
    </row>
    <row r="108" spans="1:26" hidden="1" outlineLevel="1" x14ac:dyDescent="0.2">
      <c r="A108" s="172"/>
      <c r="B108" s="172"/>
      <c r="C108" s="172"/>
      <c r="D108" s="75" t="s">
        <v>51</v>
      </c>
      <c r="E108" s="70"/>
      <c r="G108" s="172"/>
      <c r="H108" s="172"/>
      <c r="I108" s="75" t="s">
        <v>355</v>
      </c>
      <c r="J108" s="70"/>
      <c r="L108" s="173"/>
      <c r="M108" s="38"/>
      <c r="N108" s="38"/>
      <c r="O108" s="38"/>
      <c r="P108" s="38"/>
      <c r="Q108" s="38"/>
      <c r="R108" s="38"/>
      <c r="S108" s="38"/>
      <c r="T108" s="38"/>
      <c r="U108" s="38"/>
      <c r="V108" s="38"/>
      <c r="W108" s="38"/>
      <c r="X108" s="38"/>
      <c r="Y108" s="38"/>
      <c r="Z108" s="38"/>
    </row>
    <row r="109" spans="1:26" hidden="1" outlineLevel="1" x14ac:dyDescent="0.2">
      <c r="A109" s="172"/>
      <c r="B109" s="172"/>
      <c r="C109" s="172"/>
      <c r="L109" s="173"/>
      <c r="M109" s="38"/>
      <c r="N109" s="38"/>
      <c r="O109" s="38"/>
      <c r="P109" s="38"/>
      <c r="Q109" s="38"/>
      <c r="R109" s="38"/>
      <c r="S109" s="38"/>
      <c r="T109" s="38"/>
      <c r="U109" s="38"/>
      <c r="V109" s="38"/>
      <c r="W109" s="38"/>
      <c r="X109" s="38"/>
      <c r="Y109" s="38"/>
      <c r="Z109" s="38"/>
    </row>
    <row r="110" spans="1:26" hidden="1" outlineLevel="1" x14ac:dyDescent="0.2">
      <c r="A110" s="172"/>
      <c r="B110" s="172"/>
      <c r="C110" s="172"/>
      <c r="E110" s="260" t="s">
        <v>246</v>
      </c>
      <c r="L110" s="173"/>
      <c r="M110" s="38"/>
      <c r="N110" s="38"/>
      <c r="O110" s="38"/>
      <c r="P110" s="38"/>
      <c r="Q110" s="38"/>
      <c r="R110" s="38"/>
      <c r="S110" s="38"/>
      <c r="T110" s="38"/>
      <c r="U110" s="38"/>
      <c r="V110" s="38"/>
      <c r="W110" s="38"/>
      <c r="X110" s="38"/>
      <c r="Y110" s="38"/>
      <c r="Z110" s="38"/>
    </row>
    <row r="111" spans="1:26" hidden="1" outlineLevel="1" x14ac:dyDescent="0.2">
      <c r="A111" s="172"/>
      <c r="B111" s="172"/>
      <c r="C111" s="172"/>
      <c r="E111" s="71">
        <f>IF(J108&lt;&gt;"",J108,FirstYear)</f>
        <v>2026</v>
      </c>
      <c r="F111" s="74">
        <f>E111+1</f>
        <v>2027</v>
      </c>
      <c r="G111" s="74">
        <f>F111+1</f>
        <v>2028</v>
      </c>
      <c r="H111" s="74">
        <f>G111+1</f>
        <v>2029</v>
      </c>
      <c r="I111" s="74">
        <f>H111+1</f>
        <v>2030</v>
      </c>
      <c r="J111" s="74">
        <f>I111+1</f>
        <v>2031</v>
      </c>
      <c r="L111" s="173"/>
      <c r="M111" s="38"/>
      <c r="N111" s="38"/>
      <c r="O111" s="38"/>
      <c r="P111" s="38"/>
      <c r="Q111" s="38"/>
      <c r="R111" s="38"/>
      <c r="S111" s="38"/>
      <c r="T111" s="38"/>
      <c r="U111" s="38"/>
      <c r="V111" s="38"/>
      <c r="W111" s="38"/>
      <c r="X111" s="38"/>
      <c r="Y111" s="38"/>
      <c r="Z111" s="38"/>
    </row>
    <row r="112" spans="1:26" hidden="1" outlineLevel="1" x14ac:dyDescent="0.2">
      <c r="A112" s="172"/>
      <c r="B112" s="172"/>
      <c r="C112" s="172"/>
      <c r="E112" s="57">
        <f t="shared" ref="E112:J112" si="25">IF($B$104&lt;&gt;0,VLOOKUP($B$104,$C$116:$J$118,E113),0)</f>
        <v>0</v>
      </c>
      <c r="F112" s="57">
        <f t="shared" si="25"/>
        <v>0</v>
      </c>
      <c r="G112" s="57">
        <f t="shared" si="25"/>
        <v>0</v>
      </c>
      <c r="H112" s="57">
        <f t="shared" si="25"/>
        <v>0</v>
      </c>
      <c r="I112" s="57">
        <f t="shared" si="25"/>
        <v>0</v>
      </c>
      <c r="J112" s="57">
        <f t="shared" si="25"/>
        <v>0</v>
      </c>
      <c r="L112" s="173"/>
      <c r="M112" s="38"/>
      <c r="N112" s="38"/>
      <c r="O112" s="38"/>
      <c r="P112" s="38"/>
      <c r="Q112" s="38"/>
      <c r="R112" s="38"/>
      <c r="S112" s="38"/>
      <c r="T112" s="38"/>
      <c r="U112" s="38"/>
      <c r="V112" s="38"/>
      <c r="W112" s="38"/>
      <c r="X112" s="38"/>
      <c r="Y112" s="38"/>
      <c r="Z112" s="38"/>
    </row>
    <row r="113" spans="1:26" hidden="1" outlineLevel="1" x14ac:dyDescent="0.2">
      <c r="A113" s="172"/>
      <c r="B113" s="172"/>
      <c r="C113" s="172"/>
      <c r="E113" s="155">
        <v>3</v>
      </c>
      <c r="F113" s="155">
        <v>4</v>
      </c>
      <c r="G113" s="155">
        <v>5</v>
      </c>
      <c r="H113" s="155">
        <v>6</v>
      </c>
      <c r="I113" s="155">
        <v>7</v>
      </c>
      <c r="J113" s="155">
        <v>8</v>
      </c>
      <c r="L113" s="173"/>
      <c r="M113" s="38"/>
      <c r="N113" s="38"/>
      <c r="O113" s="38"/>
      <c r="P113" s="38"/>
      <c r="Q113" s="38"/>
      <c r="R113" s="38"/>
      <c r="S113" s="38"/>
      <c r="T113" s="38"/>
      <c r="U113" s="38"/>
      <c r="V113" s="38"/>
      <c r="W113" s="38"/>
      <c r="X113" s="38"/>
      <c r="Y113" s="38"/>
      <c r="Z113" s="38"/>
    </row>
    <row r="114" spans="1:26" hidden="1" outlineLevel="1" x14ac:dyDescent="0.2">
      <c r="A114" s="172"/>
      <c r="B114" s="172"/>
      <c r="C114" s="172"/>
      <c r="D114" s="26" t="s">
        <v>314</v>
      </c>
      <c r="E114" s="71">
        <f t="shared" ref="E114:J114" si="26">E111</f>
        <v>2026</v>
      </c>
      <c r="F114" s="71">
        <f t="shared" si="26"/>
        <v>2027</v>
      </c>
      <c r="G114" s="71">
        <f t="shared" si="26"/>
        <v>2028</v>
      </c>
      <c r="H114" s="71">
        <f t="shared" si="26"/>
        <v>2029</v>
      </c>
      <c r="I114" s="71">
        <f t="shared" si="26"/>
        <v>2030</v>
      </c>
      <c r="J114" s="71">
        <f t="shared" si="26"/>
        <v>2031</v>
      </c>
      <c r="L114" s="172"/>
      <c r="M114" s="39"/>
      <c r="N114" s="39"/>
      <c r="O114" s="39"/>
      <c r="P114" s="39"/>
      <c r="Q114" s="39"/>
      <c r="R114" s="39"/>
      <c r="S114" s="39"/>
      <c r="T114" s="39"/>
      <c r="U114" s="39"/>
      <c r="V114" s="39"/>
      <c r="W114" s="39"/>
      <c r="X114" s="39"/>
      <c r="Y114" s="39"/>
      <c r="Z114" s="39"/>
    </row>
    <row r="115" spans="1:26" hidden="1" outlineLevel="1" x14ac:dyDescent="0.2">
      <c r="A115" s="172"/>
      <c r="B115" s="172"/>
      <c r="D115" s="156" t="s">
        <v>231</v>
      </c>
      <c r="E115" s="57">
        <f t="shared" ref="E115:J115" si="27">IF(OR(E116="",E116=0),SUM(E117:E118),E116)</f>
        <v>0</v>
      </c>
      <c r="F115" s="57">
        <f t="shared" si="27"/>
        <v>0</v>
      </c>
      <c r="G115" s="57">
        <f t="shared" si="27"/>
        <v>0</v>
      </c>
      <c r="H115" s="57">
        <f t="shared" si="27"/>
        <v>0</v>
      </c>
      <c r="I115" s="57">
        <f t="shared" si="27"/>
        <v>0</v>
      </c>
      <c r="J115" s="57">
        <f t="shared" si="27"/>
        <v>0</v>
      </c>
      <c r="L115" s="172"/>
      <c r="M115" s="39"/>
      <c r="N115" s="39"/>
      <c r="O115" s="39"/>
      <c r="P115" s="39"/>
      <c r="Q115" s="39"/>
      <c r="R115" s="39"/>
      <c r="S115" s="39"/>
      <c r="T115" s="39"/>
      <c r="U115" s="39"/>
      <c r="V115" s="39"/>
      <c r="W115" s="39"/>
      <c r="X115" s="39"/>
      <c r="Y115" s="39"/>
      <c r="Z115" s="39"/>
    </row>
    <row r="116" spans="1:26" hidden="1" outlineLevel="1" x14ac:dyDescent="0.2">
      <c r="A116" s="172"/>
      <c r="B116" s="172"/>
      <c r="C116" s="52">
        <v>1</v>
      </c>
      <c r="D116" s="156" t="s">
        <v>356</v>
      </c>
      <c r="E116" s="42"/>
      <c r="F116" s="42"/>
      <c r="G116" s="42"/>
      <c r="H116" s="42"/>
      <c r="I116" s="42"/>
      <c r="J116" s="42"/>
      <c r="L116" s="172"/>
      <c r="M116" s="39"/>
      <c r="N116" s="39"/>
      <c r="O116" s="39"/>
      <c r="P116" s="39"/>
      <c r="Q116" s="39"/>
      <c r="R116" s="39"/>
      <c r="S116" s="39"/>
      <c r="T116" s="39"/>
      <c r="U116" s="39"/>
      <c r="V116" s="39"/>
      <c r="W116" s="39"/>
      <c r="X116" s="39"/>
      <c r="Y116" s="39"/>
      <c r="Z116" s="39"/>
    </row>
    <row r="117" spans="1:26" hidden="1" outlineLevel="1" x14ac:dyDescent="0.2">
      <c r="A117" s="172"/>
      <c r="B117" s="172"/>
      <c r="C117" s="52">
        <v>2</v>
      </c>
      <c r="D117" s="156" t="s">
        <v>234</v>
      </c>
      <c r="E117" s="42"/>
      <c r="F117" s="42"/>
      <c r="G117" s="42"/>
      <c r="H117" s="42"/>
      <c r="I117" s="42"/>
      <c r="J117" s="42"/>
      <c r="L117" s="172"/>
      <c r="M117" s="39"/>
      <c r="N117" s="39"/>
      <c r="O117" s="39"/>
      <c r="P117" s="39"/>
      <c r="Q117" s="39"/>
      <c r="R117" s="39"/>
      <c r="S117" s="39"/>
      <c r="T117" s="39"/>
      <c r="U117" s="39"/>
      <c r="V117" s="39"/>
      <c r="W117" s="39"/>
      <c r="X117" s="39"/>
      <c r="Y117" s="39"/>
      <c r="Z117" s="39"/>
    </row>
    <row r="118" spans="1:26" hidden="1" outlineLevel="1" x14ac:dyDescent="0.2">
      <c r="A118" s="172"/>
      <c r="B118" s="172"/>
      <c r="C118" s="52">
        <v>3</v>
      </c>
      <c r="D118" s="156" t="s">
        <v>235</v>
      </c>
      <c r="E118" s="42"/>
      <c r="F118" s="42"/>
      <c r="G118" s="42"/>
      <c r="H118" s="42"/>
      <c r="I118" s="42"/>
      <c r="J118" s="42"/>
      <c r="L118" s="172"/>
      <c r="M118" s="39"/>
      <c r="N118" s="39"/>
      <c r="O118" s="39"/>
      <c r="P118" s="39"/>
      <c r="Q118" s="39"/>
      <c r="R118" s="39"/>
      <c r="S118" s="39"/>
      <c r="T118" s="39"/>
      <c r="U118" s="39"/>
      <c r="V118" s="39"/>
      <c r="W118" s="39"/>
      <c r="X118" s="39"/>
      <c r="Y118" s="39"/>
      <c r="Z118" s="39"/>
    </row>
    <row r="119" spans="1:26" hidden="1" outlineLevel="1" collapsed="1" x14ac:dyDescent="0.2">
      <c r="A119" s="172"/>
      <c r="B119" s="172"/>
      <c r="C119" s="172"/>
      <c r="L119" s="172"/>
      <c r="M119" s="39"/>
      <c r="N119" s="39"/>
      <c r="O119" s="39"/>
      <c r="P119" s="39"/>
      <c r="Q119" s="39"/>
      <c r="R119" s="39"/>
      <c r="S119" s="39"/>
      <c r="T119" s="39"/>
      <c r="U119" s="39"/>
      <c r="V119" s="39"/>
      <c r="W119" s="39"/>
      <c r="X119" s="39"/>
      <c r="Y119" s="39"/>
      <c r="Z119" s="39"/>
    </row>
    <row r="120" spans="1:26" collapsed="1" x14ac:dyDescent="0.2">
      <c r="A120" s="172"/>
      <c r="B120" s="172"/>
      <c r="C120" s="172"/>
      <c r="L120" s="172"/>
      <c r="M120" s="39"/>
      <c r="N120" s="39"/>
      <c r="O120" s="39"/>
      <c r="P120" s="39"/>
      <c r="Q120" s="39"/>
      <c r="R120" s="39"/>
      <c r="S120" s="39"/>
      <c r="T120" s="39"/>
      <c r="U120" s="39"/>
      <c r="V120" s="39"/>
      <c r="W120" s="39"/>
      <c r="X120" s="39"/>
      <c r="Y120" s="39"/>
      <c r="Z120" s="39"/>
    </row>
    <row r="121" spans="1:26" ht="15.75" x14ac:dyDescent="0.2">
      <c r="A121" s="172"/>
      <c r="B121" s="209">
        <f>IF(E125&lt;&gt;"",VLOOKUP(E125,GenderCode,2,FALSE),0)</f>
        <v>0</v>
      </c>
      <c r="C121" s="52">
        <v>7</v>
      </c>
      <c r="D121" s="72" t="str">
        <f>IF(B121=0,MsgNotUsed, CONCATENATE("AIHW ", C121, ": ", E123,": ", E125, " (", E128, "-", J128, ")"))</f>
        <v>** NOT USED **</v>
      </c>
      <c r="E121" s="113"/>
      <c r="F121" s="113"/>
      <c r="G121" s="113"/>
      <c r="H121" s="113"/>
      <c r="I121" s="154"/>
      <c r="J121" s="113"/>
      <c r="K121" s="113"/>
      <c r="L121" s="113"/>
      <c r="M121" s="224"/>
      <c r="N121" s="224"/>
      <c r="O121" s="224"/>
      <c r="P121" s="224"/>
      <c r="Q121" s="224"/>
      <c r="R121" s="224"/>
      <c r="S121" s="224"/>
      <c r="T121" s="224"/>
      <c r="U121" s="224"/>
      <c r="V121" s="224"/>
      <c r="W121" s="224"/>
      <c r="X121" s="224"/>
      <c r="Y121" s="224"/>
      <c r="Z121" s="224"/>
    </row>
    <row r="122" spans="1:26" hidden="1" outlineLevel="1" x14ac:dyDescent="0.2">
      <c r="A122" s="172"/>
      <c r="B122" s="172"/>
      <c r="C122" s="172"/>
      <c r="D122" s="450"/>
      <c r="S122" s="1"/>
      <c r="T122" s="1"/>
      <c r="U122" s="1"/>
      <c r="V122" s="1"/>
      <c r="W122" s="1"/>
      <c r="X122" s="1"/>
      <c r="Y122" s="1"/>
      <c r="Z122" s="1"/>
    </row>
    <row r="123" spans="1:26" hidden="1" outlineLevel="1" x14ac:dyDescent="0.2">
      <c r="A123" s="172"/>
      <c r="B123" s="172"/>
      <c r="C123" s="172"/>
      <c r="D123" s="37" t="s">
        <v>270</v>
      </c>
      <c r="E123" s="669"/>
      <c r="F123" s="642"/>
      <c r="G123" s="642"/>
      <c r="H123" s="642"/>
      <c r="I123" s="642"/>
      <c r="J123" s="643"/>
      <c r="L123" s="37" t="s">
        <v>261</v>
      </c>
      <c r="M123" s="669"/>
      <c r="N123" s="642"/>
      <c r="O123" s="642"/>
      <c r="P123" s="642"/>
      <c r="Q123" s="642"/>
      <c r="R123" s="643"/>
      <c r="S123" s="38"/>
      <c r="T123" s="38"/>
      <c r="U123" s="38"/>
      <c r="V123" s="38"/>
      <c r="W123" s="38"/>
      <c r="X123" s="38"/>
      <c r="Y123" s="38"/>
      <c r="Z123" s="38"/>
    </row>
    <row r="124" spans="1:26" hidden="1" outlineLevel="1" x14ac:dyDescent="0.2">
      <c r="A124" s="172"/>
      <c r="B124" s="172"/>
      <c r="C124" s="172"/>
      <c r="D124" s="450"/>
      <c r="S124" s="38"/>
      <c r="T124" s="38"/>
      <c r="U124" s="38"/>
      <c r="V124" s="38"/>
      <c r="W124" s="38"/>
      <c r="X124" s="38"/>
      <c r="Y124" s="38"/>
      <c r="Z124" s="38"/>
    </row>
    <row r="125" spans="1:26" hidden="1" outlineLevel="1" x14ac:dyDescent="0.2">
      <c r="A125" s="172"/>
      <c r="B125" s="172"/>
      <c r="C125" s="172"/>
      <c r="D125" s="75" t="s">
        <v>51</v>
      </c>
      <c r="E125" s="70"/>
      <c r="G125" s="172"/>
      <c r="H125" s="172"/>
      <c r="I125" s="75" t="s">
        <v>355</v>
      </c>
      <c r="J125" s="70"/>
      <c r="L125" s="173"/>
      <c r="M125" s="38"/>
      <c r="N125" s="38"/>
      <c r="O125" s="38"/>
      <c r="P125" s="38"/>
      <c r="Q125" s="38"/>
      <c r="R125" s="38"/>
      <c r="S125" s="38"/>
      <c r="T125" s="38"/>
      <c r="U125" s="38"/>
      <c r="V125" s="38"/>
      <c r="W125" s="38"/>
      <c r="X125" s="38"/>
      <c r="Y125" s="38"/>
      <c r="Z125" s="38"/>
    </row>
    <row r="126" spans="1:26" hidden="1" outlineLevel="1" x14ac:dyDescent="0.2">
      <c r="A126" s="172"/>
      <c r="B126" s="172"/>
      <c r="C126" s="172"/>
      <c r="L126" s="173"/>
      <c r="M126" s="38"/>
      <c r="N126" s="38"/>
      <c r="O126" s="38"/>
      <c r="P126" s="38"/>
      <c r="Q126" s="38"/>
      <c r="R126" s="38"/>
      <c r="S126" s="38"/>
      <c r="T126" s="38"/>
      <c r="U126" s="38"/>
      <c r="V126" s="38"/>
      <c r="W126" s="38"/>
      <c r="X126" s="38"/>
      <c r="Y126" s="38"/>
      <c r="Z126" s="38"/>
    </row>
    <row r="127" spans="1:26" hidden="1" outlineLevel="1" x14ac:dyDescent="0.2">
      <c r="A127" s="172"/>
      <c r="B127" s="172"/>
      <c r="C127" s="172"/>
      <c r="E127" s="260" t="s">
        <v>246</v>
      </c>
      <c r="L127" s="173"/>
      <c r="M127" s="38"/>
      <c r="N127" s="38"/>
      <c r="O127" s="38"/>
      <c r="P127" s="38"/>
      <c r="Q127" s="38"/>
      <c r="R127" s="38"/>
      <c r="S127" s="38"/>
      <c r="T127" s="38"/>
      <c r="U127" s="38"/>
      <c r="V127" s="38"/>
      <c r="W127" s="38"/>
      <c r="X127" s="38"/>
      <c r="Y127" s="38"/>
      <c r="Z127" s="38"/>
    </row>
    <row r="128" spans="1:26" hidden="1" outlineLevel="1" x14ac:dyDescent="0.2">
      <c r="A128" s="172"/>
      <c r="B128" s="172"/>
      <c r="C128" s="172"/>
      <c r="E128" s="71">
        <f>IF(J125&lt;&gt;"",J125,FirstYear)</f>
        <v>2026</v>
      </c>
      <c r="F128" s="74">
        <f>E128+1</f>
        <v>2027</v>
      </c>
      <c r="G128" s="74">
        <f>F128+1</f>
        <v>2028</v>
      </c>
      <c r="H128" s="74">
        <f>G128+1</f>
        <v>2029</v>
      </c>
      <c r="I128" s="74">
        <f>H128+1</f>
        <v>2030</v>
      </c>
      <c r="J128" s="74">
        <f>I128+1</f>
        <v>2031</v>
      </c>
      <c r="L128" s="173"/>
      <c r="M128" s="38"/>
      <c r="N128" s="38"/>
      <c r="O128" s="38"/>
      <c r="P128" s="38"/>
      <c r="Q128" s="38"/>
      <c r="R128" s="38"/>
      <c r="S128" s="38"/>
      <c r="T128" s="38"/>
      <c r="U128" s="38"/>
      <c r="V128" s="38"/>
      <c r="W128" s="38"/>
      <c r="X128" s="38"/>
      <c r="Y128" s="38"/>
      <c r="Z128" s="38"/>
    </row>
    <row r="129" spans="1:26" hidden="1" outlineLevel="1" x14ac:dyDescent="0.2">
      <c r="A129" s="172"/>
      <c r="B129" s="172"/>
      <c r="C129" s="172"/>
      <c r="E129" s="57">
        <f t="shared" ref="E129:J129" si="28">IF($B$121&lt;&gt;0,VLOOKUP($B$121,$C$133:$J$135,E130),0)</f>
        <v>0</v>
      </c>
      <c r="F129" s="57">
        <f t="shared" si="28"/>
        <v>0</v>
      </c>
      <c r="G129" s="57">
        <f t="shared" si="28"/>
        <v>0</v>
      </c>
      <c r="H129" s="57">
        <f t="shared" si="28"/>
        <v>0</v>
      </c>
      <c r="I129" s="57">
        <f t="shared" si="28"/>
        <v>0</v>
      </c>
      <c r="J129" s="57">
        <f t="shared" si="28"/>
        <v>0</v>
      </c>
      <c r="L129" s="173"/>
      <c r="M129" s="38"/>
      <c r="N129" s="38"/>
      <c r="O129" s="38"/>
      <c r="P129" s="38"/>
      <c r="Q129" s="38"/>
      <c r="R129" s="38"/>
      <c r="S129" s="38"/>
      <c r="T129" s="38"/>
      <c r="U129" s="38"/>
      <c r="V129" s="38"/>
      <c r="W129" s="38"/>
      <c r="X129" s="38"/>
      <c r="Y129" s="38"/>
      <c r="Z129" s="38"/>
    </row>
    <row r="130" spans="1:26" hidden="1" outlineLevel="1" x14ac:dyDescent="0.2">
      <c r="A130" s="172"/>
      <c r="B130" s="172"/>
      <c r="C130" s="172"/>
      <c r="E130" s="155">
        <v>3</v>
      </c>
      <c r="F130" s="155">
        <v>4</v>
      </c>
      <c r="G130" s="155">
        <v>5</v>
      </c>
      <c r="H130" s="155">
        <v>6</v>
      </c>
      <c r="I130" s="155">
        <v>7</v>
      </c>
      <c r="J130" s="155">
        <v>8</v>
      </c>
      <c r="L130" s="173"/>
      <c r="M130" s="38"/>
      <c r="N130" s="38"/>
      <c r="O130" s="38"/>
      <c r="P130" s="38"/>
      <c r="Q130" s="38"/>
      <c r="R130" s="38"/>
      <c r="S130" s="38"/>
      <c r="T130" s="38"/>
      <c r="U130" s="38"/>
      <c r="V130" s="38"/>
      <c r="W130" s="38"/>
      <c r="X130" s="38"/>
      <c r="Y130" s="38"/>
      <c r="Z130" s="38"/>
    </row>
    <row r="131" spans="1:26" hidden="1" outlineLevel="1" x14ac:dyDescent="0.2">
      <c r="A131" s="172"/>
      <c r="B131" s="172"/>
      <c r="C131" s="172"/>
      <c r="D131" s="26" t="s">
        <v>314</v>
      </c>
      <c r="E131" s="71">
        <f t="shared" ref="E131:J131" si="29">E128</f>
        <v>2026</v>
      </c>
      <c r="F131" s="71">
        <f t="shared" si="29"/>
        <v>2027</v>
      </c>
      <c r="G131" s="71">
        <f t="shared" si="29"/>
        <v>2028</v>
      </c>
      <c r="H131" s="71">
        <f t="shared" si="29"/>
        <v>2029</v>
      </c>
      <c r="I131" s="71">
        <f t="shared" si="29"/>
        <v>2030</v>
      </c>
      <c r="J131" s="71">
        <f t="shared" si="29"/>
        <v>2031</v>
      </c>
      <c r="L131" s="172"/>
      <c r="M131" s="39"/>
      <c r="N131" s="39"/>
      <c r="O131" s="39"/>
      <c r="P131" s="39"/>
      <c r="Q131" s="39"/>
      <c r="R131" s="39"/>
      <c r="S131" s="39"/>
      <c r="T131" s="39"/>
      <c r="U131" s="39"/>
      <c r="V131" s="39"/>
      <c r="W131" s="39"/>
      <c r="X131" s="39"/>
      <c r="Y131" s="39"/>
      <c r="Z131" s="39"/>
    </row>
    <row r="132" spans="1:26" hidden="1" outlineLevel="1" x14ac:dyDescent="0.2">
      <c r="A132" s="172"/>
      <c r="B132" s="172"/>
      <c r="D132" s="156" t="s">
        <v>231</v>
      </c>
      <c r="E132" s="57">
        <f t="shared" ref="E132:J132" si="30">IF(OR(E133="",E133=0),SUM(E134:E135),E133)</f>
        <v>0</v>
      </c>
      <c r="F132" s="57">
        <f t="shared" si="30"/>
        <v>0</v>
      </c>
      <c r="G132" s="57">
        <f t="shared" si="30"/>
        <v>0</v>
      </c>
      <c r="H132" s="57">
        <f t="shared" si="30"/>
        <v>0</v>
      </c>
      <c r="I132" s="57">
        <f t="shared" si="30"/>
        <v>0</v>
      </c>
      <c r="J132" s="57">
        <f t="shared" si="30"/>
        <v>0</v>
      </c>
      <c r="L132" s="172"/>
      <c r="M132" s="39"/>
      <c r="N132" s="39"/>
      <c r="O132" s="39"/>
      <c r="P132" s="39"/>
      <c r="Q132" s="39"/>
      <c r="R132" s="39"/>
      <c r="S132" s="39"/>
      <c r="T132" s="39"/>
      <c r="U132" s="39"/>
      <c r="V132" s="39"/>
      <c r="W132" s="39"/>
      <c r="X132" s="39"/>
      <c r="Y132" s="39"/>
      <c r="Z132" s="39"/>
    </row>
    <row r="133" spans="1:26" hidden="1" outlineLevel="1" x14ac:dyDescent="0.2">
      <c r="A133" s="172"/>
      <c r="B133" s="172"/>
      <c r="C133" s="52">
        <v>1</v>
      </c>
      <c r="D133" s="156" t="s">
        <v>356</v>
      </c>
      <c r="E133" s="42"/>
      <c r="F133" s="42"/>
      <c r="G133" s="42"/>
      <c r="H133" s="42"/>
      <c r="I133" s="42"/>
      <c r="J133" s="42"/>
      <c r="L133" s="172"/>
      <c r="M133" s="39"/>
      <c r="N133" s="39"/>
      <c r="O133" s="39"/>
      <c r="P133" s="39"/>
      <c r="Q133" s="39"/>
      <c r="R133" s="39"/>
      <c r="S133" s="39"/>
      <c r="T133" s="39"/>
      <c r="U133" s="39"/>
      <c r="V133" s="39"/>
      <c r="W133" s="39"/>
      <c r="X133" s="39"/>
      <c r="Y133" s="39"/>
      <c r="Z133" s="39"/>
    </row>
    <row r="134" spans="1:26" hidden="1" outlineLevel="1" x14ac:dyDescent="0.2">
      <c r="A134" s="172"/>
      <c r="B134" s="172"/>
      <c r="C134" s="52">
        <v>2</v>
      </c>
      <c r="D134" s="156" t="s">
        <v>234</v>
      </c>
      <c r="E134" s="42"/>
      <c r="F134" s="42"/>
      <c r="G134" s="42"/>
      <c r="H134" s="42"/>
      <c r="I134" s="42"/>
      <c r="J134" s="42"/>
      <c r="L134" s="172"/>
      <c r="M134" s="39"/>
      <c r="N134" s="39"/>
      <c r="O134" s="39"/>
      <c r="P134" s="39"/>
      <c r="Q134" s="39"/>
      <c r="R134" s="39"/>
      <c r="S134" s="39"/>
      <c r="T134" s="39"/>
      <c r="U134" s="39"/>
      <c r="V134" s="39"/>
      <c r="W134" s="39"/>
      <c r="X134" s="39"/>
      <c r="Y134" s="39"/>
      <c r="Z134" s="39"/>
    </row>
    <row r="135" spans="1:26" hidden="1" outlineLevel="1" x14ac:dyDescent="0.2">
      <c r="A135" s="172"/>
      <c r="B135" s="172"/>
      <c r="C135" s="52">
        <v>3</v>
      </c>
      <c r="D135" s="156" t="s">
        <v>235</v>
      </c>
      <c r="E135" s="42"/>
      <c r="F135" s="42"/>
      <c r="G135" s="42"/>
      <c r="H135" s="42"/>
      <c r="I135" s="42"/>
      <c r="J135" s="42"/>
      <c r="L135" s="172"/>
      <c r="M135" s="39"/>
      <c r="N135" s="39"/>
      <c r="O135" s="39"/>
      <c r="P135" s="39"/>
      <c r="Q135" s="39"/>
      <c r="R135" s="39"/>
      <c r="S135" s="39"/>
      <c r="T135" s="39"/>
      <c r="U135" s="39"/>
      <c r="V135" s="39"/>
      <c r="W135" s="39"/>
      <c r="X135" s="39"/>
      <c r="Y135" s="39"/>
      <c r="Z135" s="39"/>
    </row>
    <row r="136" spans="1:26" hidden="1" outlineLevel="1" collapsed="1" x14ac:dyDescent="0.2">
      <c r="A136" s="172"/>
      <c r="B136" s="172"/>
      <c r="C136" s="172"/>
      <c r="L136" s="172"/>
      <c r="M136" s="39"/>
      <c r="N136" s="39"/>
      <c r="O136" s="39"/>
      <c r="P136" s="39"/>
      <c r="Q136" s="39"/>
      <c r="R136" s="39"/>
      <c r="S136" s="39"/>
      <c r="T136" s="39"/>
      <c r="U136" s="39"/>
      <c r="V136" s="39"/>
      <c r="W136" s="39"/>
      <c r="X136" s="39"/>
      <c r="Y136" s="39"/>
      <c r="Z136" s="39"/>
    </row>
    <row r="137" spans="1:26" collapsed="1" x14ac:dyDescent="0.2">
      <c r="A137" s="172"/>
      <c r="B137" s="172"/>
      <c r="C137" s="172"/>
      <c r="L137" s="172"/>
      <c r="M137" s="39"/>
      <c r="N137" s="39"/>
      <c r="O137" s="39"/>
      <c r="P137" s="39"/>
      <c r="Q137" s="39"/>
      <c r="R137" s="39"/>
      <c r="S137" s="39"/>
      <c r="T137" s="39"/>
      <c r="U137" s="39"/>
      <c r="V137" s="39"/>
      <c r="W137" s="39"/>
      <c r="X137" s="39"/>
      <c r="Y137" s="39"/>
      <c r="Z137" s="39"/>
    </row>
    <row r="138" spans="1:26" ht="15.75" x14ac:dyDescent="0.2">
      <c r="A138" s="172"/>
      <c r="B138" s="209">
        <f>IF(E142&lt;&gt;"",VLOOKUP(E142,GenderCode,2,FALSE),0)</f>
        <v>0</v>
      </c>
      <c r="C138" s="52">
        <v>8</v>
      </c>
      <c r="D138" s="72" t="str">
        <f>IF(B138=0,MsgNotUsed, CONCATENATE("AIHW ", C138, ": ", E140,": ", E142, " (", E145, "-", J145, ")"))</f>
        <v>** NOT USED **</v>
      </c>
      <c r="E138" s="113"/>
      <c r="F138" s="113"/>
      <c r="G138" s="113"/>
      <c r="H138" s="113"/>
      <c r="I138" s="154"/>
      <c r="J138" s="113"/>
      <c r="K138" s="113"/>
      <c r="L138" s="113"/>
      <c r="M138" s="224"/>
      <c r="N138" s="224"/>
      <c r="O138" s="224"/>
      <c r="P138" s="224"/>
      <c r="Q138" s="224"/>
      <c r="R138" s="224"/>
      <c r="S138" s="224"/>
      <c r="T138" s="224"/>
      <c r="U138" s="224"/>
      <c r="V138" s="224"/>
      <c r="W138" s="224"/>
      <c r="X138" s="224"/>
      <c r="Y138" s="224"/>
      <c r="Z138" s="224"/>
    </row>
    <row r="139" spans="1:26" hidden="1" outlineLevel="1" x14ac:dyDescent="0.2">
      <c r="A139" s="172"/>
      <c r="B139" s="172"/>
      <c r="C139" s="172"/>
      <c r="D139" s="450"/>
      <c r="S139" s="1"/>
      <c r="T139" s="1"/>
      <c r="U139" s="1"/>
      <c r="V139" s="1"/>
      <c r="W139" s="1"/>
      <c r="X139" s="1"/>
      <c r="Y139" s="1"/>
      <c r="Z139" s="1"/>
    </row>
    <row r="140" spans="1:26" hidden="1" outlineLevel="1" x14ac:dyDescent="0.2">
      <c r="A140" s="172"/>
      <c r="B140" s="172"/>
      <c r="C140" s="172"/>
      <c r="D140" s="37" t="s">
        <v>270</v>
      </c>
      <c r="E140" s="669"/>
      <c r="F140" s="642"/>
      <c r="G140" s="642"/>
      <c r="H140" s="642"/>
      <c r="I140" s="642"/>
      <c r="J140" s="643"/>
      <c r="L140" s="37" t="s">
        <v>261</v>
      </c>
      <c r="M140" s="669"/>
      <c r="N140" s="642"/>
      <c r="O140" s="642"/>
      <c r="P140" s="642"/>
      <c r="Q140" s="642"/>
      <c r="R140" s="643"/>
      <c r="S140" s="38"/>
      <c r="T140" s="38"/>
      <c r="U140" s="38"/>
      <c r="V140" s="38"/>
      <c r="W140" s="38"/>
      <c r="X140" s="38"/>
      <c r="Y140" s="38"/>
      <c r="Z140" s="38"/>
    </row>
    <row r="141" spans="1:26" hidden="1" outlineLevel="1" x14ac:dyDescent="0.2">
      <c r="A141" s="172"/>
      <c r="B141" s="172"/>
      <c r="C141" s="172"/>
      <c r="D141" s="450"/>
      <c r="S141" s="38"/>
      <c r="T141" s="38"/>
      <c r="U141" s="38"/>
      <c r="V141" s="38"/>
      <c r="W141" s="38"/>
      <c r="X141" s="38"/>
      <c r="Y141" s="38"/>
      <c r="Z141" s="38"/>
    </row>
    <row r="142" spans="1:26" hidden="1" outlineLevel="1" x14ac:dyDescent="0.2">
      <c r="A142" s="172"/>
      <c r="B142" s="172"/>
      <c r="C142" s="172"/>
      <c r="D142" s="75" t="s">
        <v>51</v>
      </c>
      <c r="E142" s="70"/>
      <c r="G142" s="172"/>
      <c r="H142" s="172"/>
      <c r="I142" s="75" t="s">
        <v>355</v>
      </c>
      <c r="J142" s="70"/>
      <c r="L142" s="173"/>
      <c r="M142" s="38"/>
      <c r="N142" s="38"/>
      <c r="O142" s="38"/>
      <c r="P142" s="38"/>
      <c r="Q142" s="38"/>
      <c r="R142" s="38"/>
      <c r="S142" s="38"/>
      <c r="T142" s="38"/>
      <c r="U142" s="38"/>
      <c r="V142" s="38"/>
      <c r="W142" s="38"/>
      <c r="X142" s="38"/>
      <c r="Y142" s="38"/>
      <c r="Z142" s="38"/>
    </row>
    <row r="143" spans="1:26" hidden="1" outlineLevel="1" x14ac:dyDescent="0.2">
      <c r="A143" s="172"/>
      <c r="B143" s="172"/>
      <c r="C143" s="172"/>
      <c r="L143" s="173"/>
      <c r="M143" s="38"/>
      <c r="N143" s="38"/>
      <c r="O143" s="38"/>
      <c r="P143" s="38"/>
      <c r="Q143" s="38"/>
      <c r="R143" s="38"/>
      <c r="S143" s="38"/>
      <c r="T143" s="38"/>
      <c r="U143" s="38"/>
      <c r="V143" s="38"/>
      <c r="W143" s="38"/>
      <c r="X143" s="38"/>
      <c r="Y143" s="38"/>
      <c r="Z143" s="38"/>
    </row>
    <row r="144" spans="1:26" hidden="1" outlineLevel="1" x14ac:dyDescent="0.2">
      <c r="A144" s="172"/>
      <c r="B144" s="172"/>
      <c r="C144" s="172"/>
      <c r="E144" s="260" t="s">
        <v>246</v>
      </c>
      <c r="L144" s="173"/>
      <c r="M144" s="38"/>
      <c r="N144" s="38"/>
      <c r="O144" s="38"/>
      <c r="P144" s="38"/>
      <c r="Q144" s="38"/>
      <c r="R144" s="38"/>
      <c r="S144" s="38"/>
      <c r="T144" s="38"/>
      <c r="U144" s="38"/>
      <c r="V144" s="38"/>
      <c r="W144" s="38"/>
      <c r="X144" s="38"/>
      <c r="Y144" s="38"/>
      <c r="Z144" s="38"/>
    </row>
    <row r="145" spans="1:26" hidden="1" outlineLevel="1" x14ac:dyDescent="0.2">
      <c r="A145" s="172"/>
      <c r="B145" s="172"/>
      <c r="C145" s="172"/>
      <c r="E145" s="71">
        <f>IF(J142&lt;&gt;"",J142,FirstYear)</f>
        <v>2026</v>
      </c>
      <c r="F145" s="74">
        <f>E145+1</f>
        <v>2027</v>
      </c>
      <c r="G145" s="74">
        <f>F145+1</f>
        <v>2028</v>
      </c>
      <c r="H145" s="74">
        <f>G145+1</f>
        <v>2029</v>
      </c>
      <c r="I145" s="74">
        <f>H145+1</f>
        <v>2030</v>
      </c>
      <c r="J145" s="74">
        <f>I145+1</f>
        <v>2031</v>
      </c>
      <c r="L145" s="173"/>
      <c r="M145" s="38"/>
      <c r="N145" s="38"/>
      <c r="O145" s="38"/>
      <c r="P145" s="38"/>
      <c r="Q145" s="38"/>
      <c r="R145" s="38"/>
      <c r="S145" s="38"/>
      <c r="T145" s="38"/>
      <c r="U145" s="38"/>
      <c r="V145" s="38"/>
      <c r="W145" s="38"/>
      <c r="X145" s="38"/>
      <c r="Y145" s="38"/>
      <c r="Z145" s="38"/>
    </row>
    <row r="146" spans="1:26" hidden="1" outlineLevel="1" x14ac:dyDescent="0.2">
      <c r="A146" s="172"/>
      <c r="B146" s="172"/>
      <c r="C146" s="172"/>
      <c r="E146" s="57">
        <f t="shared" ref="E146:J146" si="31">IF($B$138&lt;&gt;0,VLOOKUP($B$138,$C$150:$J$152,E147),0)</f>
        <v>0</v>
      </c>
      <c r="F146" s="57">
        <f t="shared" si="31"/>
        <v>0</v>
      </c>
      <c r="G146" s="57">
        <f t="shared" si="31"/>
        <v>0</v>
      </c>
      <c r="H146" s="57">
        <f t="shared" si="31"/>
        <v>0</v>
      </c>
      <c r="I146" s="57">
        <f t="shared" si="31"/>
        <v>0</v>
      </c>
      <c r="J146" s="57">
        <f t="shared" si="31"/>
        <v>0</v>
      </c>
      <c r="L146" s="173"/>
      <c r="M146" s="38"/>
      <c r="N146" s="38"/>
      <c r="O146" s="38"/>
      <c r="P146" s="38"/>
      <c r="Q146" s="38"/>
      <c r="R146" s="38"/>
      <c r="S146" s="38"/>
      <c r="T146" s="38"/>
      <c r="U146" s="38"/>
      <c r="V146" s="38"/>
      <c r="W146" s="38"/>
      <c r="X146" s="38"/>
      <c r="Y146" s="38"/>
      <c r="Z146" s="38"/>
    </row>
    <row r="147" spans="1:26" hidden="1" outlineLevel="1" x14ac:dyDescent="0.2">
      <c r="A147" s="172"/>
      <c r="B147" s="172"/>
      <c r="C147" s="172"/>
      <c r="E147" s="155">
        <v>3</v>
      </c>
      <c r="F147" s="155">
        <v>4</v>
      </c>
      <c r="G147" s="155">
        <v>5</v>
      </c>
      <c r="H147" s="155">
        <v>6</v>
      </c>
      <c r="I147" s="155">
        <v>7</v>
      </c>
      <c r="J147" s="155">
        <v>8</v>
      </c>
      <c r="L147" s="173"/>
      <c r="M147" s="38"/>
      <c r="N147" s="38"/>
      <c r="O147" s="38"/>
      <c r="P147" s="38"/>
      <c r="Q147" s="38"/>
      <c r="R147" s="38"/>
      <c r="S147" s="38"/>
      <c r="T147" s="38"/>
      <c r="U147" s="38"/>
      <c r="V147" s="38"/>
      <c r="W147" s="38"/>
      <c r="X147" s="38"/>
      <c r="Y147" s="38"/>
      <c r="Z147" s="38"/>
    </row>
    <row r="148" spans="1:26" hidden="1" outlineLevel="1" x14ac:dyDescent="0.2">
      <c r="A148" s="172"/>
      <c r="B148" s="172"/>
      <c r="C148" s="172"/>
      <c r="D148" s="26" t="s">
        <v>314</v>
      </c>
      <c r="E148" s="71">
        <f t="shared" ref="E148:J148" si="32">E145</f>
        <v>2026</v>
      </c>
      <c r="F148" s="71">
        <f t="shared" si="32"/>
        <v>2027</v>
      </c>
      <c r="G148" s="71">
        <f t="shared" si="32"/>
        <v>2028</v>
      </c>
      <c r="H148" s="71">
        <f t="shared" si="32"/>
        <v>2029</v>
      </c>
      <c r="I148" s="71">
        <f t="shared" si="32"/>
        <v>2030</v>
      </c>
      <c r="J148" s="71">
        <f t="shared" si="32"/>
        <v>2031</v>
      </c>
      <c r="L148" s="172"/>
      <c r="M148" s="39"/>
      <c r="N148" s="39"/>
      <c r="O148" s="39"/>
      <c r="P148" s="39"/>
      <c r="Q148" s="39"/>
      <c r="R148" s="39"/>
      <c r="S148" s="39"/>
      <c r="T148" s="39"/>
      <c r="U148" s="39"/>
      <c r="V148" s="39"/>
      <c r="W148" s="39"/>
      <c r="X148" s="39"/>
      <c r="Y148" s="39"/>
      <c r="Z148" s="39"/>
    </row>
    <row r="149" spans="1:26" hidden="1" outlineLevel="1" x14ac:dyDescent="0.2">
      <c r="A149" s="172"/>
      <c r="B149" s="172"/>
      <c r="D149" s="156" t="s">
        <v>231</v>
      </c>
      <c r="E149" s="57">
        <f t="shared" ref="E149:J149" si="33">IF(OR(E150="",E150=0),SUM(E151:E152),E150)</f>
        <v>0</v>
      </c>
      <c r="F149" s="57">
        <f t="shared" si="33"/>
        <v>0</v>
      </c>
      <c r="G149" s="57">
        <f t="shared" si="33"/>
        <v>0</v>
      </c>
      <c r="H149" s="57">
        <f t="shared" si="33"/>
        <v>0</v>
      </c>
      <c r="I149" s="57">
        <f t="shared" si="33"/>
        <v>0</v>
      </c>
      <c r="J149" s="57">
        <f t="shared" si="33"/>
        <v>0</v>
      </c>
      <c r="L149" s="172"/>
      <c r="M149" s="39"/>
      <c r="N149" s="39"/>
      <c r="O149" s="39"/>
      <c r="P149" s="39"/>
      <c r="Q149" s="39"/>
      <c r="R149" s="39"/>
      <c r="S149" s="39"/>
      <c r="T149" s="39"/>
      <c r="U149" s="39"/>
      <c r="V149" s="39"/>
      <c r="W149" s="39"/>
      <c r="X149" s="39"/>
      <c r="Y149" s="39"/>
      <c r="Z149" s="39"/>
    </row>
    <row r="150" spans="1:26" hidden="1" outlineLevel="1" x14ac:dyDescent="0.2">
      <c r="A150" s="172"/>
      <c r="B150" s="172"/>
      <c r="C150" s="52">
        <v>1</v>
      </c>
      <c r="D150" s="156" t="s">
        <v>356</v>
      </c>
      <c r="E150" s="42"/>
      <c r="F150" s="42"/>
      <c r="G150" s="42"/>
      <c r="H150" s="42"/>
      <c r="I150" s="42"/>
      <c r="J150" s="42"/>
      <c r="L150" s="172"/>
      <c r="M150" s="39"/>
      <c r="N150" s="39"/>
      <c r="O150" s="39"/>
      <c r="P150" s="39"/>
      <c r="Q150" s="39"/>
      <c r="R150" s="39"/>
      <c r="S150" s="39"/>
      <c r="T150" s="39"/>
      <c r="U150" s="39"/>
      <c r="V150" s="39"/>
      <c r="W150" s="39"/>
      <c r="X150" s="39"/>
      <c r="Y150" s="39"/>
      <c r="Z150" s="39"/>
    </row>
    <row r="151" spans="1:26" hidden="1" outlineLevel="1" x14ac:dyDescent="0.2">
      <c r="A151" s="172"/>
      <c r="B151" s="172"/>
      <c r="C151" s="52">
        <v>2</v>
      </c>
      <c r="D151" s="156" t="s">
        <v>234</v>
      </c>
      <c r="E151" s="42"/>
      <c r="F151" s="42"/>
      <c r="G151" s="42"/>
      <c r="H151" s="42"/>
      <c r="I151" s="42"/>
      <c r="J151" s="42"/>
      <c r="L151" s="172"/>
      <c r="M151" s="39"/>
      <c r="N151" s="39"/>
      <c r="O151" s="39"/>
      <c r="P151" s="39"/>
      <c r="Q151" s="39"/>
      <c r="R151" s="39"/>
      <c r="S151" s="39"/>
      <c r="T151" s="39"/>
      <c r="U151" s="39"/>
      <c r="V151" s="39"/>
      <c r="W151" s="39"/>
      <c r="X151" s="39"/>
      <c r="Y151" s="39"/>
      <c r="Z151" s="39"/>
    </row>
    <row r="152" spans="1:26" hidden="1" outlineLevel="1" x14ac:dyDescent="0.2">
      <c r="A152" s="172"/>
      <c r="B152" s="172"/>
      <c r="C152" s="52">
        <v>3</v>
      </c>
      <c r="D152" s="156" t="s">
        <v>235</v>
      </c>
      <c r="E152" s="42"/>
      <c r="F152" s="42"/>
      <c r="G152" s="42"/>
      <c r="H152" s="42"/>
      <c r="I152" s="42"/>
      <c r="J152" s="42"/>
      <c r="L152" s="172"/>
      <c r="M152" s="39"/>
      <c r="N152" s="39"/>
      <c r="O152" s="39"/>
      <c r="P152" s="39"/>
      <c r="Q152" s="39"/>
      <c r="R152" s="39"/>
      <c r="S152" s="39"/>
      <c r="T152" s="39"/>
      <c r="U152" s="39"/>
      <c r="V152" s="39"/>
      <c r="W152" s="39"/>
      <c r="X152" s="39"/>
      <c r="Y152" s="39"/>
      <c r="Z152" s="39"/>
    </row>
    <row r="153" spans="1:26" hidden="1" outlineLevel="1" collapsed="1" x14ac:dyDescent="0.2">
      <c r="A153" s="172"/>
      <c r="B153" s="172"/>
      <c r="C153" s="172"/>
      <c r="L153" s="172"/>
      <c r="M153" s="39"/>
      <c r="N153" s="39"/>
      <c r="O153" s="39"/>
      <c r="P153" s="39"/>
      <c r="Q153" s="39"/>
      <c r="R153" s="39"/>
      <c r="S153" s="39"/>
      <c r="T153" s="39"/>
      <c r="U153" s="39"/>
      <c r="V153" s="39"/>
      <c r="W153" s="39"/>
      <c r="X153" s="39"/>
      <c r="Y153" s="39"/>
      <c r="Z153" s="39"/>
    </row>
    <row r="154" spans="1:26" collapsed="1" x14ac:dyDescent="0.2">
      <c r="A154" s="172"/>
      <c r="B154" s="172"/>
      <c r="C154" s="172"/>
      <c r="L154" s="172"/>
      <c r="M154" s="39"/>
      <c r="N154" s="39"/>
      <c r="O154" s="39"/>
      <c r="P154" s="39"/>
      <c r="Q154" s="39"/>
      <c r="R154" s="39"/>
      <c r="S154" s="39"/>
      <c r="T154" s="39"/>
      <c r="U154" s="39"/>
      <c r="V154" s="39"/>
      <c r="W154" s="39"/>
      <c r="X154" s="39"/>
      <c r="Y154" s="39"/>
      <c r="Z154" s="39"/>
    </row>
    <row r="155" spans="1:26" ht="15.75" x14ac:dyDescent="0.2">
      <c r="A155" s="172"/>
      <c r="B155" s="209">
        <f>IF(E159&lt;&gt;"",VLOOKUP(E159,GenderCode,2,FALSE),0)</f>
        <v>0</v>
      </c>
      <c r="C155" s="52">
        <v>9</v>
      </c>
      <c r="D155" s="72" t="str">
        <f>IF(B155=0,MsgNotUsed, CONCATENATE("AIHW ", C155, ": ", E157,": ", E159, " (", E162, "-", J162, ")"))</f>
        <v>** NOT USED **</v>
      </c>
      <c r="E155" s="113"/>
      <c r="F155" s="113"/>
      <c r="G155" s="113"/>
      <c r="H155" s="113"/>
      <c r="I155" s="154"/>
      <c r="J155" s="113"/>
      <c r="K155" s="113"/>
      <c r="L155" s="113"/>
      <c r="M155" s="224"/>
      <c r="N155" s="224"/>
      <c r="O155" s="224"/>
      <c r="P155" s="224"/>
      <c r="Q155" s="224"/>
      <c r="R155" s="224"/>
      <c r="S155" s="224"/>
      <c r="T155" s="224"/>
      <c r="U155" s="224"/>
      <c r="V155" s="224"/>
      <c r="W155" s="224"/>
      <c r="X155" s="224"/>
      <c r="Y155" s="224"/>
      <c r="Z155" s="224"/>
    </row>
    <row r="156" spans="1:26" hidden="1" outlineLevel="1" x14ac:dyDescent="0.2">
      <c r="A156" s="172"/>
      <c r="B156" s="172"/>
      <c r="C156" s="172"/>
      <c r="D156" s="450"/>
      <c r="S156" s="1"/>
      <c r="T156" s="1"/>
      <c r="U156" s="1"/>
      <c r="V156" s="1"/>
      <c r="W156" s="1"/>
      <c r="X156" s="1"/>
      <c r="Y156" s="1"/>
      <c r="Z156" s="1"/>
    </row>
    <row r="157" spans="1:26" hidden="1" outlineLevel="1" x14ac:dyDescent="0.2">
      <c r="A157" s="172"/>
      <c r="B157" s="172"/>
      <c r="C157" s="172"/>
      <c r="D157" s="37" t="s">
        <v>270</v>
      </c>
      <c r="E157" s="669"/>
      <c r="F157" s="642"/>
      <c r="G157" s="642"/>
      <c r="H157" s="642"/>
      <c r="I157" s="642"/>
      <c r="J157" s="643"/>
      <c r="L157" s="37" t="s">
        <v>261</v>
      </c>
      <c r="M157" s="669"/>
      <c r="N157" s="642"/>
      <c r="O157" s="642"/>
      <c r="P157" s="642"/>
      <c r="Q157" s="642"/>
      <c r="R157" s="643"/>
      <c r="S157" s="38"/>
      <c r="T157" s="38"/>
      <c r="U157" s="38"/>
      <c r="V157" s="38"/>
      <c r="W157" s="38"/>
      <c r="X157" s="38"/>
      <c r="Y157" s="38"/>
      <c r="Z157" s="38"/>
    </row>
    <row r="158" spans="1:26" hidden="1" outlineLevel="1" x14ac:dyDescent="0.2">
      <c r="A158" s="172"/>
      <c r="B158" s="172"/>
      <c r="C158" s="172"/>
      <c r="D158" s="450"/>
      <c r="S158" s="38"/>
      <c r="T158" s="38"/>
      <c r="U158" s="38"/>
      <c r="V158" s="38"/>
      <c r="W158" s="38"/>
      <c r="X158" s="38"/>
      <c r="Y158" s="38"/>
      <c r="Z158" s="38"/>
    </row>
    <row r="159" spans="1:26" hidden="1" outlineLevel="1" x14ac:dyDescent="0.2">
      <c r="A159" s="172"/>
      <c r="B159" s="172"/>
      <c r="C159" s="172"/>
      <c r="D159" s="75" t="s">
        <v>51</v>
      </c>
      <c r="E159" s="70"/>
      <c r="G159" s="172"/>
      <c r="H159" s="172"/>
      <c r="I159" s="75" t="s">
        <v>355</v>
      </c>
      <c r="J159" s="70"/>
      <c r="L159" s="173"/>
      <c r="M159" s="38"/>
      <c r="N159" s="38"/>
      <c r="O159" s="38"/>
      <c r="P159" s="38"/>
      <c r="Q159" s="38"/>
      <c r="R159" s="38"/>
      <c r="S159" s="38"/>
      <c r="T159" s="38"/>
      <c r="U159" s="38"/>
      <c r="V159" s="38"/>
      <c r="W159" s="38"/>
      <c r="X159" s="38"/>
      <c r="Y159" s="38"/>
      <c r="Z159" s="38"/>
    </row>
    <row r="160" spans="1:26" hidden="1" outlineLevel="1" x14ac:dyDescent="0.2">
      <c r="A160" s="172"/>
      <c r="B160" s="172"/>
      <c r="C160" s="172"/>
      <c r="L160" s="173"/>
      <c r="M160" s="38"/>
      <c r="N160" s="38"/>
      <c r="O160" s="38"/>
      <c r="P160" s="38"/>
      <c r="Q160" s="38"/>
      <c r="R160" s="38"/>
      <c r="S160" s="38"/>
      <c r="T160" s="38"/>
      <c r="U160" s="38"/>
      <c r="V160" s="38"/>
      <c r="W160" s="38"/>
      <c r="X160" s="38"/>
      <c r="Y160" s="38"/>
      <c r="Z160" s="38"/>
    </row>
    <row r="161" spans="1:26" hidden="1" outlineLevel="1" x14ac:dyDescent="0.2">
      <c r="A161" s="172"/>
      <c r="B161" s="172"/>
      <c r="C161" s="172"/>
      <c r="E161" s="260" t="s">
        <v>246</v>
      </c>
      <c r="L161" s="173"/>
      <c r="M161" s="38"/>
      <c r="N161" s="38"/>
      <c r="O161" s="38"/>
      <c r="P161" s="38"/>
      <c r="Q161" s="38"/>
      <c r="R161" s="38"/>
      <c r="S161" s="38"/>
      <c r="T161" s="38"/>
      <c r="U161" s="38"/>
      <c r="V161" s="38"/>
      <c r="W161" s="38"/>
      <c r="X161" s="38"/>
      <c r="Y161" s="38"/>
      <c r="Z161" s="38"/>
    </row>
    <row r="162" spans="1:26" hidden="1" outlineLevel="1" x14ac:dyDescent="0.2">
      <c r="A162" s="172"/>
      <c r="B162" s="172"/>
      <c r="C162" s="172"/>
      <c r="E162" s="71">
        <f>IF(J159&lt;&gt;"",J159,FirstYear)</f>
        <v>2026</v>
      </c>
      <c r="F162" s="74">
        <f>E162+1</f>
        <v>2027</v>
      </c>
      <c r="G162" s="74">
        <f>F162+1</f>
        <v>2028</v>
      </c>
      <c r="H162" s="74">
        <f>G162+1</f>
        <v>2029</v>
      </c>
      <c r="I162" s="74">
        <f>H162+1</f>
        <v>2030</v>
      </c>
      <c r="J162" s="74">
        <f>I162+1</f>
        <v>2031</v>
      </c>
      <c r="L162" s="173"/>
      <c r="M162" s="38"/>
      <c r="N162" s="38"/>
      <c r="O162" s="38"/>
      <c r="P162" s="38"/>
      <c r="Q162" s="38"/>
      <c r="R162" s="38"/>
      <c r="S162" s="38"/>
      <c r="T162" s="38"/>
      <c r="U162" s="38"/>
      <c r="V162" s="38"/>
      <c r="W162" s="38"/>
      <c r="X162" s="38"/>
      <c r="Y162" s="38"/>
      <c r="Z162" s="38"/>
    </row>
    <row r="163" spans="1:26" hidden="1" outlineLevel="1" x14ac:dyDescent="0.2">
      <c r="A163" s="172"/>
      <c r="B163" s="172"/>
      <c r="C163" s="172"/>
      <c r="E163" s="57">
        <f t="shared" ref="E163:J163" si="34">IF($B$155&lt;&gt;0,VLOOKUP($B$155,$C$167:$J$169,E164),0)</f>
        <v>0</v>
      </c>
      <c r="F163" s="57">
        <f t="shared" si="34"/>
        <v>0</v>
      </c>
      <c r="G163" s="57">
        <f t="shared" si="34"/>
        <v>0</v>
      </c>
      <c r="H163" s="57">
        <f t="shared" si="34"/>
        <v>0</v>
      </c>
      <c r="I163" s="57">
        <f t="shared" si="34"/>
        <v>0</v>
      </c>
      <c r="J163" s="57">
        <f t="shared" si="34"/>
        <v>0</v>
      </c>
      <c r="L163" s="173"/>
      <c r="M163" s="38"/>
      <c r="N163" s="38"/>
      <c r="O163" s="38"/>
      <c r="P163" s="38"/>
      <c r="Q163" s="38"/>
      <c r="R163" s="38"/>
      <c r="S163" s="38"/>
      <c r="T163" s="38"/>
      <c r="U163" s="38"/>
      <c r="V163" s="38"/>
      <c r="W163" s="38"/>
      <c r="X163" s="38"/>
      <c r="Y163" s="38"/>
      <c r="Z163" s="38"/>
    </row>
    <row r="164" spans="1:26" hidden="1" outlineLevel="1" x14ac:dyDescent="0.2">
      <c r="A164" s="172"/>
      <c r="B164" s="172"/>
      <c r="C164" s="172"/>
      <c r="E164" s="155">
        <v>3</v>
      </c>
      <c r="F164" s="155">
        <v>4</v>
      </c>
      <c r="G164" s="155">
        <v>5</v>
      </c>
      <c r="H164" s="155">
        <v>6</v>
      </c>
      <c r="I164" s="155">
        <v>7</v>
      </c>
      <c r="J164" s="155">
        <v>8</v>
      </c>
      <c r="L164" s="173"/>
      <c r="M164" s="38"/>
      <c r="N164" s="38"/>
      <c r="O164" s="38"/>
      <c r="P164" s="38"/>
      <c r="Q164" s="38"/>
      <c r="R164" s="38"/>
      <c r="S164" s="38"/>
      <c r="T164" s="38"/>
      <c r="U164" s="38"/>
      <c r="V164" s="38"/>
      <c r="W164" s="38"/>
      <c r="X164" s="38"/>
      <c r="Y164" s="38"/>
      <c r="Z164" s="38"/>
    </row>
    <row r="165" spans="1:26" hidden="1" outlineLevel="1" x14ac:dyDescent="0.2">
      <c r="A165" s="172"/>
      <c r="B165" s="172"/>
      <c r="C165" s="172"/>
      <c r="D165" s="26" t="s">
        <v>314</v>
      </c>
      <c r="E165" s="71">
        <f t="shared" ref="E165:J165" si="35">E162</f>
        <v>2026</v>
      </c>
      <c r="F165" s="71">
        <f t="shared" si="35"/>
        <v>2027</v>
      </c>
      <c r="G165" s="71">
        <f t="shared" si="35"/>
        <v>2028</v>
      </c>
      <c r="H165" s="71">
        <f t="shared" si="35"/>
        <v>2029</v>
      </c>
      <c r="I165" s="71">
        <f t="shared" si="35"/>
        <v>2030</v>
      </c>
      <c r="J165" s="71">
        <f t="shared" si="35"/>
        <v>2031</v>
      </c>
      <c r="L165" s="172"/>
      <c r="M165" s="39"/>
      <c r="N165" s="39"/>
      <c r="O165" s="39"/>
      <c r="P165" s="39"/>
      <c r="Q165" s="39"/>
      <c r="R165" s="39"/>
      <c r="S165" s="39"/>
      <c r="T165" s="39"/>
      <c r="U165" s="39"/>
      <c r="V165" s="39"/>
      <c r="W165" s="39"/>
      <c r="X165" s="39"/>
      <c r="Y165" s="39"/>
      <c r="Z165" s="39"/>
    </row>
    <row r="166" spans="1:26" hidden="1" outlineLevel="1" x14ac:dyDescent="0.2">
      <c r="A166" s="172"/>
      <c r="B166" s="172"/>
      <c r="D166" s="156" t="s">
        <v>231</v>
      </c>
      <c r="E166" s="57">
        <f t="shared" ref="E166:J166" si="36">IF(OR(E167="",E167=0),SUM(E168:E169),E167)</f>
        <v>0</v>
      </c>
      <c r="F166" s="57">
        <f t="shared" si="36"/>
        <v>0</v>
      </c>
      <c r="G166" s="57">
        <f t="shared" si="36"/>
        <v>0</v>
      </c>
      <c r="H166" s="57">
        <f t="shared" si="36"/>
        <v>0</v>
      </c>
      <c r="I166" s="57">
        <f t="shared" si="36"/>
        <v>0</v>
      </c>
      <c r="J166" s="57">
        <f t="shared" si="36"/>
        <v>0</v>
      </c>
      <c r="L166" s="172"/>
      <c r="M166" s="39"/>
      <c r="N166" s="39"/>
      <c r="O166" s="39"/>
      <c r="P166" s="39"/>
      <c r="Q166" s="39"/>
      <c r="R166" s="39"/>
      <c r="S166" s="39"/>
      <c r="T166" s="39"/>
      <c r="U166" s="39"/>
      <c r="V166" s="39"/>
      <c r="W166" s="39"/>
      <c r="X166" s="39"/>
      <c r="Y166" s="39"/>
      <c r="Z166" s="39"/>
    </row>
    <row r="167" spans="1:26" hidden="1" outlineLevel="1" x14ac:dyDescent="0.2">
      <c r="A167" s="172"/>
      <c r="B167" s="172"/>
      <c r="C167" s="52">
        <v>1</v>
      </c>
      <c r="D167" s="156" t="s">
        <v>356</v>
      </c>
      <c r="E167" s="42"/>
      <c r="F167" s="42"/>
      <c r="G167" s="42"/>
      <c r="H167" s="42"/>
      <c r="I167" s="42"/>
      <c r="J167" s="42"/>
      <c r="L167" s="172"/>
      <c r="M167" s="39"/>
      <c r="N167" s="39"/>
      <c r="O167" s="39"/>
      <c r="P167" s="39"/>
      <c r="Q167" s="39"/>
      <c r="R167" s="39"/>
      <c r="S167" s="39"/>
      <c r="T167" s="39"/>
      <c r="U167" s="39"/>
      <c r="V167" s="39"/>
      <c r="W167" s="39"/>
      <c r="X167" s="39"/>
      <c r="Y167" s="39"/>
      <c r="Z167" s="39"/>
    </row>
    <row r="168" spans="1:26" hidden="1" outlineLevel="1" x14ac:dyDescent="0.2">
      <c r="A168" s="172"/>
      <c r="B168" s="172"/>
      <c r="C168" s="52">
        <v>2</v>
      </c>
      <c r="D168" s="156" t="s">
        <v>234</v>
      </c>
      <c r="E168" s="42"/>
      <c r="F168" s="42"/>
      <c r="G168" s="42"/>
      <c r="H168" s="42"/>
      <c r="I168" s="42"/>
      <c r="J168" s="42"/>
      <c r="L168" s="172"/>
      <c r="M168" s="39"/>
      <c r="N168" s="39"/>
      <c r="O168" s="39"/>
      <c r="P168" s="39"/>
      <c r="Q168" s="39"/>
      <c r="R168" s="39"/>
      <c r="S168" s="39"/>
      <c r="T168" s="39"/>
      <c r="U168" s="39"/>
      <c r="V168" s="39"/>
      <c r="W168" s="39"/>
      <c r="X168" s="39"/>
      <c r="Y168" s="39"/>
      <c r="Z168" s="39"/>
    </row>
    <row r="169" spans="1:26" hidden="1" outlineLevel="1" x14ac:dyDescent="0.2">
      <c r="A169" s="172"/>
      <c r="B169" s="172"/>
      <c r="C169" s="52">
        <v>3</v>
      </c>
      <c r="D169" s="156" t="s">
        <v>235</v>
      </c>
      <c r="E169" s="42"/>
      <c r="F169" s="42"/>
      <c r="G169" s="42"/>
      <c r="H169" s="42"/>
      <c r="I169" s="42"/>
      <c r="J169" s="42"/>
      <c r="L169" s="172"/>
      <c r="M169" s="39"/>
      <c r="N169" s="39"/>
      <c r="O169" s="39"/>
      <c r="P169" s="39"/>
      <c r="Q169" s="39"/>
      <c r="R169" s="39"/>
      <c r="S169" s="39"/>
      <c r="T169" s="39"/>
      <c r="U169" s="39"/>
      <c r="V169" s="39"/>
      <c r="W169" s="39"/>
      <c r="X169" s="39"/>
      <c r="Y169" s="39"/>
      <c r="Z169" s="39"/>
    </row>
    <row r="170" spans="1:26" hidden="1" outlineLevel="1" collapsed="1" x14ac:dyDescent="0.2">
      <c r="A170" s="172"/>
      <c r="B170" s="172"/>
      <c r="C170" s="172"/>
      <c r="L170" s="172"/>
      <c r="M170" s="39"/>
      <c r="N170" s="39"/>
      <c r="O170" s="39"/>
      <c r="P170" s="39"/>
      <c r="Q170" s="39"/>
      <c r="R170" s="39"/>
      <c r="S170" s="39"/>
      <c r="T170" s="39"/>
      <c r="U170" s="39"/>
      <c r="V170" s="39"/>
      <c r="W170" s="39"/>
      <c r="X170" s="39"/>
      <c r="Y170" s="39"/>
      <c r="Z170" s="39"/>
    </row>
    <row r="171" spans="1:26" collapsed="1" x14ac:dyDescent="0.2">
      <c r="A171" s="172"/>
      <c r="B171" s="172"/>
      <c r="C171" s="172"/>
      <c r="L171" s="172"/>
      <c r="M171" s="39"/>
      <c r="N171" s="39"/>
      <c r="O171" s="39"/>
      <c r="P171" s="39"/>
      <c r="Q171" s="39"/>
      <c r="R171" s="39"/>
      <c r="S171" s="39"/>
      <c r="T171" s="39"/>
      <c r="U171" s="39"/>
      <c r="V171" s="39"/>
      <c r="W171" s="39"/>
      <c r="X171" s="39"/>
      <c r="Y171" s="39"/>
      <c r="Z171" s="39"/>
    </row>
    <row r="172" spans="1:26" ht="15.75" x14ac:dyDescent="0.2">
      <c r="A172" s="172"/>
      <c r="B172" s="209">
        <f>IF(E176&lt;&gt;"",VLOOKUP(E176,GenderCode,2,FALSE),0)</f>
        <v>0</v>
      </c>
      <c r="C172" s="52">
        <v>10</v>
      </c>
      <c r="D172" s="72" t="str">
        <f>IF(B172=0,MsgNotUsed, CONCATENATE("AIHW ", C172, ": ", E174,": ", E176, " (", E179, "-", J179, ")"))</f>
        <v>** NOT USED **</v>
      </c>
      <c r="E172" s="113"/>
      <c r="F172" s="113"/>
      <c r="G172" s="113"/>
      <c r="H172" s="113"/>
      <c r="I172" s="154"/>
      <c r="J172" s="113"/>
      <c r="K172" s="113"/>
      <c r="L172" s="113"/>
      <c r="M172" s="224"/>
      <c r="N172" s="224"/>
      <c r="O172" s="224"/>
      <c r="P172" s="224"/>
      <c r="Q172" s="224"/>
      <c r="R172" s="224"/>
      <c r="S172" s="224"/>
      <c r="T172" s="224"/>
      <c r="U172" s="224"/>
      <c r="V172" s="224"/>
      <c r="W172" s="224"/>
      <c r="X172" s="224"/>
      <c r="Y172" s="224"/>
      <c r="Z172" s="224"/>
    </row>
    <row r="173" spans="1:26" hidden="1" outlineLevel="1" x14ac:dyDescent="0.2">
      <c r="A173" s="172"/>
      <c r="B173" s="172"/>
      <c r="C173" s="172"/>
      <c r="D173" s="450"/>
      <c r="S173" s="1"/>
      <c r="T173" s="1"/>
      <c r="U173" s="1"/>
      <c r="V173" s="1"/>
      <c r="W173" s="1"/>
    </row>
    <row r="174" spans="1:26" hidden="1" outlineLevel="1" x14ac:dyDescent="0.2">
      <c r="A174" s="172"/>
      <c r="B174" s="172"/>
      <c r="C174" s="172"/>
      <c r="D174" s="37" t="s">
        <v>270</v>
      </c>
      <c r="E174" s="669"/>
      <c r="F174" s="642"/>
      <c r="G174" s="642"/>
      <c r="H174" s="642"/>
      <c r="I174" s="642"/>
      <c r="J174" s="643"/>
      <c r="L174" s="37" t="s">
        <v>261</v>
      </c>
      <c r="M174" s="669"/>
      <c r="N174" s="642"/>
      <c r="O174" s="642"/>
      <c r="P174" s="642"/>
      <c r="Q174" s="642"/>
      <c r="R174" s="643"/>
      <c r="S174" s="38"/>
      <c r="T174" s="38"/>
      <c r="U174" s="38"/>
      <c r="V174" s="38"/>
      <c r="W174" s="38"/>
    </row>
    <row r="175" spans="1:26" hidden="1" outlineLevel="1" x14ac:dyDescent="0.2">
      <c r="A175" s="172"/>
      <c r="B175" s="172"/>
      <c r="C175" s="172"/>
      <c r="D175" s="450"/>
      <c r="S175" s="38"/>
      <c r="T175" s="38"/>
      <c r="U175" s="38"/>
      <c r="V175" s="38"/>
      <c r="W175" s="38"/>
    </row>
    <row r="176" spans="1:26" hidden="1" outlineLevel="1" x14ac:dyDescent="0.2">
      <c r="A176" s="172"/>
      <c r="B176" s="172"/>
      <c r="C176" s="172"/>
      <c r="D176" s="75" t="s">
        <v>51</v>
      </c>
      <c r="E176" s="70"/>
      <c r="G176" s="172"/>
      <c r="H176" s="172"/>
      <c r="I176" s="75" t="s">
        <v>355</v>
      </c>
      <c r="J176" s="70"/>
      <c r="L176" s="173"/>
      <c r="M176" s="38"/>
      <c r="N176" s="38"/>
      <c r="O176" s="38"/>
      <c r="P176" s="38"/>
      <c r="Q176" s="38"/>
      <c r="R176" s="38"/>
      <c r="S176" s="38"/>
      <c r="T176" s="38"/>
      <c r="U176" s="38"/>
      <c r="V176" s="38"/>
      <c r="W176" s="38"/>
    </row>
    <row r="177" spans="1:23" hidden="1" outlineLevel="1" x14ac:dyDescent="0.2">
      <c r="A177" s="172"/>
      <c r="B177" s="172"/>
      <c r="C177" s="172"/>
      <c r="L177" s="173"/>
      <c r="M177" s="38"/>
      <c r="N177" s="38"/>
      <c r="O177" s="38"/>
      <c r="P177" s="38"/>
      <c r="Q177" s="38"/>
      <c r="R177" s="38"/>
      <c r="S177" s="38"/>
      <c r="T177" s="38"/>
      <c r="U177" s="38"/>
      <c r="V177" s="38"/>
      <c r="W177" s="38"/>
    </row>
    <row r="178" spans="1:23" hidden="1" outlineLevel="1" x14ac:dyDescent="0.2">
      <c r="A178" s="172"/>
      <c r="B178" s="172"/>
      <c r="C178" s="172"/>
      <c r="E178" s="260" t="s">
        <v>246</v>
      </c>
      <c r="L178" s="173"/>
      <c r="M178" s="38"/>
      <c r="N178" s="38"/>
      <c r="O178" s="38"/>
      <c r="P178" s="38"/>
      <c r="Q178" s="38"/>
      <c r="R178" s="38"/>
      <c r="S178" s="38"/>
      <c r="T178" s="38"/>
      <c r="U178" s="38"/>
      <c r="V178" s="38"/>
      <c r="W178" s="38"/>
    </row>
    <row r="179" spans="1:23" hidden="1" outlineLevel="1" x14ac:dyDescent="0.2">
      <c r="A179" s="172"/>
      <c r="B179" s="172"/>
      <c r="C179" s="172"/>
      <c r="E179" s="71">
        <f>IF(J176&lt;&gt;"",J176,FirstYear)</f>
        <v>2026</v>
      </c>
      <c r="F179" s="74">
        <f>E179+1</f>
        <v>2027</v>
      </c>
      <c r="G179" s="74">
        <f>F179+1</f>
        <v>2028</v>
      </c>
      <c r="H179" s="74">
        <f>G179+1</f>
        <v>2029</v>
      </c>
      <c r="I179" s="74">
        <f>H179+1</f>
        <v>2030</v>
      </c>
      <c r="J179" s="74">
        <f>I179+1</f>
        <v>2031</v>
      </c>
      <c r="L179" s="173"/>
      <c r="M179" s="38"/>
      <c r="N179" s="38"/>
      <c r="O179" s="38"/>
      <c r="P179" s="38"/>
      <c r="Q179" s="38"/>
      <c r="R179" s="38"/>
      <c r="S179" s="38"/>
      <c r="T179" s="38"/>
      <c r="U179" s="38"/>
      <c r="V179" s="38"/>
      <c r="W179" s="38"/>
    </row>
    <row r="180" spans="1:23" hidden="1" outlineLevel="1" x14ac:dyDescent="0.2">
      <c r="A180" s="172"/>
      <c r="B180" s="172"/>
      <c r="C180" s="172"/>
      <c r="E180" s="57">
        <f t="shared" ref="E180:J180" si="37">IF($B$172&lt;&gt;0,VLOOKUP($B$172,$C$184:$J$186,E181),0)</f>
        <v>0</v>
      </c>
      <c r="F180" s="57">
        <f t="shared" si="37"/>
        <v>0</v>
      </c>
      <c r="G180" s="57">
        <f t="shared" si="37"/>
        <v>0</v>
      </c>
      <c r="H180" s="57">
        <f t="shared" si="37"/>
        <v>0</v>
      </c>
      <c r="I180" s="57">
        <f t="shared" si="37"/>
        <v>0</v>
      </c>
      <c r="J180" s="57">
        <f t="shared" si="37"/>
        <v>0</v>
      </c>
      <c r="L180" s="173"/>
      <c r="M180" s="38"/>
      <c r="N180" s="38"/>
      <c r="O180" s="38"/>
      <c r="P180" s="38"/>
      <c r="Q180" s="38"/>
      <c r="R180" s="38"/>
      <c r="S180" s="38"/>
      <c r="T180" s="38"/>
      <c r="U180" s="38"/>
      <c r="V180" s="38"/>
      <c r="W180" s="38"/>
    </row>
    <row r="181" spans="1:23" hidden="1" outlineLevel="1" x14ac:dyDescent="0.2">
      <c r="A181" s="172"/>
      <c r="B181" s="172"/>
      <c r="C181" s="172"/>
      <c r="E181" s="155">
        <v>3</v>
      </c>
      <c r="F181" s="155">
        <v>4</v>
      </c>
      <c r="G181" s="155">
        <v>5</v>
      </c>
      <c r="H181" s="155">
        <v>6</v>
      </c>
      <c r="I181" s="155">
        <v>7</v>
      </c>
      <c r="J181" s="155">
        <v>8</v>
      </c>
      <c r="L181" s="173"/>
      <c r="M181" s="38"/>
      <c r="N181" s="38"/>
      <c r="O181" s="38"/>
      <c r="P181" s="38"/>
      <c r="Q181" s="38"/>
      <c r="R181" s="38"/>
      <c r="S181" s="38"/>
      <c r="T181" s="38"/>
      <c r="U181" s="38"/>
      <c r="V181" s="38"/>
      <c r="W181" s="38"/>
    </row>
    <row r="182" spans="1:23" hidden="1" outlineLevel="1" x14ac:dyDescent="0.2">
      <c r="A182" s="172"/>
      <c r="B182" s="172"/>
      <c r="C182" s="172"/>
      <c r="D182" s="26" t="s">
        <v>314</v>
      </c>
      <c r="E182" s="71">
        <f t="shared" ref="E182:J182" si="38">E179</f>
        <v>2026</v>
      </c>
      <c r="F182" s="71">
        <f t="shared" si="38"/>
        <v>2027</v>
      </c>
      <c r="G182" s="71">
        <f t="shared" si="38"/>
        <v>2028</v>
      </c>
      <c r="H182" s="71">
        <f t="shared" si="38"/>
        <v>2029</v>
      </c>
      <c r="I182" s="71">
        <f t="shared" si="38"/>
        <v>2030</v>
      </c>
      <c r="J182" s="71">
        <f t="shared" si="38"/>
        <v>2031</v>
      </c>
      <c r="L182" s="172"/>
      <c r="M182" s="39"/>
      <c r="N182" s="39"/>
      <c r="O182" s="39"/>
      <c r="P182" s="39"/>
      <c r="Q182" s="39"/>
      <c r="R182" s="39"/>
      <c r="S182" s="39"/>
      <c r="T182" s="39"/>
      <c r="U182" s="39"/>
      <c r="V182" s="39"/>
      <c r="W182" s="39"/>
    </row>
    <row r="183" spans="1:23" hidden="1" outlineLevel="1" x14ac:dyDescent="0.2">
      <c r="A183" s="172"/>
      <c r="B183" s="172"/>
      <c r="D183" s="156" t="s">
        <v>231</v>
      </c>
      <c r="E183" s="57">
        <f t="shared" ref="E183:J183" si="39">IF(OR(E184="",E184=0),SUM(E185:E186),E184)</f>
        <v>0</v>
      </c>
      <c r="F183" s="57">
        <f t="shared" si="39"/>
        <v>0</v>
      </c>
      <c r="G183" s="57">
        <f t="shared" si="39"/>
        <v>0</v>
      </c>
      <c r="H183" s="57">
        <f t="shared" si="39"/>
        <v>0</v>
      </c>
      <c r="I183" s="57">
        <f t="shared" si="39"/>
        <v>0</v>
      </c>
      <c r="J183" s="57">
        <f t="shared" si="39"/>
        <v>0</v>
      </c>
      <c r="L183" s="172"/>
      <c r="M183" s="39"/>
      <c r="N183" s="39"/>
      <c r="O183" s="39"/>
      <c r="P183" s="39"/>
      <c r="Q183" s="39"/>
      <c r="R183" s="39"/>
      <c r="S183" s="39"/>
      <c r="T183" s="39"/>
      <c r="U183" s="39"/>
      <c r="V183" s="39"/>
      <c r="W183" s="39"/>
    </row>
    <row r="184" spans="1:23" hidden="1" outlineLevel="1" x14ac:dyDescent="0.2">
      <c r="A184" s="172"/>
      <c r="B184" s="172"/>
      <c r="C184" s="52">
        <v>1</v>
      </c>
      <c r="D184" s="156" t="s">
        <v>356</v>
      </c>
      <c r="E184" s="42"/>
      <c r="F184" s="42"/>
      <c r="G184" s="42"/>
      <c r="H184" s="42"/>
      <c r="I184" s="42"/>
      <c r="J184" s="42"/>
      <c r="L184" s="172"/>
      <c r="M184" s="39"/>
      <c r="N184" s="39"/>
      <c r="O184" s="39"/>
      <c r="P184" s="39"/>
      <c r="Q184" s="39"/>
      <c r="R184" s="39"/>
      <c r="S184" s="39"/>
      <c r="T184" s="39"/>
      <c r="U184" s="39"/>
      <c r="V184" s="39"/>
      <c r="W184" s="39"/>
    </row>
    <row r="185" spans="1:23" hidden="1" outlineLevel="1" x14ac:dyDescent="0.2">
      <c r="A185" s="172"/>
      <c r="B185" s="172"/>
      <c r="C185" s="52">
        <v>2</v>
      </c>
      <c r="D185" s="156" t="s">
        <v>234</v>
      </c>
      <c r="E185" s="42"/>
      <c r="F185" s="42"/>
      <c r="G185" s="42"/>
      <c r="H185" s="42"/>
      <c r="I185" s="42"/>
      <c r="J185" s="42"/>
      <c r="L185" s="172"/>
      <c r="M185" s="39"/>
      <c r="N185" s="39"/>
      <c r="O185" s="39"/>
      <c r="P185" s="39"/>
      <c r="Q185" s="39"/>
      <c r="R185" s="39"/>
      <c r="S185" s="39"/>
      <c r="T185" s="39"/>
      <c r="U185" s="39"/>
      <c r="V185" s="39"/>
      <c r="W185" s="39"/>
    </row>
    <row r="186" spans="1:23" hidden="1" outlineLevel="1" x14ac:dyDescent="0.2">
      <c r="A186" s="172"/>
      <c r="B186" s="172"/>
      <c r="C186" s="52">
        <v>3</v>
      </c>
      <c r="D186" s="156" t="s">
        <v>235</v>
      </c>
      <c r="E186" s="42"/>
      <c r="F186" s="42"/>
      <c r="G186" s="42"/>
      <c r="H186" s="42"/>
      <c r="I186" s="42"/>
      <c r="J186" s="42"/>
      <c r="L186" s="172"/>
      <c r="M186" s="39"/>
      <c r="N186" s="39"/>
      <c r="O186" s="39"/>
      <c r="P186" s="39"/>
      <c r="Q186" s="39"/>
      <c r="R186" s="39"/>
      <c r="S186" s="39"/>
      <c r="T186" s="39"/>
      <c r="U186" s="39"/>
      <c r="V186" s="39"/>
      <c r="W186" s="39"/>
    </row>
    <row r="187" spans="1:23" ht="12.75" hidden="1" customHeight="1" outlineLevel="1" x14ac:dyDescent="0.2">
      <c r="B187" s="172"/>
      <c r="C187" s="172"/>
      <c r="L187" s="172"/>
      <c r="M187" s="39"/>
      <c r="N187" s="39"/>
      <c r="O187" s="39"/>
      <c r="P187" s="39"/>
      <c r="Q187" s="39"/>
      <c r="R187" s="39"/>
    </row>
    <row r="188" spans="1:23" ht="12.75" customHeight="1" collapsed="1" x14ac:dyDescent="0.2">
      <c r="B188" s="172"/>
      <c r="C188" s="172"/>
      <c r="L188" s="172"/>
      <c r="M188" s="39"/>
      <c r="N188" s="39"/>
      <c r="O188" s="39"/>
      <c r="P188" s="39"/>
      <c r="Q188" s="39"/>
      <c r="R188" s="39"/>
    </row>
  </sheetData>
  <sheetProtection selectLockedCells="1"/>
  <mergeCells count="21">
    <mergeCell ref="X1:Z1"/>
    <mergeCell ref="E106:J106"/>
    <mergeCell ref="E123:J123"/>
    <mergeCell ref="E140:J140"/>
    <mergeCell ref="E157:J157"/>
    <mergeCell ref="M21:R21"/>
    <mergeCell ref="M38:R38"/>
    <mergeCell ref="M55:R55"/>
    <mergeCell ref="M72:R72"/>
    <mergeCell ref="M89:R89"/>
    <mergeCell ref="M106:R106"/>
    <mergeCell ref="M123:R123"/>
    <mergeCell ref="M140:R140"/>
    <mergeCell ref="M157:R157"/>
    <mergeCell ref="M174:R174"/>
    <mergeCell ref="E174:J174"/>
    <mergeCell ref="E89:J89"/>
    <mergeCell ref="E21:J21"/>
    <mergeCell ref="E38:J38"/>
    <mergeCell ref="E55:J55"/>
    <mergeCell ref="E72:J72"/>
  </mergeCells>
  <dataValidations count="1">
    <dataValidation type="list" allowBlank="1" showInputMessage="1" showErrorMessage="1" sqref="E23 E40 E57 E74 E91 E108 E125 E142 E159 E176" xr:uid="{00000000-0002-0000-1100-000000000000}">
      <formula1>Gender</formula1>
    </dataValidation>
  </dataValidations>
  <pageMargins left="0.75" right="0.75" top="1" bottom="1" header="0.5" footer="0.5"/>
  <pageSetup paperSize="9" orientation="portrait" r:id="rId1"/>
  <headerFooter alignWithMargins="0">
    <oddHeader>&amp;C&amp;"Calibri"&amp;12&amp;KFF0000 OFFICIAL&amp;1#_x000D_</oddHeader>
    <oddFooter>&amp;C_x000D_&amp;1#&amp;"Calibri"&amp;12&amp;KFF0000 OFFICIAL</odd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12">
    <tabColor theme="6"/>
  </sheetPr>
  <dimension ref="A1:Z188"/>
  <sheetViews>
    <sheetView showGridLines="0" zoomScaleNormal="100" workbookViewId="0"/>
  </sheetViews>
  <sheetFormatPr defaultColWidth="13" defaultRowHeight="12.75" customHeight="1" outlineLevelRow="1" x14ac:dyDescent="0.2"/>
  <cols>
    <col min="1" max="1" width="3.7109375" customWidth="1"/>
    <col min="2" max="3" width="3.7109375" hidden="1" customWidth="1"/>
    <col min="4" max="4" width="15.7109375" customWidth="1"/>
    <col min="5" max="10" width="10.7109375" customWidth="1"/>
    <col min="11" max="11" width="3.7109375" customWidth="1"/>
    <col min="12" max="23" width="10.7109375" customWidth="1"/>
    <col min="24" max="108" width="13" customWidth="1"/>
  </cols>
  <sheetData>
    <row r="1" spans="1:26" ht="23.25" x14ac:dyDescent="0.2">
      <c r="A1" s="97">
        <f>IF((SUM(E8:J17)&lt;&gt;0),2,0)</f>
        <v>0</v>
      </c>
      <c r="B1" s="107"/>
      <c r="C1" s="107"/>
      <c r="D1" s="106" t="s">
        <v>922</v>
      </c>
      <c r="E1" s="107"/>
      <c r="F1" s="107"/>
      <c r="G1" s="107"/>
      <c r="H1" s="107"/>
      <c r="I1" s="107"/>
      <c r="J1" s="107"/>
      <c r="K1" s="107"/>
      <c r="L1" s="107"/>
      <c r="M1" s="108"/>
      <c r="N1" s="108"/>
      <c r="O1" s="108"/>
      <c r="P1" s="108"/>
      <c r="Q1" s="108"/>
      <c r="R1" s="108"/>
      <c r="S1" s="108"/>
      <c r="T1" s="108"/>
      <c r="U1" s="108"/>
      <c r="V1" s="108"/>
      <c r="W1" s="108"/>
      <c r="X1" s="587" t="str">
        <f>IF(A1=0,MsgNotUsed,"")</f>
        <v>** NOT USED **</v>
      </c>
      <c r="Y1" s="587"/>
      <c r="Z1" s="587"/>
    </row>
    <row r="2" spans="1:26" ht="15.75" x14ac:dyDescent="0.2">
      <c r="A2" s="107"/>
      <c r="B2" s="107"/>
      <c r="C2" s="107"/>
      <c r="D2" s="100" t="str">
        <f>CONCATENATE("Name of medicine: ", MedicineBrand)</f>
        <v xml:space="preserve">Name of medicine: </v>
      </c>
      <c r="E2" s="107"/>
      <c r="F2" s="107"/>
      <c r="G2" s="107"/>
      <c r="H2" s="107"/>
      <c r="I2" s="107"/>
      <c r="J2" s="107"/>
      <c r="K2" s="107"/>
      <c r="L2" s="107"/>
      <c r="M2" s="108"/>
      <c r="N2" s="108"/>
      <c r="O2" s="108"/>
      <c r="P2" s="108"/>
      <c r="Q2" s="108"/>
      <c r="R2" s="108"/>
      <c r="S2" s="108"/>
      <c r="T2" s="108"/>
      <c r="U2" s="108"/>
      <c r="V2" s="108"/>
      <c r="W2" s="108"/>
      <c r="X2" s="108"/>
      <c r="Y2" s="108"/>
      <c r="Z2" s="108"/>
    </row>
    <row r="3" spans="1:26" ht="15.75" x14ac:dyDescent="0.2">
      <c r="A3" s="107"/>
      <c r="B3" s="107"/>
      <c r="C3" s="107"/>
      <c r="D3" s="100" t="str">
        <f>CONCATENATE("Indication: ",Indication)</f>
        <v xml:space="preserve">Indication: </v>
      </c>
      <c r="E3" s="107"/>
      <c r="F3" s="107"/>
      <c r="G3" s="107"/>
      <c r="H3" s="107"/>
      <c r="I3" s="107"/>
      <c r="J3" s="107"/>
      <c r="K3" s="107"/>
      <c r="L3" s="107"/>
      <c r="M3" s="108"/>
      <c r="N3" s="108"/>
      <c r="O3" s="108"/>
      <c r="P3" s="108"/>
      <c r="Q3" s="108"/>
      <c r="R3" s="108"/>
      <c r="S3" s="108"/>
      <c r="T3" s="108"/>
      <c r="U3" s="108"/>
      <c r="V3" s="108"/>
      <c r="W3" s="108"/>
      <c r="X3" s="108"/>
      <c r="Y3" s="108"/>
      <c r="Z3" s="108"/>
    </row>
    <row r="4" spans="1:26" x14ac:dyDescent="0.2"/>
    <row r="5" spans="1:26" ht="15.75" x14ac:dyDescent="0.2">
      <c r="D5" s="111" t="s">
        <v>866</v>
      </c>
      <c r="E5" s="113"/>
      <c r="F5" s="113"/>
      <c r="G5" s="113"/>
      <c r="H5" s="113"/>
      <c r="I5" s="113"/>
      <c r="J5" s="113"/>
      <c r="K5" s="113"/>
      <c r="L5" s="113"/>
      <c r="M5" s="224"/>
      <c r="N5" s="224"/>
      <c r="O5" s="224"/>
      <c r="P5" s="224"/>
      <c r="Q5" s="224"/>
      <c r="R5" s="224"/>
      <c r="S5" s="224"/>
      <c r="T5" s="224"/>
      <c r="U5" s="224"/>
      <c r="V5" s="224"/>
      <c r="W5" s="224"/>
      <c r="X5" s="224"/>
      <c r="Y5" s="224"/>
      <c r="Z5" s="224"/>
    </row>
    <row r="6" spans="1:26" hidden="1" x14ac:dyDescent="0.2"/>
    <row r="7" spans="1:26" hidden="1" x14ac:dyDescent="0.2">
      <c r="D7" s="450"/>
      <c r="E7" s="71">
        <f>FirstYear</f>
        <v>2026</v>
      </c>
      <c r="F7" s="74">
        <f>E7+1</f>
        <v>2027</v>
      </c>
      <c r="G7" s="74">
        <f>F7+1</f>
        <v>2028</v>
      </c>
      <c r="H7" s="74">
        <f>G7+1</f>
        <v>2029</v>
      </c>
      <c r="I7" s="74">
        <f>H7+1</f>
        <v>2030</v>
      </c>
      <c r="J7" s="74">
        <f>I7+1</f>
        <v>2031</v>
      </c>
    </row>
    <row r="8" spans="1:26" hidden="1" x14ac:dyDescent="0.2">
      <c r="D8" s="451">
        <v>1</v>
      </c>
      <c r="E8" s="153">
        <f t="shared" ref="E8:J8" si="0">E27</f>
        <v>0</v>
      </c>
      <c r="F8" s="153">
        <f t="shared" si="0"/>
        <v>0</v>
      </c>
      <c r="G8" s="153">
        <f t="shared" si="0"/>
        <v>0</v>
      </c>
      <c r="H8" s="153">
        <f t="shared" si="0"/>
        <v>0</v>
      </c>
      <c r="I8" s="153">
        <f t="shared" si="0"/>
        <v>0</v>
      </c>
      <c r="J8" s="153">
        <f t="shared" si="0"/>
        <v>0</v>
      </c>
    </row>
    <row r="9" spans="1:26" hidden="1" x14ac:dyDescent="0.2">
      <c r="D9" s="451">
        <v>2</v>
      </c>
      <c r="E9" s="153">
        <f t="shared" ref="E9:J9" si="1">E44</f>
        <v>0</v>
      </c>
      <c r="F9" s="153">
        <f t="shared" si="1"/>
        <v>0</v>
      </c>
      <c r="G9" s="153">
        <f t="shared" si="1"/>
        <v>0</v>
      </c>
      <c r="H9" s="153">
        <f t="shared" si="1"/>
        <v>0</v>
      </c>
      <c r="I9" s="153">
        <f t="shared" si="1"/>
        <v>0</v>
      </c>
      <c r="J9" s="153">
        <f t="shared" si="1"/>
        <v>0</v>
      </c>
    </row>
    <row r="10" spans="1:26" hidden="1" x14ac:dyDescent="0.2">
      <c r="D10" s="451">
        <v>3</v>
      </c>
      <c r="E10" s="153">
        <f t="shared" ref="E10:J10" si="2">E61</f>
        <v>0</v>
      </c>
      <c r="F10" s="153">
        <f t="shared" si="2"/>
        <v>0</v>
      </c>
      <c r="G10" s="153">
        <f t="shared" si="2"/>
        <v>0</v>
      </c>
      <c r="H10" s="153">
        <f t="shared" si="2"/>
        <v>0</v>
      </c>
      <c r="I10" s="153">
        <f t="shared" si="2"/>
        <v>0</v>
      </c>
      <c r="J10" s="153">
        <f t="shared" si="2"/>
        <v>0</v>
      </c>
    </row>
    <row r="11" spans="1:26" hidden="1" x14ac:dyDescent="0.2">
      <c r="D11" s="451">
        <v>4</v>
      </c>
      <c r="E11" s="153">
        <f t="shared" ref="E11:J11" si="3">E78</f>
        <v>0</v>
      </c>
      <c r="F11" s="153">
        <f t="shared" si="3"/>
        <v>0</v>
      </c>
      <c r="G11" s="153">
        <f t="shared" si="3"/>
        <v>0</v>
      </c>
      <c r="H11" s="153">
        <f t="shared" si="3"/>
        <v>0</v>
      </c>
      <c r="I11" s="153">
        <f t="shared" si="3"/>
        <v>0</v>
      </c>
      <c r="J11" s="153">
        <f t="shared" si="3"/>
        <v>0</v>
      </c>
    </row>
    <row r="12" spans="1:26" hidden="1" x14ac:dyDescent="0.2">
      <c r="D12" s="451">
        <v>5</v>
      </c>
      <c r="E12" s="153">
        <f t="shared" ref="E12:J12" si="4">E95</f>
        <v>0</v>
      </c>
      <c r="F12" s="153">
        <f t="shared" si="4"/>
        <v>0</v>
      </c>
      <c r="G12" s="153">
        <f t="shared" si="4"/>
        <v>0</v>
      </c>
      <c r="H12" s="153">
        <f t="shared" si="4"/>
        <v>0</v>
      </c>
      <c r="I12" s="153">
        <f t="shared" si="4"/>
        <v>0</v>
      </c>
      <c r="J12" s="153">
        <f t="shared" si="4"/>
        <v>0</v>
      </c>
    </row>
    <row r="13" spans="1:26" hidden="1" x14ac:dyDescent="0.2">
      <c r="D13" s="451">
        <v>6</v>
      </c>
      <c r="E13" s="153">
        <f t="shared" ref="E13:J13" si="5">E112</f>
        <v>0</v>
      </c>
      <c r="F13" s="153">
        <f t="shared" si="5"/>
        <v>0</v>
      </c>
      <c r="G13" s="153">
        <f t="shared" si="5"/>
        <v>0</v>
      </c>
      <c r="H13" s="153">
        <f t="shared" si="5"/>
        <v>0</v>
      </c>
      <c r="I13" s="153">
        <f t="shared" si="5"/>
        <v>0</v>
      </c>
      <c r="J13" s="153">
        <f t="shared" si="5"/>
        <v>0</v>
      </c>
    </row>
    <row r="14" spans="1:26" hidden="1" x14ac:dyDescent="0.2">
      <c r="D14" s="451">
        <v>7</v>
      </c>
      <c r="E14" s="153">
        <f t="shared" ref="E14:J14" si="6">E129</f>
        <v>0</v>
      </c>
      <c r="F14" s="153">
        <f t="shared" si="6"/>
        <v>0</v>
      </c>
      <c r="G14" s="153">
        <f t="shared" si="6"/>
        <v>0</v>
      </c>
      <c r="H14" s="153">
        <f t="shared" si="6"/>
        <v>0</v>
      </c>
      <c r="I14" s="153">
        <f t="shared" si="6"/>
        <v>0</v>
      </c>
      <c r="J14" s="153">
        <f t="shared" si="6"/>
        <v>0</v>
      </c>
    </row>
    <row r="15" spans="1:26" hidden="1" x14ac:dyDescent="0.2">
      <c r="D15" s="451">
        <v>8</v>
      </c>
      <c r="E15" s="153">
        <f t="shared" ref="E15:J15" si="7">E146</f>
        <v>0</v>
      </c>
      <c r="F15" s="153">
        <f t="shared" si="7"/>
        <v>0</v>
      </c>
      <c r="G15" s="153">
        <f t="shared" si="7"/>
        <v>0</v>
      </c>
      <c r="H15" s="153">
        <f t="shared" si="7"/>
        <v>0</v>
      </c>
      <c r="I15" s="153">
        <f t="shared" si="7"/>
        <v>0</v>
      </c>
      <c r="J15" s="153">
        <f t="shared" si="7"/>
        <v>0</v>
      </c>
    </row>
    <row r="16" spans="1:26" hidden="1" x14ac:dyDescent="0.2">
      <c r="D16" s="451">
        <v>9</v>
      </c>
      <c r="E16" s="153">
        <f t="shared" ref="E16:J16" si="8">E163</f>
        <v>0</v>
      </c>
      <c r="F16" s="153">
        <f t="shared" si="8"/>
        <v>0</v>
      </c>
      <c r="G16" s="153">
        <f t="shared" si="8"/>
        <v>0</v>
      </c>
      <c r="H16" s="153">
        <f t="shared" si="8"/>
        <v>0</v>
      </c>
      <c r="I16" s="153">
        <f t="shared" si="8"/>
        <v>0</v>
      </c>
      <c r="J16" s="153">
        <f t="shared" si="8"/>
        <v>0</v>
      </c>
    </row>
    <row r="17" spans="1:26" hidden="1" x14ac:dyDescent="0.2">
      <c r="D17" s="451">
        <v>10</v>
      </c>
      <c r="E17" s="153">
        <f t="shared" ref="E17:J17" si="9">E180</f>
        <v>0</v>
      </c>
      <c r="F17" s="153">
        <f t="shared" si="9"/>
        <v>0</v>
      </c>
      <c r="G17" s="153">
        <f t="shared" si="9"/>
        <v>0</v>
      </c>
      <c r="H17" s="153">
        <f t="shared" si="9"/>
        <v>0</v>
      </c>
      <c r="I17" s="153">
        <f t="shared" si="9"/>
        <v>0</v>
      </c>
      <c r="J17" s="153">
        <f t="shared" si="9"/>
        <v>0</v>
      </c>
    </row>
    <row r="18" spans="1:26" x14ac:dyDescent="0.2">
      <c r="D18" s="450"/>
    </row>
    <row r="19" spans="1:26" ht="15.75" x14ac:dyDescent="0.2">
      <c r="A19" s="172"/>
      <c r="B19" s="209">
        <f>IF(E23&lt;&gt;"",VLOOKUP(E23,GenderCode,2,FALSE),0)</f>
        <v>0</v>
      </c>
      <c r="C19" s="209">
        <v>1</v>
      </c>
      <c r="D19" s="72" t="str">
        <f>IF(B19=0,MsgNotUsed, CONCATENATE("Other ", C19, ": ", E21,": ", E23, " (", E26, "-", J26, ")"))</f>
        <v>** NOT USED **</v>
      </c>
      <c r="E19" s="113"/>
      <c r="F19" s="113"/>
      <c r="G19" s="113"/>
      <c r="H19" s="113"/>
      <c r="I19" s="154"/>
      <c r="J19" s="113"/>
      <c r="K19" s="113"/>
      <c r="L19" s="113"/>
      <c r="M19" s="224"/>
      <c r="N19" s="224"/>
      <c r="O19" s="224"/>
      <c r="P19" s="224"/>
      <c r="Q19" s="224"/>
      <c r="R19" s="224"/>
      <c r="S19" s="224"/>
      <c r="T19" s="224"/>
      <c r="U19" s="224"/>
      <c r="V19" s="224"/>
      <c r="W19" s="224"/>
      <c r="X19" s="224"/>
      <c r="Y19" s="224"/>
      <c r="Z19" s="224"/>
    </row>
    <row r="20" spans="1:26" hidden="1" outlineLevel="1" x14ac:dyDescent="0.2">
      <c r="A20" s="172"/>
      <c r="B20" s="172"/>
      <c r="C20" s="172"/>
      <c r="D20" s="173"/>
      <c r="E20" s="173"/>
      <c r="F20" s="173"/>
      <c r="G20" s="173"/>
      <c r="H20" s="173"/>
      <c r="I20" s="173"/>
      <c r="J20" s="173"/>
      <c r="K20" s="173"/>
      <c r="L20" s="173"/>
      <c r="M20" s="38"/>
      <c r="N20" s="38"/>
      <c r="O20" s="38"/>
      <c r="P20" s="38"/>
      <c r="Q20" s="38"/>
      <c r="R20" s="38"/>
      <c r="S20" s="38"/>
      <c r="T20" s="38"/>
      <c r="U20" s="38"/>
      <c r="V20" s="38"/>
      <c r="W20" s="38"/>
      <c r="X20" s="38"/>
      <c r="Y20" s="38"/>
      <c r="Z20" s="38"/>
    </row>
    <row r="21" spans="1:26" hidden="1" outlineLevel="1" x14ac:dyDescent="0.2">
      <c r="A21" s="172"/>
      <c r="B21" s="172"/>
      <c r="C21" s="172"/>
      <c r="D21" s="37" t="s">
        <v>270</v>
      </c>
      <c r="E21" s="669"/>
      <c r="F21" s="642"/>
      <c r="G21" s="642"/>
      <c r="H21" s="642"/>
      <c r="I21" s="642"/>
      <c r="J21" s="643"/>
      <c r="K21" s="1"/>
      <c r="L21" s="37" t="s">
        <v>249</v>
      </c>
      <c r="M21" s="669"/>
      <c r="N21" s="642"/>
      <c r="O21" s="642"/>
      <c r="P21" s="642"/>
      <c r="Q21" s="642"/>
      <c r="R21" s="643"/>
      <c r="S21" s="38"/>
      <c r="T21" s="38"/>
      <c r="U21" s="38"/>
      <c r="V21" s="38"/>
      <c r="W21" s="38"/>
      <c r="X21" s="38"/>
      <c r="Y21" s="38"/>
      <c r="Z21" s="38"/>
    </row>
    <row r="22" spans="1:26" ht="14.25" hidden="1" outlineLevel="1" x14ac:dyDescent="0.2">
      <c r="A22" s="172"/>
      <c r="B22" s="172"/>
      <c r="C22" s="172"/>
      <c r="D22" s="449"/>
      <c r="L22" s="173"/>
      <c r="M22" s="38"/>
      <c r="N22" s="38"/>
      <c r="O22" s="38"/>
      <c r="P22" s="38"/>
      <c r="Q22" s="38"/>
      <c r="R22" s="38"/>
      <c r="S22" s="38"/>
      <c r="T22" s="38"/>
      <c r="U22" s="38"/>
      <c r="V22" s="38"/>
      <c r="W22" s="38"/>
      <c r="X22" s="38"/>
      <c r="Y22" s="38"/>
      <c r="Z22" s="38"/>
    </row>
    <row r="23" spans="1:26" hidden="1" outlineLevel="1" x14ac:dyDescent="0.2">
      <c r="A23" s="172"/>
      <c r="B23" s="172"/>
      <c r="C23" s="172"/>
      <c r="D23" s="75" t="s">
        <v>51</v>
      </c>
      <c r="E23" s="70"/>
      <c r="H23" s="172"/>
      <c r="I23" s="75" t="s">
        <v>355</v>
      </c>
      <c r="J23" s="70"/>
      <c r="L23" s="173"/>
      <c r="M23" s="38"/>
      <c r="N23" s="38"/>
      <c r="O23" s="38"/>
      <c r="P23" s="38"/>
      <c r="Q23" s="38"/>
      <c r="R23" s="38"/>
      <c r="S23" s="38"/>
      <c r="T23" s="38"/>
      <c r="U23" s="38"/>
      <c r="V23" s="38"/>
      <c r="W23" s="38"/>
      <c r="X23" s="38"/>
      <c r="Y23" s="38"/>
      <c r="Z23" s="38"/>
    </row>
    <row r="24" spans="1:26" hidden="1" outlineLevel="1" x14ac:dyDescent="0.2">
      <c r="A24" s="172"/>
      <c r="B24" s="172"/>
      <c r="C24" s="172"/>
      <c r="L24" s="173"/>
      <c r="M24" s="38"/>
      <c r="N24" s="38"/>
      <c r="O24" s="38"/>
      <c r="P24" s="38"/>
      <c r="Q24" s="38"/>
      <c r="R24" s="38"/>
      <c r="S24" s="38"/>
      <c r="T24" s="38"/>
      <c r="U24" s="38"/>
      <c r="V24" s="38"/>
      <c r="W24" s="38"/>
      <c r="X24" s="38"/>
      <c r="Y24" s="38"/>
      <c r="Z24" s="38"/>
    </row>
    <row r="25" spans="1:26" hidden="1" outlineLevel="1" x14ac:dyDescent="0.2">
      <c r="A25" s="172"/>
      <c r="B25" s="172"/>
      <c r="C25" s="172"/>
      <c r="E25" s="260" t="s">
        <v>246</v>
      </c>
      <c r="L25" s="173"/>
      <c r="M25" s="38"/>
      <c r="N25" s="38"/>
      <c r="O25" s="38"/>
      <c r="P25" s="38"/>
      <c r="Q25" s="38"/>
      <c r="R25" s="38"/>
      <c r="S25" s="38"/>
      <c r="T25" s="38"/>
      <c r="U25" s="38"/>
      <c r="V25" s="38"/>
      <c r="W25" s="38"/>
      <c r="X25" s="38"/>
      <c r="Y25" s="38"/>
      <c r="Z25" s="38"/>
    </row>
    <row r="26" spans="1:26" hidden="1" outlineLevel="1" x14ac:dyDescent="0.2">
      <c r="A26" s="172"/>
      <c r="B26" s="172"/>
      <c r="C26" s="172"/>
      <c r="E26" s="71">
        <f>IF(J23&lt;&gt;"",J23,FirstYear)</f>
        <v>2026</v>
      </c>
      <c r="F26" s="74">
        <f>E26+1</f>
        <v>2027</v>
      </c>
      <c r="G26" s="74">
        <f>F26+1</f>
        <v>2028</v>
      </c>
      <c r="H26" s="74">
        <f>G26+1</f>
        <v>2029</v>
      </c>
      <c r="I26" s="74">
        <f>H26+1</f>
        <v>2030</v>
      </c>
      <c r="J26" s="74">
        <f>I26+1</f>
        <v>2031</v>
      </c>
      <c r="L26" s="173"/>
      <c r="M26" s="38"/>
      <c r="N26" s="38"/>
      <c r="O26" s="38"/>
      <c r="P26" s="38"/>
      <c r="Q26" s="38"/>
      <c r="R26" s="38"/>
      <c r="S26" s="38"/>
      <c r="T26" s="38"/>
      <c r="U26" s="38"/>
      <c r="V26" s="38"/>
      <c r="W26" s="38"/>
      <c r="X26" s="38"/>
      <c r="Y26" s="38"/>
      <c r="Z26" s="38"/>
    </row>
    <row r="27" spans="1:26" hidden="1" outlineLevel="1" x14ac:dyDescent="0.2">
      <c r="A27" s="172"/>
      <c r="B27" s="172"/>
      <c r="C27" s="172"/>
      <c r="E27" s="57">
        <f t="shared" ref="E27:J27" si="10">IF($B$19&lt;&gt;0,VLOOKUP($B$19,$C$31:$J$33,E28),0)</f>
        <v>0</v>
      </c>
      <c r="F27" s="57">
        <f t="shared" si="10"/>
        <v>0</v>
      </c>
      <c r="G27" s="57">
        <f t="shared" si="10"/>
        <v>0</v>
      </c>
      <c r="H27" s="57">
        <f t="shared" si="10"/>
        <v>0</v>
      </c>
      <c r="I27" s="57">
        <f t="shared" si="10"/>
        <v>0</v>
      </c>
      <c r="J27" s="57">
        <f t="shared" si="10"/>
        <v>0</v>
      </c>
      <c r="L27" s="173"/>
      <c r="M27" s="38"/>
      <c r="N27" s="38"/>
      <c r="O27" s="38"/>
      <c r="P27" s="38"/>
      <c r="Q27" s="38"/>
      <c r="R27" s="38"/>
      <c r="S27" s="38"/>
      <c r="T27" s="38"/>
      <c r="U27" s="38"/>
      <c r="V27" s="38"/>
      <c r="W27" s="38"/>
      <c r="X27" s="38"/>
      <c r="Y27" s="38"/>
      <c r="Z27" s="38"/>
    </row>
    <row r="28" spans="1:26" hidden="1" outlineLevel="1" x14ac:dyDescent="0.2">
      <c r="A28" s="172"/>
      <c r="B28" s="172"/>
      <c r="C28" s="172"/>
      <c r="E28" s="155">
        <v>3</v>
      </c>
      <c r="F28" s="155">
        <v>4</v>
      </c>
      <c r="G28" s="155">
        <v>5</v>
      </c>
      <c r="H28" s="155">
        <v>6</v>
      </c>
      <c r="I28" s="155">
        <v>7</v>
      </c>
      <c r="J28" s="155">
        <v>8</v>
      </c>
      <c r="L28" s="173"/>
      <c r="M28" s="38"/>
      <c r="N28" s="38"/>
      <c r="O28" s="38"/>
      <c r="P28" s="38"/>
      <c r="Q28" s="38"/>
      <c r="R28" s="38"/>
      <c r="S28" s="38"/>
      <c r="T28" s="38"/>
      <c r="U28" s="38"/>
      <c r="V28" s="38"/>
      <c r="W28" s="38"/>
      <c r="X28" s="38"/>
      <c r="Y28" s="38"/>
      <c r="Z28" s="38"/>
    </row>
    <row r="29" spans="1:26" hidden="1" outlineLevel="1" x14ac:dyDescent="0.2">
      <c r="A29" s="172"/>
      <c r="B29" s="172"/>
      <c r="C29" s="172"/>
      <c r="D29" s="26" t="s">
        <v>314</v>
      </c>
      <c r="E29" s="71">
        <f t="shared" ref="E29:J29" si="11">E26</f>
        <v>2026</v>
      </c>
      <c r="F29" s="71">
        <f t="shared" si="11"/>
        <v>2027</v>
      </c>
      <c r="G29" s="71">
        <f t="shared" si="11"/>
        <v>2028</v>
      </c>
      <c r="H29" s="71">
        <f t="shared" si="11"/>
        <v>2029</v>
      </c>
      <c r="I29" s="71">
        <f t="shared" si="11"/>
        <v>2030</v>
      </c>
      <c r="J29" s="71">
        <f t="shared" si="11"/>
        <v>2031</v>
      </c>
      <c r="L29" s="172"/>
      <c r="M29" s="39"/>
      <c r="N29" s="39"/>
      <c r="O29" s="39"/>
      <c r="P29" s="39"/>
      <c r="Q29" s="39"/>
      <c r="R29" s="39"/>
      <c r="S29" s="39"/>
      <c r="T29" s="39"/>
      <c r="U29" s="39"/>
      <c r="V29" s="39"/>
      <c r="W29" s="39"/>
      <c r="X29" s="39"/>
      <c r="Y29" s="39"/>
      <c r="Z29" s="39"/>
    </row>
    <row r="30" spans="1:26" hidden="1" outlineLevel="1" x14ac:dyDescent="0.2">
      <c r="A30" s="172"/>
      <c r="B30" s="172"/>
      <c r="D30" s="156" t="s">
        <v>231</v>
      </c>
      <c r="E30" s="57">
        <f t="shared" ref="E30:J30" si="12">IF(OR(E31="",E31=0),SUM(E32:E33),E31)</f>
        <v>0</v>
      </c>
      <c r="F30" s="57">
        <f t="shared" si="12"/>
        <v>0</v>
      </c>
      <c r="G30" s="57">
        <f t="shared" si="12"/>
        <v>0</v>
      </c>
      <c r="H30" s="57">
        <f t="shared" si="12"/>
        <v>0</v>
      </c>
      <c r="I30" s="57">
        <f t="shared" si="12"/>
        <v>0</v>
      </c>
      <c r="J30" s="57">
        <f t="shared" si="12"/>
        <v>0</v>
      </c>
      <c r="L30" s="172"/>
      <c r="M30" s="39"/>
      <c r="N30" s="39"/>
      <c r="O30" s="39"/>
      <c r="P30" s="39"/>
      <c r="Q30" s="39"/>
      <c r="R30" s="39"/>
      <c r="S30" s="39"/>
      <c r="T30" s="39"/>
      <c r="U30" s="39"/>
      <c r="V30" s="39"/>
      <c r="W30" s="39"/>
      <c r="X30" s="39"/>
      <c r="Y30" s="39"/>
      <c r="Z30" s="39"/>
    </row>
    <row r="31" spans="1:26" hidden="1" outlineLevel="1" x14ac:dyDescent="0.2">
      <c r="A31" s="172"/>
      <c r="B31" s="172"/>
      <c r="C31" s="52">
        <v>1</v>
      </c>
      <c r="D31" s="156" t="s">
        <v>356</v>
      </c>
      <c r="E31" s="294"/>
      <c r="F31" s="294"/>
      <c r="G31" s="294"/>
      <c r="H31" s="294"/>
      <c r="I31" s="294"/>
      <c r="J31" s="294"/>
      <c r="L31" s="172"/>
      <c r="M31" s="39"/>
      <c r="N31" s="39"/>
      <c r="O31" s="39"/>
      <c r="P31" s="39"/>
      <c r="Q31" s="39"/>
      <c r="R31" s="39"/>
      <c r="S31" s="39"/>
      <c r="T31" s="39"/>
      <c r="U31" s="39"/>
      <c r="V31" s="39"/>
      <c r="W31" s="39"/>
      <c r="X31" s="39"/>
      <c r="Y31" s="39"/>
      <c r="Z31" s="39"/>
    </row>
    <row r="32" spans="1:26" hidden="1" outlineLevel="1" x14ac:dyDescent="0.2">
      <c r="A32" s="172"/>
      <c r="B32" s="172"/>
      <c r="C32" s="52">
        <v>2</v>
      </c>
      <c r="D32" s="156" t="s">
        <v>234</v>
      </c>
      <c r="E32" s="294"/>
      <c r="F32" s="294"/>
      <c r="G32" s="294"/>
      <c r="H32" s="294"/>
      <c r="I32" s="294"/>
      <c r="J32" s="294"/>
      <c r="L32" s="172"/>
      <c r="M32" s="39"/>
      <c r="N32" s="39"/>
      <c r="O32" s="39"/>
      <c r="P32" s="39"/>
      <c r="Q32" s="39"/>
      <c r="R32" s="39"/>
      <c r="S32" s="39"/>
      <c r="T32" s="39"/>
      <c r="U32" s="39"/>
      <c r="V32" s="39"/>
      <c r="W32" s="39"/>
      <c r="X32" s="39"/>
      <c r="Y32" s="39"/>
      <c r="Z32" s="39"/>
    </row>
    <row r="33" spans="1:26" hidden="1" outlineLevel="1" x14ac:dyDescent="0.2">
      <c r="A33" s="172"/>
      <c r="B33" s="172"/>
      <c r="C33" s="52">
        <v>3</v>
      </c>
      <c r="D33" s="156" t="s">
        <v>235</v>
      </c>
      <c r="E33" s="42"/>
      <c r="F33" s="42"/>
      <c r="G33" s="42"/>
      <c r="H33" s="42"/>
      <c r="I33" s="42"/>
      <c r="J33" s="42"/>
      <c r="L33" s="172"/>
      <c r="M33" s="39"/>
      <c r="N33" s="39"/>
      <c r="O33" s="39"/>
      <c r="P33" s="39"/>
      <c r="Q33" s="39"/>
      <c r="R33" s="39"/>
      <c r="S33" s="39"/>
      <c r="T33" s="39"/>
      <c r="U33" s="39"/>
      <c r="V33" s="39"/>
      <c r="W33" s="39"/>
      <c r="X33" s="39"/>
      <c r="Y33" s="39"/>
      <c r="Z33" s="39"/>
    </row>
    <row r="34" spans="1:26" hidden="1" outlineLevel="1" x14ac:dyDescent="0.2">
      <c r="A34" s="172"/>
      <c r="B34" s="172"/>
      <c r="C34" s="172"/>
      <c r="L34" s="172"/>
      <c r="M34" s="39"/>
      <c r="N34" s="39"/>
      <c r="O34" s="39"/>
      <c r="P34" s="39"/>
      <c r="Q34" s="39"/>
      <c r="R34" s="39"/>
      <c r="S34" s="39"/>
      <c r="T34" s="39"/>
      <c r="U34" s="39"/>
      <c r="V34" s="39"/>
      <c r="W34" s="39"/>
      <c r="X34" s="39"/>
      <c r="Y34" s="39"/>
      <c r="Z34" s="39"/>
    </row>
    <row r="35" spans="1:26" collapsed="1" x14ac:dyDescent="0.2">
      <c r="A35" s="172"/>
      <c r="B35" s="172"/>
      <c r="C35" s="172"/>
      <c r="L35" s="172"/>
      <c r="M35" s="39"/>
      <c r="N35" s="39"/>
      <c r="O35" s="39"/>
      <c r="P35" s="39"/>
      <c r="Q35" s="39"/>
      <c r="R35" s="39"/>
      <c r="S35" s="39"/>
      <c r="T35" s="39"/>
      <c r="U35" s="39"/>
      <c r="V35" s="39"/>
      <c r="W35" s="39"/>
      <c r="X35" s="39"/>
      <c r="Y35" s="39"/>
      <c r="Z35" s="39"/>
    </row>
    <row r="36" spans="1:26" ht="15.75" x14ac:dyDescent="0.2">
      <c r="A36" s="172"/>
      <c r="B36" s="209">
        <f>IF(E40&lt;&gt;"",VLOOKUP(E40,GenderCode,2,FALSE),0)</f>
        <v>0</v>
      </c>
      <c r="C36" s="209">
        <v>2</v>
      </c>
      <c r="D36" s="72" t="str">
        <f>IF(B36=0,MsgNotUsed, CONCATENATE("Other ", C36, ": ", E38,": ", E40, " (", E43, "-", J43, ")"))</f>
        <v>** NOT USED **</v>
      </c>
      <c r="E36" s="113"/>
      <c r="F36" s="113"/>
      <c r="G36" s="113"/>
      <c r="H36" s="113"/>
      <c r="I36" s="154"/>
      <c r="J36" s="113"/>
      <c r="K36" s="113"/>
      <c r="L36" s="113"/>
      <c r="M36" s="224"/>
      <c r="N36" s="224"/>
      <c r="O36" s="224"/>
      <c r="P36" s="224"/>
      <c r="Q36" s="224"/>
      <c r="R36" s="224"/>
      <c r="S36" s="224"/>
      <c r="T36" s="224"/>
      <c r="U36" s="224"/>
      <c r="V36" s="224"/>
      <c r="W36" s="224"/>
      <c r="X36" s="224"/>
      <c r="Y36" s="224"/>
      <c r="Z36" s="224"/>
    </row>
    <row r="37" spans="1:26" hidden="1" outlineLevel="1" x14ac:dyDescent="0.2">
      <c r="A37" s="172"/>
      <c r="B37" s="172"/>
      <c r="C37" s="172"/>
      <c r="D37" s="173"/>
      <c r="E37" s="173"/>
      <c r="F37" s="173"/>
      <c r="G37" s="173"/>
      <c r="H37" s="173"/>
      <c r="I37" s="173"/>
      <c r="J37" s="173"/>
      <c r="K37" s="173"/>
      <c r="L37" s="173"/>
      <c r="M37" s="38"/>
      <c r="N37" s="38"/>
      <c r="O37" s="38"/>
      <c r="P37" s="38"/>
      <c r="Q37" s="38"/>
      <c r="R37" s="38"/>
      <c r="S37" s="38"/>
      <c r="T37" s="38"/>
      <c r="U37" s="38"/>
      <c r="V37" s="38"/>
      <c r="W37" s="38"/>
      <c r="X37" s="38"/>
      <c r="Y37" s="38"/>
      <c r="Z37" s="38"/>
    </row>
    <row r="38" spans="1:26" hidden="1" outlineLevel="1" x14ac:dyDescent="0.2">
      <c r="A38" s="172"/>
      <c r="B38" s="172"/>
      <c r="C38" s="172"/>
      <c r="D38" s="37" t="s">
        <v>270</v>
      </c>
      <c r="E38" s="669"/>
      <c r="F38" s="642"/>
      <c r="G38" s="642"/>
      <c r="H38" s="642"/>
      <c r="I38" s="642"/>
      <c r="J38" s="643"/>
      <c r="K38" s="1"/>
      <c r="L38" s="37" t="s">
        <v>249</v>
      </c>
      <c r="M38" s="669"/>
      <c r="N38" s="642"/>
      <c r="O38" s="642"/>
      <c r="P38" s="642"/>
      <c r="Q38" s="642"/>
      <c r="R38" s="643"/>
      <c r="S38" s="38"/>
      <c r="T38" s="38"/>
      <c r="U38" s="38"/>
      <c r="V38" s="38"/>
      <c r="W38" s="38"/>
      <c r="X38" s="38"/>
      <c r="Y38" s="38"/>
      <c r="Z38" s="38"/>
    </row>
    <row r="39" spans="1:26" ht="14.25" hidden="1" outlineLevel="1" x14ac:dyDescent="0.2">
      <c r="A39" s="172"/>
      <c r="B39" s="172"/>
      <c r="C39" s="172"/>
      <c r="D39" s="449"/>
      <c r="L39" s="173"/>
      <c r="M39" s="38"/>
      <c r="N39" s="38"/>
      <c r="O39" s="38"/>
      <c r="P39" s="38"/>
      <c r="Q39" s="38"/>
      <c r="R39" s="38"/>
      <c r="S39" s="38"/>
      <c r="T39" s="38"/>
      <c r="U39" s="38"/>
      <c r="V39" s="38"/>
      <c r="W39" s="38"/>
      <c r="X39" s="38"/>
      <c r="Y39" s="38"/>
      <c r="Z39" s="38"/>
    </row>
    <row r="40" spans="1:26" hidden="1" outlineLevel="1" x14ac:dyDescent="0.2">
      <c r="A40" s="172"/>
      <c r="B40" s="172"/>
      <c r="C40" s="172"/>
      <c r="D40" s="75" t="s">
        <v>51</v>
      </c>
      <c r="E40" s="70"/>
      <c r="H40" s="172"/>
      <c r="I40" s="75" t="s">
        <v>355</v>
      </c>
      <c r="J40" s="70"/>
      <c r="L40" s="173"/>
      <c r="M40" s="38"/>
      <c r="N40" s="38"/>
      <c r="O40" s="38"/>
      <c r="P40" s="38"/>
      <c r="Q40" s="38"/>
      <c r="R40" s="38"/>
      <c r="S40" s="38"/>
      <c r="T40" s="38"/>
      <c r="U40" s="38"/>
      <c r="V40" s="38"/>
      <c r="W40" s="38"/>
      <c r="X40" s="38"/>
      <c r="Y40" s="38"/>
      <c r="Z40" s="38"/>
    </row>
    <row r="41" spans="1:26" hidden="1" outlineLevel="1" x14ac:dyDescent="0.2">
      <c r="A41" s="172"/>
      <c r="B41" s="172"/>
      <c r="C41" s="172"/>
      <c r="L41" s="173"/>
      <c r="M41" s="38"/>
      <c r="N41" s="38"/>
      <c r="O41" s="38"/>
      <c r="P41" s="38"/>
      <c r="Q41" s="38"/>
      <c r="R41" s="38"/>
      <c r="S41" s="38"/>
      <c r="T41" s="38"/>
      <c r="U41" s="38"/>
      <c r="V41" s="38"/>
      <c r="W41" s="38"/>
      <c r="X41" s="38"/>
      <c r="Y41" s="38"/>
      <c r="Z41" s="38"/>
    </row>
    <row r="42" spans="1:26" hidden="1" outlineLevel="1" x14ac:dyDescent="0.2">
      <c r="A42" s="172"/>
      <c r="B42" s="172"/>
      <c r="C42" s="172"/>
      <c r="E42" s="260" t="s">
        <v>246</v>
      </c>
      <c r="L42" s="173"/>
      <c r="M42" s="38"/>
      <c r="N42" s="38"/>
      <c r="O42" s="38"/>
      <c r="P42" s="38"/>
      <c r="Q42" s="38"/>
      <c r="R42" s="38"/>
      <c r="S42" s="38"/>
      <c r="T42" s="38"/>
      <c r="U42" s="38"/>
      <c r="V42" s="38"/>
      <c r="W42" s="38"/>
      <c r="X42" s="38"/>
      <c r="Y42" s="38"/>
      <c r="Z42" s="38"/>
    </row>
    <row r="43" spans="1:26" hidden="1" outlineLevel="1" x14ac:dyDescent="0.2">
      <c r="A43" s="172"/>
      <c r="B43" s="172"/>
      <c r="C43" s="172"/>
      <c r="E43" s="71">
        <f>IF(J40&lt;&gt;"",J40,FirstYear)</f>
        <v>2026</v>
      </c>
      <c r="F43" s="74">
        <f>E43+1</f>
        <v>2027</v>
      </c>
      <c r="G43" s="74">
        <f>F43+1</f>
        <v>2028</v>
      </c>
      <c r="H43" s="74">
        <f>G43+1</f>
        <v>2029</v>
      </c>
      <c r="I43" s="74">
        <f>H43+1</f>
        <v>2030</v>
      </c>
      <c r="J43" s="74">
        <f>I43+1</f>
        <v>2031</v>
      </c>
      <c r="L43" s="173"/>
      <c r="M43" s="38"/>
      <c r="N43" s="38"/>
      <c r="O43" s="38"/>
      <c r="P43" s="38"/>
      <c r="Q43" s="38"/>
      <c r="R43" s="38"/>
      <c r="S43" s="38"/>
      <c r="T43" s="38"/>
      <c r="U43" s="38"/>
      <c r="V43" s="38"/>
      <c r="W43" s="38"/>
      <c r="X43" s="38"/>
      <c r="Y43" s="38"/>
      <c r="Z43" s="38"/>
    </row>
    <row r="44" spans="1:26" hidden="1" outlineLevel="1" x14ac:dyDescent="0.2">
      <c r="A44" s="172"/>
      <c r="B44" s="172"/>
      <c r="C44" s="172"/>
      <c r="E44" s="57">
        <f t="shared" ref="E44:J44" si="13">IF($B$36&lt;&gt;0,VLOOKUP($B$36,$C$48:$J$50,E45),0)</f>
        <v>0</v>
      </c>
      <c r="F44" s="57">
        <f t="shared" si="13"/>
        <v>0</v>
      </c>
      <c r="G44" s="57">
        <f t="shared" si="13"/>
        <v>0</v>
      </c>
      <c r="H44" s="57">
        <f t="shared" si="13"/>
        <v>0</v>
      </c>
      <c r="I44" s="57">
        <f t="shared" si="13"/>
        <v>0</v>
      </c>
      <c r="J44" s="57">
        <f t="shared" si="13"/>
        <v>0</v>
      </c>
      <c r="L44" s="173"/>
      <c r="M44" s="38"/>
      <c r="N44" s="38"/>
      <c r="O44" s="38"/>
      <c r="P44" s="38"/>
      <c r="Q44" s="38"/>
      <c r="R44" s="38"/>
      <c r="S44" s="38"/>
      <c r="T44" s="38"/>
      <c r="U44" s="38"/>
      <c r="V44" s="38"/>
      <c r="W44" s="38"/>
      <c r="X44" s="38"/>
      <c r="Y44" s="38"/>
      <c r="Z44" s="38"/>
    </row>
    <row r="45" spans="1:26" hidden="1" outlineLevel="1" x14ac:dyDescent="0.2">
      <c r="A45" s="172"/>
      <c r="B45" s="172"/>
      <c r="C45" s="172"/>
      <c r="E45" s="155">
        <v>3</v>
      </c>
      <c r="F45" s="155">
        <v>4</v>
      </c>
      <c r="G45" s="155">
        <v>5</v>
      </c>
      <c r="H45" s="155">
        <v>6</v>
      </c>
      <c r="I45" s="155">
        <v>7</v>
      </c>
      <c r="J45" s="155">
        <v>8</v>
      </c>
      <c r="L45" s="173"/>
      <c r="M45" s="38"/>
      <c r="N45" s="38"/>
      <c r="O45" s="38"/>
      <c r="P45" s="38"/>
      <c r="Q45" s="38"/>
      <c r="R45" s="38"/>
      <c r="S45" s="38"/>
      <c r="T45" s="38"/>
      <c r="U45" s="38"/>
      <c r="V45" s="38"/>
      <c r="W45" s="38"/>
      <c r="X45" s="38"/>
      <c r="Y45" s="38"/>
      <c r="Z45" s="38"/>
    </row>
    <row r="46" spans="1:26" hidden="1" outlineLevel="1" x14ac:dyDescent="0.2">
      <c r="A46" s="172"/>
      <c r="B46" s="172"/>
      <c r="C46" s="172"/>
      <c r="D46" s="26" t="s">
        <v>314</v>
      </c>
      <c r="E46" s="71">
        <f t="shared" ref="E46:J46" si="14">E43</f>
        <v>2026</v>
      </c>
      <c r="F46" s="71">
        <f t="shared" si="14"/>
        <v>2027</v>
      </c>
      <c r="G46" s="71">
        <f t="shared" si="14"/>
        <v>2028</v>
      </c>
      <c r="H46" s="71">
        <f t="shared" si="14"/>
        <v>2029</v>
      </c>
      <c r="I46" s="71">
        <f t="shared" si="14"/>
        <v>2030</v>
      </c>
      <c r="J46" s="71">
        <f t="shared" si="14"/>
        <v>2031</v>
      </c>
      <c r="L46" s="172"/>
      <c r="M46" s="39"/>
      <c r="N46" s="39"/>
      <c r="O46" s="39"/>
      <c r="P46" s="39"/>
      <c r="Q46" s="39"/>
      <c r="R46" s="39"/>
      <c r="S46" s="39"/>
      <c r="T46" s="39"/>
      <c r="U46" s="39"/>
      <c r="V46" s="39"/>
      <c r="W46" s="39"/>
      <c r="X46" s="39"/>
      <c r="Y46" s="39"/>
      <c r="Z46" s="39"/>
    </row>
    <row r="47" spans="1:26" hidden="1" outlineLevel="1" x14ac:dyDescent="0.2">
      <c r="A47" s="172"/>
      <c r="B47" s="172"/>
      <c r="D47" s="156" t="s">
        <v>231</v>
      </c>
      <c r="E47" s="57">
        <f t="shared" ref="E47:J47" si="15">IF(OR(E48="",E48=0),SUM(E49:E50),E48)</f>
        <v>0</v>
      </c>
      <c r="F47" s="57">
        <f t="shared" si="15"/>
        <v>0</v>
      </c>
      <c r="G47" s="57">
        <f t="shared" si="15"/>
        <v>0</v>
      </c>
      <c r="H47" s="57">
        <f t="shared" si="15"/>
        <v>0</v>
      </c>
      <c r="I47" s="57">
        <f t="shared" si="15"/>
        <v>0</v>
      </c>
      <c r="J47" s="57">
        <f t="shared" si="15"/>
        <v>0</v>
      </c>
      <c r="L47" s="172"/>
      <c r="M47" s="39"/>
      <c r="N47" s="39"/>
      <c r="O47" s="39"/>
      <c r="P47" s="39"/>
      <c r="Q47" s="39"/>
      <c r="R47" s="39"/>
      <c r="S47" s="39"/>
      <c r="T47" s="39"/>
      <c r="U47" s="39"/>
      <c r="V47" s="39"/>
      <c r="W47" s="39"/>
      <c r="X47" s="39"/>
      <c r="Y47" s="39"/>
      <c r="Z47" s="39"/>
    </row>
    <row r="48" spans="1:26" hidden="1" outlineLevel="1" x14ac:dyDescent="0.2">
      <c r="A48" s="172"/>
      <c r="B48" s="172"/>
      <c r="C48" s="52">
        <v>1</v>
      </c>
      <c r="D48" s="156" t="s">
        <v>356</v>
      </c>
      <c r="E48" s="294"/>
      <c r="F48" s="294"/>
      <c r="G48" s="294"/>
      <c r="H48" s="294"/>
      <c r="I48" s="294"/>
      <c r="J48" s="294"/>
      <c r="L48" s="172"/>
      <c r="M48" s="39"/>
      <c r="N48" s="39"/>
      <c r="O48" s="39"/>
      <c r="P48" s="39"/>
      <c r="Q48" s="39"/>
      <c r="R48" s="39"/>
      <c r="S48" s="39"/>
      <c r="T48" s="39"/>
      <c r="U48" s="39"/>
      <c r="V48" s="39"/>
      <c r="W48" s="39"/>
      <c r="X48" s="39"/>
      <c r="Y48" s="39"/>
      <c r="Z48" s="39"/>
    </row>
    <row r="49" spans="1:26" hidden="1" outlineLevel="1" x14ac:dyDescent="0.2">
      <c r="A49" s="172"/>
      <c r="B49" s="172"/>
      <c r="C49" s="52">
        <v>2</v>
      </c>
      <c r="D49" s="156" t="s">
        <v>234</v>
      </c>
      <c r="E49" s="294"/>
      <c r="F49" s="294"/>
      <c r="G49" s="294"/>
      <c r="H49" s="294"/>
      <c r="I49" s="294"/>
      <c r="J49" s="294"/>
      <c r="L49" s="172"/>
      <c r="M49" s="39"/>
      <c r="N49" s="39"/>
      <c r="O49" s="39"/>
      <c r="P49" s="39"/>
      <c r="Q49" s="39"/>
      <c r="R49" s="39"/>
      <c r="S49" s="39"/>
      <c r="T49" s="39"/>
      <c r="U49" s="39"/>
      <c r="V49" s="39"/>
      <c r="W49" s="39"/>
      <c r="X49" s="39"/>
      <c r="Y49" s="39"/>
      <c r="Z49" s="39"/>
    </row>
    <row r="50" spans="1:26" hidden="1" outlineLevel="1" x14ac:dyDescent="0.2">
      <c r="A50" s="172"/>
      <c r="B50" s="172"/>
      <c r="C50" s="52">
        <v>3</v>
      </c>
      <c r="D50" s="156" t="s">
        <v>235</v>
      </c>
      <c r="E50" s="42"/>
      <c r="F50" s="42"/>
      <c r="G50" s="42"/>
      <c r="H50" s="42"/>
      <c r="I50" s="42"/>
      <c r="J50" s="42"/>
      <c r="L50" s="172"/>
      <c r="M50" s="39"/>
      <c r="N50" s="39"/>
      <c r="O50" s="39"/>
      <c r="P50" s="39"/>
      <c r="Q50" s="39"/>
      <c r="R50" s="39"/>
      <c r="S50" s="39"/>
      <c r="T50" s="39"/>
      <c r="U50" s="39"/>
      <c r="V50" s="39"/>
      <c r="W50" s="39"/>
      <c r="X50" s="39"/>
      <c r="Y50" s="39"/>
      <c r="Z50" s="39"/>
    </row>
    <row r="51" spans="1:26" hidden="1" outlineLevel="1" x14ac:dyDescent="0.2">
      <c r="A51" s="172"/>
      <c r="B51" s="172"/>
      <c r="C51" s="172"/>
      <c r="L51" s="172"/>
      <c r="M51" s="39"/>
      <c r="N51" s="39"/>
      <c r="O51" s="39"/>
      <c r="P51" s="39"/>
      <c r="Q51" s="39"/>
      <c r="R51" s="39"/>
      <c r="S51" s="39"/>
      <c r="T51" s="39"/>
      <c r="U51" s="39"/>
      <c r="V51" s="39"/>
      <c r="W51" s="39"/>
      <c r="X51" s="39"/>
      <c r="Y51" s="39"/>
      <c r="Z51" s="39"/>
    </row>
    <row r="52" spans="1:26" collapsed="1" x14ac:dyDescent="0.2">
      <c r="A52" s="172"/>
      <c r="B52" s="172"/>
      <c r="C52" s="172"/>
      <c r="L52" s="172"/>
      <c r="M52" s="39"/>
      <c r="N52" s="39"/>
      <c r="O52" s="39"/>
      <c r="P52" s="39"/>
      <c r="Q52" s="39"/>
      <c r="R52" s="39"/>
      <c r="S52" s="39"/>
      <c r="T52" s="39"/>
      <c r="U52" s="39"/>
      <c r="V52" s="39"/>
      <c r="W52" s="39"/>
      <c r="X52" s="39"/>
      <c r="Y52" s="39"/>
      <c r="Z52" s="39"/>
    </row>
    <row r="53" spans="1:26" ht="15.75" x14ac:dyDescent="0.2">
      <c r="A53" s="172"/>
      <c r="B53" s="209">
        <f>IF(E57&lt;&gt;"",VLOOKUP(E57,GenderCode,2,FALSE),0)</f>
        <v>0</v>
      </c>
      <c r="C53" s="209">
        <v>3</v>
      </c>
      <c r="D53" s="72" t="str">
        <f>IF(B53=0,MsgNotUsed, CONCATENATE("Other ", C53, ": ", E55,": ", E57, " (", E60, "-", J60, ")"))</f>
        <v>** NOT USED **</v>
      </c>
      <c r="E53" s="113"/>
      <c r="F53" s="113"/>
      <c r="G53" s="113"/>
      <c r="H53" s="113"/>
      <c r="I53" s="154"/>
      <c r="J53" s="113"/>
      <c r="K53" s="113"/>
      <c r="L53" s="113"/>
      <c r="M53" s="224"/>
      <c r="N53" s="224"/>
      <c r="O53" s="224"/>
      <c r="P53" s="224"/>
      <c r="Q53" s="224"/>
      <c r="R53" s="224"/>
      <c r="S53" s="224"/>
      <c r="T53" s="224"/>
      <c r="U53" s="224"/>
      <c r="V53" s="224"/>
      <c r="W53" s="224"/>
      <c r="X53" s="224"/>
      <c r="Y53" s="224"/>
      <c r="Z53" s="224"/>
    </row>
    <row r="54" spans="1:26" hidden="1" outlineLevel="1" x14ac:dyDescent="0.2">
      <c r="A54" s="172"/>
      <c r="B54" s="172"/>
      <c r="C54" s="172"/>
      <c r="D54" s="173"/>
      <c r="E54" s="173"/>
      <c r="F54" s="173"/>
      <c r="G54" s="173"/>
      <c r="H54" s="173"/>
      <c r="I54" s="173"/>
      <c r="J54" s="173"/>
      <c r="K54" s="173"/>
      <c r="L54" s="173"/>
      <c r="M54" s="38"/>
      <c r="N54" s="38"/>
      <c r="O54" s="38"/>
      <c r="P54" s="38"/>
      <c r="Q54" s="38"/>
      <c r="R54" s="38"/>
      <c r="S54" s="38"/>
      <c r="T54" s="38"/>
      <c r="U54" s="38"/>
      <c r="V54" s="38"/>
      <c r="W54" s="38"/>
      <c r="X54" s="38"/>
      <c r="Y54" s="38"/>
      <c r="Z54" s="38"/>
    </row>
    <row r="55" spans="1:26" hidden="1" outlineLevel="1" x14ac:dyDescent="0.2">
      <c r="A55" s="172"/>
      <c r="B55" s="172"/>
      <c r="C55" s="172"/>
      <c r="D55" s="37" t="s">
        <v>270</v>
      </c>
      <c r="E55" s="669"/>
      <c r="F55" s="642"/>
      <c r="G55" s="642"/>
      <c r="H55" s="642"/>
      <c r="I55" s="642"/>
      <c r="J55" s="643"/>
      <c r="K55" s="1"/>
      <c r="L55" s="37" t="s">
        <v>249</v>
      </c>
      <c r="M55" s="669"/>
      <c r="N55" s="642"/>
      <c r="O55" s="642"/>
      <c r="P55" s="642"/>
      <c r="Q55" s="642"/>
      <c r="R55" s="643"/>
      <c r="S55" s="38"/>
      <c r="T55" s="38"/>
      <c r="U55" s="38"/>
      <c r="V55" s="38"/>
      <c r="W55" s="38"/>
      <c r="X55" s="38"/>
      <c r="Y55" s="38"/>
      <c r="Z55" s="38"/>
    </row>
    <row r="56" spans="1:26" ht="14.25" hidden="1" outlineLevel="1" x14ac:dyDescent="0.2">
      <c r="A56" s="172"/>
      <c r="B56" s="172"/>
      <c r="C56" s="172"/>
      <c r="D56" s="449"/>
      <c r="L56" s="173"/>
      <c r="M56" s="38"/>
      <c r="N56" s="38"/>
      <c r="O56" s="38"/>
      <c r="P56" s="38"/>
      <c r="Q56" s="38"/>
      <c r="R56" s="38"/>
      <c r="S56" s="38"/>
      <c r="T56" s="38"/>
      <c r="U56" s="38"/>
      <c r="V56" s="38"/>
      <c r="W56" s="38"/>
      <c r="X56" s="38"/>
      <c r="Y56" s="38"/>
      <c r="Z56" s="38"/>
    </row>
    <row r="57" spans="1:26" hidden="1" outlineLevel="1" x14ac:dyDescent="0.2">
      <c r="A57" s="172"/>
      <c r="B57" s="172"/>
      <c r="C57" s="172"/>
      <c r="D57" s="75" t="s">
        <v>51</v>
      </c>
      <c r="E57" s="70"/>
      <c r="H57" s="172"/>
      <c r="I57" s="75" t="s">
        <v>355</v>
      </c>
      <c r="J57" s="70"/>
      <c r="L57" s="173"/>
      <c r="M57" s="38"/>
      <c r="N57" s="38"/>
      <c r="O57" s="38"/>
      <c r="P57" s="38"/>
      <c r="Q57" s="38"/>
      <c r="R57" s="38"/>
      <c r="S57" s="38"/>
      <c r="T57" s="38"/>
      <c r="U57" s="38"/>
      <c r="V57" s="38"/>
      <c r="W57" s="38"/>
      <c r="X57" s="38"/>
      <c r="Y57" s="38"/>
      <c r="Z57" s="38"/>
    </row>
    <row r="58" spans="1:26" hidden="1" outlineLevel="1" x14ac:dyDescent="0.2">
      <c r="A58" s="172"/>
      <c r="B58" s="172"/>
      <c r="C58" s="172"/>
      <c r="L58" s="173"/>
      <c r="M58" s="38"/>
      <c r="N58" s="38"/>
      <c r="O58" s="38"/>
      <c r="P58" s="38"/>
      <c r="Q58" s="38"/>
      <c r="R58" s="38"/>
      <c r="S58" s="38"/>
      <c r="T58" s="38"/>
      <c r="U58" s="38"/>
      <c r="V58" s="38"/>
      <c r="W58" s="38"/>
      <c r="X58" s="38"/>
      <c r="Y58" s="38"/>
      <c r="Z58" s="38"/>
    </row>
    <row r="59" spans="1:26" hidden="1" outlineLevel="1" x14ac:dyDescent="0.2">
      <c r="A59" s="172"/>
      <c r="B59" s="172"/>
      <c r="C59" s="172"/>
      <c r="E59" s="260" t="s">
        <v>246</v>
      </c>
      <c r="L59" s="173"/>
      <c r="M59" s="38"/>
      <c r="N59" s="38"/>
      <c r="O59" s="38"/>
      <c r="P59" s="38"/>
      <c r="Q59" s="38"/>
      <c r="R59" s="38"/>
      <c r="S59" s="38"/>
      <c r="T59" s="38"/>
      <c r="U59" s="38"/>
      <c r="V59" s="38"/>
      <c r="W59" s="38"/>
      <c r="X59" s="38"/>
      <c r="Y59" s="38"/>
      <c r="Z59" s="38"/>
    </row>
    <row r="60" spans="1:26" hidden="1" outlineLevel="1" x14ac:dyDescent="0.2">
      <c r="A60" s="172"/>
      <c r="B60" s="172"/>
      <c r="C60" s="172"/>
      <c r="E60" s="71">
        <f>IF(J57&lt;&gt;"",J57,FirstYear)</f>
        <v>2026</v>
      </c>
      <c r="F60" s="74">
        <f>E60+1</f>
        <v>2027</v>
      </c>
      <c r="G60" s="74">
        <f>F60+1</f>
        <v>2028</v>
      </c>
      <c r="H60" s="74">
        <f>G60+1</f>
        <v>2029</v>
      </c>
      <c r="I60" s="74">
        <f>H60+1</f>
        <v>2030</v>
      </c>
      <c r="J60" s="74">
        <f>I60+1</f>
        <v>2031</v>
      </c>
      <c r="L60" s="173"/>
      <c r="M60" s="38"/>
      <c r="N60" s="38"/>
      <c r="O60" s="38"/>
      <c r="P60" s="38"/>
      <c r="Q60" s="38"/>
      <c r="R60" s="38"/>
      <c r="S60" s="38"/>
      <c r="T60" s="38"/>
      <c r="U60" s="38"/>
      <c r="V60" s="38"/>
      <c r="W60" s="38"/>
      <c r="X60" s="38"/>
      <c r="Y60" s="38"/>
      <c r="Z60" s="38"/>
    </row>
    <row r="61" spans="1:26" hidden="1" outlineLevel="1" x14ac:dyDescent="0.2">
      <c r="A61" s="172"/>
      <c r="B61" s="172"/>
      <c r="C61" s="172"/>
      <c r="E61" s="57">
        <f t="shared" ref="E61:J61" si="16">IF($B$53&lt;&gt;0,VLOOKUP($B$53,$C$65:$J$67,E62),0)</f>
        <v>0</v>
      </c>
      <c r="F61" s="57">
        <f t="shared" si="16"/>
        <v>0</v>
      </c>
      <c r="G61" s="57">
        <f t="shared" si="16"/>
        <v>0</v>
      </c>
      <c r="H61" s="57">
        <f t="shared" si="16"/>
        <v>0</v>
      </c>
      <c r="I61" s="57">
        <f t="shared" si="16"/>
        <v>0</v>
      </c>
      <c r="J61" s="57">
        <f t="shared" si="16"/>
        <v>0</v>
      </c>
      <c r="L61" s="173"/>
      <c r="M61" s="38"/>
      <c r="N61" s="38"/>
      <c r="O61" s="38"/>
      <c r="P61" s="38"/>
      <c r="Q61" s="38"/>
      <c r="R61" s="38"/>
      <c r="S61" s="38"/>
      <c r="T61" s="38"/>
      <c r="U61" s="38"/>
      <c r="V61" s="38"/>
      <c r="W61" s="38"/>
      <c r="X61" s="38"/>
      <c r="Y61" s="38"/>
      <c r="Z61" s="38"/>
    </row>
    <row r="62" spans="1:26" hidden="1" outlineLevel="1" x14ac:dyDescent="0.2">
      <c r="A62" s="172"/>
      <c r="B62" s="172"/>
      <c r="C62" s="172"/>
      <c r="E62" s="155">
        <v>3</v>
      </c>
      <c r="F62" s="155">
        <v>4</v>
      </c>
      <c r="G62" s="155">
        <v>5</v>
      </c>
      <c r="H62" s="155">
        <v>6</v>
      </c>
      <c r="I62" s="155">
        <v>7</v>
      </c>
      <c r="J62" s="155">
        <v>8</v>
      </c>
      <c r="L62" s="173"/>
      <c r="M62" s="38"/>
      <c r="N62" s="38"/>
      <c r="O62" s="38"/>
      <c r="P62" s="38"/>
      <c r="Q62" s="38"/>
      <c r="R62" s="38"/>
      <c r="S62" s="38"/>
      <c r="T62" s="38"/>
      <c r="U62" s="38"/>
      <c r="V62" s="38"/>
      <c r="W62" s="38"/>
      <c r="X62" s="38"/>
      <c r="Y62" s="38"/>
      <c r="Z62" s="38"/>
    </row>
    <row r="63" spans="1:26" hidden="1" outlineLevel="1" x14ac:dyDescent="0.2">
      <c r="A63" s="172"/>
      <c r="B63" s="172"/>
      <c r="C63" s="172"/>
      <c r="D63" s="26" t="s">
        <v>314</v>
      </c>
      <c r="E63" s="71">
        <f t="shared" ref="E63:J63" si="17">E60</f>
        <v>2026</v>
      </c>
      <c r="F63" s="71">
        <f t="shared" si="17"/>
        <v>2027</v>
      </c>
      <c r="G63" s="71">
        <f t="shared" si="17"/>
        <v>2028</v>
      </c>
      <c r="H63" s="71">
        <f t="shared" si="17"/>
        <v>2029</v>
      </c>
      <c r="I63" s="71">
        <f t="shared" si="17"/>
        <v>2030</v>
      </c>
      <c r="J63" s="71">
        <f t="shared" si="17"/>
        <v>2031</v>
      </c>
      <c r="L63" s="172"/>
      <c r="M63" s="39"/>
      <c r="N63" s="39"/>
      <c r="O63" s="39"/>
      <c r="P63" s="39"/>
      <c r="Q63" s="39"/>
      <c r="R63" s="39"/>
      <c r="S63" s="39"/>
      <c r="T63" s="39"/>
      <c r="U63" s="39"/>
      <c r="V63" s="39"/>
      <c r="W63" s="39"/>
      <c r="X63" s="39"/>
      <c r="Y63" s="39"/>
      <c r="Z63" s="39"/>
    </row>
    <row r="64" spans="1:26" hidden="1" outlineLevel="1" x14ac:dyDescent="0.2">
      <c r="A64" s="172"/>
      <c r="B64" s="172"/>
      <c r="D64" s="156" t="s">
        <v>231</v>
      </c>
      <c r="E64" s="57">
        <f t="shared" ref="E64:J64" si="18">IF(OR(E65="",E65=0),SUM(E66:E67),E65)</f>
        <v>0</v>
      </c>
      <c r="F64" s="57">
        <f t="shared" si="18"/>
        <v>0</v>
      </c>
      <c r="G64" s="57">
        <f t="shared" si="18"/>
        <v>0</v>
      </c>
      <c r="H64" s="57">
        <f t="shared" si="18"/>
        <v>0</v>
      </c>
      <c r="I64" s="57">
        <f t="shared" si="18"/>
        <v>0</v>
      </c>
      <c r="J64" s="57">
        <f t="shared" si="18"/>
        <v>0</v>
      </c>
      <c r="L64" s="172"/>
      <c r="M64" s="39"/>
      <c r="N64" s="39"/>
      <c r="O64" s="39"/>
      <c r="P64" s="39"/>
      <c r="Q64" s="39"/>
      <c r="R64" s="39"/>
      <c r="S64" s="39"/>
      <c r="T64" s="39"/>
      <c r="U64" s="39"/>
      <c r="V64" s="39"/>
      <c r="W64" s="39"/>
      <c r="X64" s="39"/>
      <c r="Y64" s="39"/>
      <c r="Z64" s="39"/>
    </row>
    <row r="65" spans="1:26" hidden="1" outlineLevel="1" x14ac:dyDescent="0.2">
      <c r="A65" s="172"/>
      <c r="B65" s="172"/>
      <c r="C65" s="52">
        <v>1</v>
      </c>
      <c r="D65" s="156" t="s">
        <v>356</v>
      </c>
      <c r="E65" s="294"/>
      <c r="F65" s="294"/>
      <c r="G65" s="294"/>
      <c r="H65" s="294"/>
      <c r="I65" s="294"/>
      <c r="J65" s="294"/>
      <c r="L65" s="172"/>
      <c r="M65" s="39"/>
      <c r="N65" s="39"/>
      <c r="O65" s="39"/>
      <c r="P65" s="39"/>
      <c r="Q65" s="39"/>
      <c r="R65" s="39"/>
      <c r="S65" s="39"/>
      <c r="T65" s="39"/>
      <c r="U65" s="39"/>
      <c r="V65" s="39"/>
      <c r="W65" s="39"/>
      <c r="X65" s="39"/>
      <c r="Y65" s="39"/>
      <c r="Z65" s="39"/>
    </row>
    <row r="66" spans="1:26" hidden="1" outlineLevel="1" x14ac:dyDescent="0.2">
      <c r="A66" s="172"/>
      <c r="B66" s="172"/>
      <c r="C66" s="52">
        <v>2</v>
      </c>
      <c r="D66" s="156" t="s">
        <v>234</v>
      </c>
      <c r="E66" s="294"/>
      <c r="F66" s="294"/>
      <c r="G66" s="294"/>
      <c r="H66" s="294"/>
      <c r="I66" s="294"/>
      <c r="J66" s="294"/>
      <c r="L66" s="172"/>
      <c r="M66" s="39"/>
      <c r="N66" s="39"/>
      <c r="O66" s="39"/>
      <c r="P66" s="39"/>
      <c r="Q66" s="39"/>
      <c r="R66" s="39"/>
      <c r="S66" s="39"/>
      <c r="T66" s="39"/>
      <c r="U66" s="39"/>
      <c r="V66" s="39"/>
      <c r="W66" s="39"/>
      <c r="X66" s="39"/>
      <c r="Y66" s="39"/>
      <c r="Z66" s="39"/>
    </row>
    <row r="67" spans="1:26" hidden="1" outlineLevel="1" x14ac:dyDescent="0.2">
      <c r="A67" s="172"/>
      <c r="B67" s="172"/>
      <c r="C67" s="52">
        <v>3</v>
      </c>
      <c r="D67" s="156" t="s">
        <v>235</v>
      </c>
      <c r="E67" s="42"/>
      <c r="F67" s="42"/>
      <c r="G67" s="42"/>
      <c r="H67" s="42"/>
      <c r="I67" s="42"/>
      <c r="J67" s="42"/>
      <c r="L67" s="172"/>
      <c r="M67" s="39"/>
      <c r="N67" s="39"/>
      <c r="O67" s="39"/>
      <c r="P67" s="39"/>
      <c r="Q67" s="39"/>
      <c r="R67" s="39"/>
      <c r="S67" s="39"/>
      <c r="T67" s="39"/>
      <c r="U67" s="39"/>
      <c r="V67" s="39"/>
      <c r="W67" s="39"/>
      <c r="X67" s="39"/>
      <c r="Y67" s="39"/>
      <c r="Z67" s="39"/>
    </row>
    <row r="68" spans="1:26" hidden="1" outlineLevel="1" x14ac:dyDescent="0.2">
      <c r="A68" s="172"/>
      <c r="B68" s="172"/>
      <c r="C68" s="172"/>
      <c r="L68" s="172"/>
      <c r="M68" s="39"/>
      <c r="N68" s="39"/>
      <c r="O68" s="39"/>
      <c r="P68" s="39"/>
      <c r="Q68" s="39"/>
      <c r="R68" s="39"/>
      <c r="S68" s="39"/>
      <c r="T68" s="39"/>
      <c r="U68" s="39"/>
      <c r="V68" s="39"/>
      <c r="W68" s="39"/>
      <c r="X68" s="39"/>
      <c r="Y68" s="39"/>
      <c r="Z68" s="39"/>
    </row>
    <row r="69" spans="1:26" collapsed="1" x14ac:dyDescent="0.2">
      <c r="A69" s="172"/>
      <c r="B69" s="172"/>
      <c r="C69" s="172"/>
      <c r="L69" s="172"/>
      <c r="M69" s="39"/>
      <c r="N69" s="39"/>
      <c r="O69" s="39"/>
      <c r="P69" s="39"/>
      <c r="Q69" s="39"/>
      <c r="R69" s="39"/>
      <c r="S69" s="39"/>
      <c r="T69" s="39"/>
      <c r="U69" s="39"/>
      <c r="V69" s="39"/>
      <c r="W69" s="39"/>
      <c r="X69" s="39"/>
      <c r="Y69" s="39"/>
      <c r="Z69" s="39"/>
    </row>
    <row r="70" spans="1:26" ht="15.75" x14ac:dyDescent="0.2">
      <c r="A70" s="172"/>
      <c r="B70" s="209">
        <f>IF(E74&lt;&gt;"",VLOOKUP(E74,GenderCode,2,FALSE),0)</f>
        <v>0</v>
      </c>
      <c r="C70" s="209">
        <v>4</v>
      </c>
      <c r="D70" s="72" t="str">
        <f>IF(B70=0,MsgNotUsed, CONCATENATE("Other ", C70, ": ", E72,": ", E74, " (", E77, "-", J77, ")"))</f>
        <v>** NOT USED **</v>
      </c>
      <c r="E70" s="113"/>
      <c r="F70" s="113"/>
      <c r="G70" s="113"/>
      <c r="H70" s="113"/>
      <c r="I70" s="154"/>
      <c r="J70" s="113"/>
      <c r="K70" s="113"/>
      <c r="L70" s="113"/>
      <c r="M70" s="224"/>
      <c r="N70" s="224"/>
      <c r="O70" s="224"/>
      <c r="P70" s="224"/>
      <c r="Q70" s="224"/>
      <c r="R70" s="224"/>
      <c r="S70" s="224"/>
      <c r="T70" s="224"/>
      <c r="U70" s="224"/>
      <c r="V70" s="224"/>
      <c r="W70" s="224"/>
      <c r="X70" s="224"/>
      <c r="Y70" s="224"/>
      <c r="Z70" s="224"/>
    </row>
    <row r="71" spans="1:26" hidden="1" outlineLevel="1" x14ac:dyDescent="0.2">
      <c r="A71" s="172"/>
      <c r="B71" s="172"/>
      <c r="C71" s="172"/>
      <c r="D71" s="173"/>
      <c r="E71" s="173"/>
      <c r="F71" s="173"/>
      <c r="G71" s="173"/>
      <c r="H71" s="173"/>
      <c r="I71" s="173"/>
      <c r="J71" s="173"/>
      <c r="K71" s="173"/>
      <c r="L71" s="173"/>
      <c r="M71" s="38"/>
      <c r="N71" s="38"/>
      <c r="O71" s="38"/>
      <c r="P71" s="38"/>
      <c r="Q71" s="38"/>
      <c r="R71" s="38"/>
      <c r="S71" s="38"/>
      <c r="T71" s="38"/>
      <c r="U71" s="38"/>
      <c r="V71" s="38"/>
      <c r="W71" s="38"/>
      <c r="X71" s="38"/>
      <c r="Y71" s="38"/>
      <c r="Z71" s="38"/>
    </row>
    <row r="72" spans="1:26" hidden="1" outlineLevel="1" x14ac:dyDescent="0.2">
      <c r="A72" s="172"/>
      <c r="B72" s="172"/>
      <c r="C72" s="172"/>
      <c r="D72" s="37" t="s">
        <v>270</v>
      </c>
      <c r="E72" s="669"/>
      <c r="F72" s="642"/>
      <c r="G72" s="642"/>
      <c r="H72" s="642"/>
      <c r="I72" s="642"/>
      <c r="J72" s="643"/>
      <c r="K72" s="1"/>
      <c r="L72" s="37" t="s">
        <v>249</v>
      </c>
      <c r="M72" s="669"/>
      <c r="N72" s="642"/>
      <c r="O72" s="642"/>
      <c r="P72" s="642"/>
      <c r="Q72" s="642"/>
      <c r="R72" s="643"/>
      <c r="S72" s="38"/>
      <c r="T72" s="38"/>
      <c r="U72" s="38"/>
      <c r="V72" s="38"/>
      <c r="W72" s="38"/>
      <c r="X72" s="38"/>
      <c r="Y72" s="38"/>
      <c r="Z72" s="38"/>
    </row>
    <row r="73" spans="1:26" ht="14.25" hidden="1" outlineLevel="1" x14ac:dyDescent="0.2">
      <c r="A73" s="172"/>
      <c r="B73" s="172"/>
      <c r="C73" s="172"/>
      <c r="D73" s="449"/>
      <c r="L73" s="173"/>
      <c r="M73" s="38"/>
      <c r="N73" s="38"/>
      <c r="O73" s="38"/>
      <c r="P73" s="38"/>
      <c r="Q73" s="38"/>
      <c r="R73" s="38"/>
      <c r="S73" s="38"/>
      <c r="T73" s="38"/>
      <c r="U73" s="38"/>
      <c r="V73" s="38"/>
      <c r="W73" s="38"/>
      <c r="X73" s="38"/>
      <c r="Y73" s="38"/>
      <c r="Z73" s="38"/>
    </row>
    <row r="74" spans="1:26" hidden="1" outlineLevel="1" x14ac:dyDescent="0.2">
      <c r="A74" s="172"/>
      <c r="B74" s="172"/>
      <c r="C74" s="172"/>
      <c r="D74" s="75" t="s">
        <v>51</v>
      </c>
      <c r="E74" s="70"/>
      <c r="H74" s="172"/>
      <c r="I74" s="75" t="s">
        <v>355</v>
      </c>
      <c r="J74" s="70"/>
      <c r="L74" s="173"/>
      <c r="M74" s="38"/>
      <c r="N74" s="38"/>
      <c r="O74" s="38"/>
      <c r="P74" s="38"/>
      <c r="Q74" s="38"/>
      <c r="R74" s="38"/>
      <c r="S74" s="38"/>
      <c r="T74" s="38"/>
      <c r="U74" s="38"/>
      <c r="V74" s="38"/>
      <c r="W74" s="38"/>
      <c r="X74" s="38"/>
      <c r="Y74" s="38"/>
      <c r="Z74" s="38"/>
    </row>
    <row r="75" spans="1:26" hidden="1" outlineLevel="1" x14ac:dyDescent="0.2">
      <c r="A75" s="172"/>
      <c r="B75" s="172"/>
      <c r="C75" s="172"/>
      <c r="L75" s="173"/>
      <c r="M75" s="38"/>
      <c r="N75" s="38"/>
      <c r="O75" s="38"/>
      <c r="P75" s="38"/>
      <c r="Q75" s="38"/>
      <c r="R75" s="38"/>
      <c r="S75" s="38"/>
      <c r="T75" s="38"/>
      <c r="U75" s="38"/>
      <c r="V75" s="38"/>
      <c r="W75" s="38"/>
      <c r="X75" s="38"/>
      <c r="Y75" s="38"/>
      <c r="Z75" s="38"/>
    </row>
    <row r="76" spans="1:26" hidden="1" outlineLevel="1" x14ac:dyDescent="0.2">
      <c r="A76" s="172"/>
      <c r="B76" s="172"/>
      <c r="C76" s="172"/>
      <c r="E76" s="260" t="s">
        <v>246</v>
      </c>
      <c r="L76" s="173"/>
      <c r="M76" s="38"/>
      <c r="N76" s="38"/>
      <c r="O76" s="38"/>
      <c r="P76" s="38"/>
      <c r="Q76" s="38"/>
      <c r="R76" s="38"/>
      <c r="S76" s="38"/>
      <c r="T76" s="38"/>
      <c r="U76" s="38"/>
      <c r="V76" s="38"/>
      <c r="W76" s="38"/>
      <c r="X76" s="38"/>
      <c r="Y76" s="38"/>
      <c r="Z76" s="38"/>
    </row>
    <row r="77" spans="1:26" hidden="1" outlineLevel="1" x14ac:dyDescent="0.2">
      <c r="A77" s="172"/>
      <c r="B77" s="172"/>
      <c r="C77" s="172"/>
      <c r="E77" s="71">
        <f>IF(J74&lt;&gt;"",J74,FirstYear)</f>
        <v>2026</v>
      </c>
      <c r="F77" s="74">
        <f>E77+1</f>
        <v>2027</v>
      </c>
      <c r="G77" s="74">
        <f>F77+1</f>
        <v>2028</v>
      </c>
      <c r="H77" s="74">
        <f>G77+1</f>
        <v>2029</v>
      </c>
      <c r="I77" s="74">
        <f>H77+1</f>
        <v>2030</v>
      </c>
      <c r="J77" s="74">
        <f>I77+1</f>
        <v>2031</v>
      </c>
      <c r="L77" s="173"/>
      <c r="M77" s="38"/>
      <c r="N77" s="38"/>
      <c r="O77" s="38"/>
      <c r="P77" s="38"/>
      <c r="Q77" s="38"/>
      <c r="R77" s="38"/>
      <c r="S77" s="38"/>
      <c r="T77" s="38"/>
      <c r="U77" s="38"/>
      <c r="V77" s="38"/>
      <c r="W77" s="38"/>
      <c r="X77" s="38"/>
      <c r="Y77" s="38"/>
      <c r="Z77" s="38"/>
    </row>
    <row r="78" spans="1:26" hidden="1" outlineLevel="1" x14ac:dyDescent="0.2">
      <c r="A78" s="172"/>
      <c r="B78" s="172"/>
      <c r="C78" s="172"/>
      <c r="E78" s="57">
        <f t="shared" ref="E78:J78" si="19">IF($B$70&lt;&gt;0,VLOOKUP($B$70,$C$82:$J$84,E79),0)</f>
        <v>0</v>
      </c>
      <c r="F78" s="57">
        <f t="shared" si="19"/>
        <v>0</v>
      </c>
      <c r="G78" s="57">
        <f t="shared" si="19"/>
        <v>0</v>
      </c>
      <c r="H78" s="57">
        <f t="shared" si="19"/>
        <v>0</v>
      </c>
      <c r="I78" s="57">
        <f t="shared" si="19"/>
        <v>0</v>
      </c>
      <c r="J78" s="57">
        <f t="shared" si="19"/>
        <v>0</v>
      </c>
      <c r="L78" s="173"/>
      <c r="M78" s="38"/>
      <c r="N78" s="38"/>
      <c r="O78" s="38"/>
      <c r="P78" s="38"/>
      <c r="Q78" s="38"/>
      <c r="R78" s="38"/>
      <c r="S78" s="38"/>
      <c r="T78" s="38"/>
      <c r="U78" s="38"/>
      <c r="V78" s="38"/>
      <c r="W78" s="38"/>
      <c r="X78" s="38"/>
      <c r="Y78" s="38"/>
      <c r="Z78" s="38"/>
    </row>
    <row r="79" spans="1:26" hidden="1" outlineLevel="1" x14ac:dyDescent="0.2">
      <c r="A79" s="172"/>
      <c r="B79" s="172"/>
      <c r="C79" s="172"/>
      <c r="E79" s="155">
        <v>3</v>
      </c>
      <c r="F79" s="155">
        <v>4</v>
      </c>
      <c r="G79" s="155">
        <v>5</v>
      </c>
      <c r="H79" s="155">
        <v>6</v>
      </c>
      <c r="I79" s="155">
        <v>7</v>
      </c>
      <c r="J79" s="155">
        <v>8</v>
      </c>
      <c r="L79" s="173"/>
      <c r="M79" s="38"/>
      <c r="N79" s="38"/>
      <c r="O79" s="38"/>
      <c r="P79" s="38"/>
      <c r="Q79" s="38"/>
      <c r="R79" s="38"/>
      <c r="S79" s="38"/>
      <c r="T79" s="38"/>
      <c r="U79" s="38"/>
      <c r="V79" s="38"/>
      <c r="W79" s="38"/>
      <c r="X79" s="38"/>
      <c r="Y79" s="38"/>
      <c r="Z79" s="38"/>
    </row>
    <row r="80" spans="1:26" hidden="1" outlineLevel="1" x14ac:dyDescent="0.2">
      <c r="A80" s="172"/>
      <c r="B80" s="172"/>
      <c r="C80" s="172"/>
      <c r="D80" s="26" t="s">
        <v>314</v>
      </c>
      <c r="E80" s="71">
        <f t="shared" ref="E80:J80" si="20">E77</f>
        <v>2026</v>
      </c>
      <c r="F80" s="71">
        <f t="shared" si="20"/>
        <v>2027</v>
      </c>
      <c r="G80" s="71">
        <f t="shared" si="20"/>
        <v>2028</v>
      </c>
      <c r="H80" s="71">
        <f t="shared" si="20"/>
        <v>2029</v>
      </c>
      <c r="I80" s="71">
        <f t="shared" si="20"/>
        <v>2030</v>
      </c>
      <c r="J80" s="71">
        <f t="shared" si="20"/>
        <v>2031</v>
      </c>
      <c r="L80" s="172"/>
      <c r="M80" s="39"/>
      <c r="N80" s="39"/>
      <c r="O80" s="39"/>
      <c r="P80" s="39"/>
      <c r="Q80" s="39"/>
      <c r="R80" s="39"/>
      <c r="S80" s="39"/>
      <c r="T80" s="39"/>
      <c r="U80" s="39"/>
      <c r="V80" s="39"/>
      <c r="W80" s="39"/>
      <c r="X80" s="39"/>
      <c r="Y80" s="39"/>
      <c r="Z80" s="39"/>
    </row>
    <row r="81" spans="1:26" hidden="1" outlineLevel="1" x14ac:dyDescent="0.2">
      <c r="A81" s="172"/>
      <c r="B81" s="172"/>
      <c r="D81" s="156" t="s">
        <v>231</v>
      </c>
      <c r="E81" s="57">
        <f t="shared" ref="E81:J81" si="21">IF(OR(E82="",E82=0),SUM(E83:E84),E82)</f>
        <v>0</v>
      </c>
      <c r="F81" s="57">
        <f t="shared" si="21"/>
        <v>0</v>
      </c>
      <c r="G81" s="57">
        <f t="shared" si="21"/>
        <v>0</v>
      </c>
      <c r="H81" s="57">
        <f t="shared" si="21"/>
        <v>0</v>
      </c>
      <c r="I81" s="57">
        <f t="shared" si="21"/>
        <v>0</v>
      </c>
      <c r="J81" s="57">
        <f t="shared" si="21"/>
        <v>0</v>
      </c>
      <c r="L81" s="172"/>
      <c r="M81" s="39"/>
      <c r="N81" s="39"/>
      <c r="O81" s="39"/>
      <c r="P81" s="39"/>
      <c r="Q81" s="39"/>
      <c r="R81" s="39"/>
      <c r="S81" s="39"/>
      <c r="T81" s="39"/>
      <c r="U81" s="39"/>
      <c r="V81" s="39"/>
      <c r="W81" s="39"/>
      <c r="X81" s="39"/>
      <c r="Y81" s="39"/>
      <c r="Z81" s="39"/>
    </row>
    <row r="82" spans="1:26" hidden="1" outlineLevel="1" x14ac:dyDescent="0.2">
      <c r="A82" s="172"/>
      <c r="B82" s="172"/>
      <c r="C82" s="52">
        <v>1</v>
      </c>
      <c r="D82" s="156" t="s">
        <v>356</v>
      </c>
      <c r="E82" s="294"/>
      <c r="F82" s="294"/>
      <c r="G82" s="294"/>
      <c r="H82" s="294"/>
      <c r="I82" s="294"/>
      <c r="J82" s="294"/>
      <c r="L82" s="172"/>
      <c r="M82" s="39"/>
      <c r="N82" s="39"/>
      <c r="O82" s="39"/>
      <c r="P82" s="39"/>
      <c r="Q82" s="39"/>
      <c r="R82" s="39"/>
      <c r="S82" s="39"/>
      <c r="T82" s="39"/>
      <c r="U82" s="39"/>
      <c r="V82" s="39"/>
      <c r="W82" s="39"/>
      <c r="X82" s="39"/>
      <c r="Y82" s="39"/>
      <c r="Z82" s="39"/>
    </row>
    <row r="83" spans="1:26" hidden="1" outlineLevel="1" x14ac:dyDescent="0.2">
      <c r="A83" s="172"/>
      <c r="B83" s="172"/>
      <c r="C83" s="52">
        <v>2</v>
      </c>
      <c r="D83" s="156" t="s">
        <v>234</v>
      </c>
      <c r="E83" s="294"/>
      <c r="F83" s="294"/>
      <c r="G83" s="294"/>
      <c r="H83" s="294"/>
      <c r="I83" s="294"/>
      <c r="J83" s="294"/>
      <c r="L83" s="172"/>
      <c r="M83" s="39"/>
      <c r="N83" s="39"/>
      <c r="O83" s="39"/>
      <c r="P83" s="39"/>
      <c r="Q83" s="39"/>
      <c r="R83" s="39"/>
      <c r="S83" s="39"/>
      <c r="T83" s="39"/>
      <c r="U83" s="39"/>
      <c r="V83" s="39"/>
      <c r="W83" s="39"/>
      <c r="X83" s="39"/>
      <c r="Y83" s="39"/>
      <c r="Z83" s="39"/>
    </row>
    <row r="84" spans="1:26" hidden="1" outlineLevel="1" x14ac:dyDescent="0.2">
      <c r="A84" s="172"/>
      <c r="B84" s="172"/>
      <c r="C84" s="52">
        <v>3</v>
      </c>
      <c r="D84" s="156" t="s">
        <v>235</v>
      </c>
      <c r="E84" s="42"/>
      <c r="F84" s="42"/>
      <c r="G84" s="42"/>
      <c r="H84" s="42"/>
      <c r="I84" s="42"/>
      <c r="J84" s="42"/>
      <c r="L84" s="172"/>
      <c r="M84" s="39"/>
      <c r="N84" s="39"/>
      <c r="O84" s="39"/>
      <c r="P84" s="39"/>
      <c r="Q84" s="39"/>
      <c r="R84" s="39"/>
      <c r="S84" s="39"/>
      <c r="T84" s="39"/>
      <c r="U84" s="39"/>
      <c r="V84" s="39"/>
      <c r="W84" s="39"/>
      <c r="X84" s="39"/>
      <c r="Y84" s="39"/>
      <c r="Z84" s="39"/>
    </row>
    <row r="85" spans="1:26" hidden="1" outlineLevel="1" x14ac:dyDescent="0.2">
      <c r="A85" s="172"/>
      <c r="B85" s="172"/>
      <c r="C85" s="172"/>
      <c r="L85" s="172"/>
      <c r="M85" s="39"/>
      <c r="N85" s="39"/>
      <c r="O85" s="39"/>
      <c r="P85" s="39"/>
      <c r="Q85" s="39"/>
      <c r="R85" s="39"/>
      <c r="S85" s="39"/>
      <c r="T85" s="39"/>
      <c r="U85" s="39"/>
      <c r="V85" s="39"/>
      <c r="W85" s="39"/>
      <c r="X85" s="39"/>
      <c r="Y85" s="39"/>
      <c r="Z85" s="39"/>
    </row>
    <row r="86" spans="1:26" collapsed="1" x14ac:dyDescent="0.2">
      <c r="A86" s="172"/>
      <c r="B86" s="172"/>
      <c r="C86" s="172"/>
      <c r="L86" s="172"/>
      <c r="M86" s="39"/>
      <c r="N86" s="39"/>
      <c r="O86" s="39"/>
      <c r="P86" s="39"/>
      <c r="Q86" s="39"/>
      <c r="R86" s="39"/>
      <c r="S86" s="39"/>
      <c r="T86" s="39"/>
      <c r="U86" s="39"/>
      <c r="V86" s="39"/>
      <c r="W86" s="39"/>
      <c r="X86" s="39"/>
      <c r="Y86" s="39"/>
      <c r="Z86" s="39"/>
    </row>
    <row r="87" spans="1:26" ht="15.75" x14ac:dyDescent="0.2">
      <c r="A87" s="172"/>
      <c r="B87" s="209">
        <f>IF(E91&lt;&gt;"",VLOOKUP(E91,GenderCode,2,FALSE),0)</f>
        <v>0</v>
      </c>
      <c r="C87" s="209">
        <v>5</v>
      </c>
      <c r="D87" s="72" t="str">
        <f>IF(B87=0,MsgNotUsed, CONCATENATE("Other ", C87, ": ", E89,": ", E91, " (", E94, "-", J94, ")"))</f>
        <v>** NOT USED **</v>
      </c>
      <c r="E87" s="113"/>
      <c r="F87" s="113"/>
      <c r="G87" s="113"/>
      <c r="H87" s="113"/>
      <c r="I87" s="154"/>
      <c r="J87" s="113"/>
      <c r="K87" s="113"/>
      <c r="L87" s="113"/>
      <c r="M87" s="224"/>
      <c r="N87" s="224"/>
      <c r="O87" s="224"/>
      <c r="P87" s="224"/>
      <c r="Q87" s="224"/>
      <c r="R87" s="224"/>
      <c r="S87" s="224"/>
      <c r="T87" s="224"/>
      <c r="U87" s="224"/>
      <c r="V87" s="224"/>
      <c r="W87" s="224"/>
      <c r="X87" s="224"/>
      <c r="Y87" s="224"/>
      <c r="Z87" s="224"/>
    </row>
    <row r="88" spans="1:26" hidden="1" outlineLevel="1" x14ac:dyDescent="0.2">
      <c r="A88" s="172"/>
      <c r="B88" s="172"/>
      <c r="C88" s="172"/>
      <c r="D88" s="173"/>
      <c r="E88" s="173"/>
      <c r="F88" s="173"/>
      <c r="G88" s="173"/>
      <c r="H88" s="173"/>
      <c r="I88" s="173"/>
      <c r="J88" s="173"/>
      <c r="K88" s="173"/>
      <c r="L88" s="173"/>
      <c r="M88" s="38"/>
      <c r="N88" s="38"/>
      <c r="O88" s="38"/>
      <c r="P88" s="38"/>
      <c r="Q88" s="38"/>
      <c r="R88" s="38"/>
      <c r="S88" s="38"/>
      <c r="T88" s="38"/>
      <c r="U88" s="38"/>
      <c r="V88" s="38"/>
      <c r="W88" s="38"/>
      <c r="X88" s="38"/>
      <c r="Y88" s="38"/>
      <c r="Z88" s="38"/>
    </row>
    <row r="89" spans="1:26" hidden="1" outlineLevel="1" x14ac:dyDescent="0.2">
      <c r="A89" s="172"/>
      <c r="B89" s="172"/>
      <c r="C89" s="172"/>
      <c r="D89" s="37" t="s">
        <v>270</v>
      </c>
      <c r="E89" s="669"/>
      <c r="F89" s="642"/>
      <c r="G89" s="642"/>
      <c r="H89" s="642"/>
      <c r="I89" s="642"/>
      <c r="J89" s="643"/>
      <c r="K89" s="1"/>
      <c r="L89" s="37" t="s">
        <v>249</v>
      </c>
      <c r="M89" s="669"/>
      <c r="N89" s="642"/>
      <c r="O89" s="642"/>
      <c r="P89" s="642"/>
      <c r="Q89" s="642"/>
      <c r="R89" s="643"/>
      <c r="S89" s="38"/>
      <c r="T89" s="38"/>
      <c r="U89" s="38"/>
      <c r="V89" s="38"/>
      <c r="W89" s="38"/>
      <c r="X89" s="38"/>
      <c r="Y89" s="38"/>
      <c r="Z89" s="38"/>
    </row>
    <row r="90" spans="1:26" ht="14.25" hidden="1" outlineLevel="1" x14ac:dyDescent="0.2">
      <c r="A90" s="172"/>
      <c r="B90" s="172"/>
      <c r="C90" s="172"/>
      <c r="D90" s="449"/>
      <c r="L90" s="173"/>
      <c r="M90" s="38"/>
      <c r="N90" s="38"/>
      <c r="O90" s="38"/>
      <c r="P90" s="38"/>
      <c r="Q90" s="38"/>
      <c r="R90" s="38"/>
      <c r="S90" s="38"/>
      <c r="T90" s="38"/>
      <c r="U90" s="38"/>
      <c r="V90" s="38"/>
      <c r="W90" s="38"/>
      <c r="X90" s="38"/>
      <c r="Y90" s="38"/>
      <c r="Z90" s="38"/>
    </row>
    <row r="91" spans="1:26" hidden="1" outlineLevel="1" x14ac:dyDescent="0.2">
      <c r="A91" s="172"/>
      <c r="B91" s="172"/>
      <c r="C91" s="172"/>
      <c r="D91" s="75" t="s">
        <v>51</v>
      </c>
      <c r="E91" s="70"/>
      <c r="H91" s="172"/>
      <c r="I91" s="75" t="s">
        <v>355</v>
      </c>
      <c r="J91" s="70"/>
      <c r="L91" s="173"/>
      <c r="M91" s="38"/>
      <c r="N91" s="38"/>
      <c r="O91" s="38"/>
      <c r="P91" s="38"/>
      <c r="Q91" s="38"/>
      <c r="R91" s="38"/>
      <c r="S91" s="38"/>
      <c r="T91" s="38"/>
      <c r="U91" s="38"/>
      <c r="V91" s="38"/>
      <c r="W91" s="38"/>
      <c r="X91" s="38"/>
      <c r="Y91" s="38"/>
      <c r="Z91" s="38"/>
    </row>
    <row r="92" spans="1:26" hidden="1" outlineLevel="1" x14ac:dyDescent="0.2">
      <c r="A92" s="172"/>
      <c r="B92" s="172"/>
      <c r="C92" s="172"/>
      <c r="L92" s="173"/>
      <c r="M92" s="38"/>
      <c r="N92" s="38"/>
      <c r="O92" s="38"/>
      <c r="P92" s="38"/>
      <c r="Q92" s="38"/>
      <c r="R92" s="38"/>
      <c r="S92" s="38"/>
      <c r="T92" s="38"/>
      <c r="U92" s="38"/>
      <c r="V92" s="38"/>
      <c r="W92" s="38"/>
      <c r="X92" s="38"/>
      <c r="Y92" s="38"/>
      <c r="Z92" s="38"/>
    </row>
    <row r="93" spans="1:26" hidden="1" outlineLevel="1" x14ac:dyDescent="0.2">
      <c r="A93" s="172"/>
      <c r="B93" s="172"/>
      <c r="C93" s="172"/>
      <c r="E93" s="260" t="s">
        <v>246</v>
      </c>
      <c r="L93" s="173"/>
      <c r="M93" s="38"/>
      <c r="N93" s="38"/>
      <c r="O93" s="38"/>
      <c r="P93" s="38"/>
      <c r="Q93" s="38"/>
      <c r="R93" s="38"/>
      <c r="S93" s="38"/>
      <c r="T93" s="38"/>
      <c r="U93" s="38"/>
      <c r="V93" s="38"/>
      <c r="W93" s="38"/>
      <c r="X93" s="38"/>
      <c r="Y93" s="38"/>
      <c r="Z93" s="38"/>
    </row>
    <row r="94" spans="1:26" hidden="1" outlineLevel="1" x14ac:dyDescent="0.2">
      <c r="A94" s="172"/>
      <c r="B94" s="172"/>
      <c r="C94" s="172"/>
      <c r="E94" s="71">
        <f>IF(J91&lt;&gt;"",J91,FirstYear)</f>
        <v>2026</v>
      </c>
      <c r="F94" s="74">
        <f>E94+1</f>
        <v>2027</v>
      </c>
      <c r="G94" s="74">
        <f>F94+1</f>
        <v>2028</v>
      </c>
      <c r="H94" s="74">
        <f>G94+1</f>
        <v>2029</v>
      </c>
      <c r="I94" s="74">
        <f>H94+1</f>
        <v>2030</v>
      </c>
      <c r="J94" s="74">
        <f>I94+1</f>
        <v>2031</v>
      </c>
      <c r="L94" s="173"/>
      <c r="M94" s="38"/>
      <c r="N94" s="38"/>
      <c r="O94" s="38"/>
      <c r="P94" s="38"/>
      <c r="Q94" s="38"/>
      <c r="R94" s="38"/>
      <c r="S94" s="38"/>
      <c r="T94" s="38"/>
      <c r="U94" s="38"/>
      <c r="V94" s="38"/>
      <c r="W94" s="38"/>
      <c r="X94" s="38"/>
      <c r="Y94" s="38"/>
      <c r="Z94" s="38"/>
    </row>
    <row r="95" spans="1:26" hidden="1" outlineLevel="1" x14ac:dyDescent="0.2">
      <c r="A95" s="172"/>
      <c r="B95" s="172"/>
      <c r="C95" s="172"/>
      <c r="E95" s="57">
        <f t="shared" ref="E95:J95" si="22">IF($B$87&lt;&gt;0,VLOOKUP($B$87,$C$99:$J$101,E96),0)</f>
        <v>0</v>
      </c>
      <c r="F95" s="57">
        <f t="shared" si="22"/>
        <v>0</v>
      </c>
      <c r="G95" s="57">
        <f t="shared" si="22"/>
        <v>0</v>
      </c>
      <c r="H95" s="57">
        <f t="shared" si="22"/>
        <v>0</v>
      </c>
      <c r="I95" s="57">
        <f t="shared" si="22"/>
        <v>0</v>
      </c>
      <c r="J95" s="57">
        <f t="shared" si="22"/>
        <v>0</v>
      </c>
      <c r="L95" s="173"/>
      <c r="M95" s="38"/>
      <c r="N95" s="38"/>
      <c r="O95" s="38"/>
      <c r="P95" s="38"/>
      <c r="Q95" s="38"/>
      <c r="R95" s="38"/>
      <c r="S95" s="38"/>
      <c r="T95" s="38"/>
      <c r="U95" s="38"/>
      <c r="V95" s="38"/>
      <c r="W95" s="38"/>
      <c r="X95" s="38"/>
      <c r="Y95" s="38"/>
      <c r="Z95" s="38"/>
    </row>
    <row r="96" spans="1:26" hidden="1" outlineLevel="1" x14ac:dyDescent="0.2">
      <c r="A96" s="172"/>
      <c r="B96" s="172"/>
      <c r="C96" s="172"/>
      <c r="E96" s="155">
        <v>3</v>
      </c>
      <c r="F96" s="155">
        <v>4</v>
      </c>
      <c r="G96" s="155">
        <v>5</v>
      </c>
      <c r="H96" s="155">
        <v>6</v>
      </c>
      <c r="I96" s="155">
        <v>7</v>
      </c>
      <c r="J96" s="155">
        <v>8</v>
      </c>
      <c r="L96" s="173"/>
      <c r="M96" s="38"/>
      <c r="N96" s="38"/>
      <c r="O96" s="38"/>
      <c r="P96" s="38"/>
      <c r="Q96" s="38"/>
      <c r="R96" s="38"/>
      <c r="S96" s="38"/>
      <c r="T96" s="38"/>
      <c r="U96" s="38"/>
      <c r="V96" s="38"/>
      <c r="W96" s="38"/>
      <c r="X96" s="38"/>
      <c r="Y96" s="38"/>
      <c r="Z96" s="38"/>
    </row>
    <row r="97" spans="1:26" hidden="1" outlineLevel="1" x14ac:dyDescent="0.2">
      <c r="A97" s="172"/>
      <c r="B97" s="172"/>
      <c r="C97" s="172"/>
      <c r="D97" s="26" t="s">
        <v>314</v>
      </c>
      <c r="E97" s="71">
        <f t="shared" ref="E97:J97" si="23">E94</f>
        <v>2026</v>
      </c>
      <c r="F97" s="71">
        <f t="shared" si="23"/>
        <v>2027</v>
      </c>
      <c r="G97" s="71">
        <f t="shared" si="23"/>
        <v>2028</v>
      </c>
      <c r="H97" s="71">
        <f t="shared" si="23"/>
        <v>2029</v>
      </c>
      <c r="I97" s="71">
        <f t="shared" si="23"/>
        <v>2030</v>
      </c>
      <c r="J97" s="71">
        <f t="shared" si="23"/>
        <v>2031</v>
      </c>
      <c r="L97" s="172"/>
      <c r="M97" s="39"/>
      <c r="N97" s="39"/>
      <c r="O97" s="39"/>
      <c r="P97" s="39"/>
      <c r="Q97" s="39"/>
      <c r="R97" s="39"/>
      <c r="S97" s="39"/>
      <c r="T97" s="39"/>
      <c r="U97" s="39"/>
      <c r="V97" s="39"/>
      <c r="W97" s="39"/>
      <c r="X97" s="39"/>
      <c r="Y97" s="39"/>
      <c r="Z97" s="39"/>
    </row>
    <row r="98" spans="1:26" hidden="1" outlineLevel="1" x14ac:dyDescent="0.2">
      <c r="A98" s="172"/>
      <c r="B98" s="172"/>
      <c r="D98" s="156" t="s">
        <v>231</v>
      </c>
      <c r="E98" s="57">
        <f t="shared" ref="E98:J98" si="24">IF(OR(E99="",E99=0),SUM(E100:E101),E99)</f>
        <v>0</v>
      </c>
      <c r="F98" s="57">
        <f t="shared" si="24"/>
        <v>0</v>
      </c>
      <c r="G98" s="57">
        <f t="shared" si="24"/>
        <v>0</v>
      </c>
      <c r="H98" s="57">
        <f t="shared" si="24"/>
        <v>0</v>
      </c>
      <c r="I98" s="57">
        <f t="shared" si="24"/>
        <v>0</v>
      </c>
      <c r="J98" s="57">
        <f t="shared" si="24"/>
        <v>0</v>
      </c>
      <c r="L98" s="172"/>
      <c r="M98" s="39"/>
      <c r="N98" s="39"/>
      <c r="O98" s="39"/>
      <c r="P98" s="39"/>
      <c r="Q98" s="39"/>
      <c r="R98" s="39"/>
      <c r="S98" s="39"/>
      <c r="T98" s="39"/>
      <c r="U98" s="39"/>
      <c r="V98" s="39"/>
      <c r="W98" s="39"/>
      <c r="X98" s="39"/>
      <c r="Y98" s="39"/>
      <c r="Z98" s="39"/>
    </row>
    <row r="99" spans="1:26" hidden="1" outlineLevel="1" x14ac:dyDescent="0.2">
      <c r="A99" s="172"/>
      <c r="B99" s="172"/>
      <c r="C99" s="52">
        <v>1</v>
      </c>
      <c r="D99" s="156" t="s">
        <v>356</v>
      </c>
      <c r="E99" s="294"/>
      <c r="F99" s="294"/>
      <c r="G99" s="294"/>
      <c r="H99" s="294"/>
      <c r="I99" s="294"/>
      <c r="J99" s="294"/>
      <c r="L99" s="172"/>
      <c r="M99" s="39"/>
      <c r="N99" s="39"/>
      <c r="O99" s="39"/>
      <c r="P99" s="39"/>
      <c r="Q99" s="39"/>
      <c r="R99" s="39"/>
      <c r="S99" s="39"/>
      <c r="T99" s="39"/>
      <c r="U99" s="39"/>
      <c r="V99" s="39"/>
      <c r="W99" s="39"/>
      <c r="X99" s="39"/>
      <c r="Y99" s="39"/>
      <c r="Z99" s="39"/>
    </row>
    <row r="100" spans="1:26" hidden="1" outlineLevel="1" x14ac:dyDescent="0.2">
      <c r="A100" s="172"/>
      <c r="B100" s="172"/>
      <c r="C100" s="52">
        <v>2</v>
      </c>
      <c r="D100" s="156" t="s">
        <v>234</v>
      </c>
      <c r="E100" s="294"/>
      <c r="F100" s="294"/>
      <c r="G100" s="294"/>
      <c r="H100" s="294"/>
      <c r="I100" s="294"/>
      <c r="J100" s="294"/>
      <c r="L100" s="172"/>
      <c r="M100" s="39"/>
      <c r="N100" s="39"/>
      <c r="O100" s="39"/>
      <c r="P100" s="39"/>
      <c r="Q100" s="39"/>
      <c r="R100" s="39"/>
      <c r="S100" s="39"/>
      <c r="T100" s="39"/>
      <c r="U100" s="39"/>
      <c r="V100" s="39"/>
      <c r="W100" s="39"/>
      <c r="X100" s="39"/>
      <c r="Y100" s="39"/>
      <c r="Z100" s="39"/>
    </row>
    <row r="101" spans="1:26" hidden="1" outlineLevel="1" x14ac:dyDescent="0.2">
      <c r="A101" s="172"/>
      <c r="B101" s="172"/>
      <c r="C101" s="52">
        <v>3</v>
      </c>
      <c r="D101" s="156" t="s">
        <v>235</v>
      </c>
      <c r="E101" s="42"/>
      <c r="F101" s="42"/>
      <c r="G101" s="42"/>
      <c r="H101" s="42"/>
      <c r="I101" s="42"/>
      <c r="J101" s="42"/>
      <c r="L101" s="172"/>
      <c r="M101" s="39"/>
      <c r="N101" s="39"/>
      <c r="O101" s="39"/>
      <c r="P101" s="39"/>
      <c r="Q101" s="39"/>
      <c r="R101" s="39"/>
      <c r="S101" s="39"/>
      <c r="T101" s="39"/>
      <c r="U101" s="39"/>
      <c r="V101" s="39"/>
      <c r="W101" s="39"/>
      <c r="X101" s="39"/>
      <c r="Y101" s="39"/>
      <c r="Z101" s="39"/>
    </row>
    <row r="102" spans="1:26" hidden="1" outlineLevel="1" x14ac:dyDescent="0.2">
      <c r="A102" s="172"/>
      <c r="B102" s="172"/>
      <c r="C102" s="172"/>
      <c r="L102" s="172"/>
      <c r="M102" s="39"/>
      <c r="N102" s="39"/>
      <c r="O102" s="39"/>
      <c r="P102" s="39"/>
      <c r="Q102" s="39"/>
      <c r="R102" s="39"/>
      <c r="S102" s="39"/>
      <c r="T102" s="39"/>
      <c r="U102" s="39"/>
      <c r="V102" s="39"/>
      <c r="W102" s="39"/>
      <c r="X102" s="39"/>
      <c r="Y102" s="39"/>
      <c r="Z102" s="39"/>
    </row>
    <row r="103" spans="1:26" collapsed="1" x14ac:dyDescent="0.2">
      <c r="A103" s="172"/>
      <c r="B103" s="172"/>
      <c r="C103" s="172"/>
      <c r="L103" s="172"/>
      <c r="M103" s="39"/>
      <c r="N103" s="39"/>
      <c r="O103" s="39"/>
      <c r="P103" s="39"/>
      <c r="Q103" s="39"/>
      <c r="R103" s="39"/>
      <c r="S103" s="39"/>
      <c r="T103" s="39"/>
      <c r="U103" s="39"/>
      <c r="V103" s="39"/>
      <c r="W103" s="39"/>
      <c r="X103" s="39"/>
      <c r="Y103" s="39"/>
      <c r="Z103" s="39"/>
    </row>
    <row r="104" spans="1:26" ht="15.75" x14ac:dyDescent="0.2">
      <c r="A104" s="172"/>
      <c r="B104" s="209">
        <f>IF(E108&lt;&gt;"",VLOOKUP(E108,GenderCode,2,FALSE),0)</f>
        <v>0</v>
      </c>
      <c r="C104" s="209">
        <v>6</v>
      </c>
      <c r="D104" s="72" t="str">
        <f>IF(B104=0,MsgNotUsed, CONCATENATE("Other ", C104, ": ", E106,": ", E108, " (", E111, "-", J111, ")"))</f>
        <v>** NOT USED **</v>
      </c>
      <c r="E104" s="113"/>
      <c r="F104" s="113"/>
      <c r="G104" s="113"/>
      <c r="H104" s="113"/>
      <c r="I104" s="154"/>
      <c r="J104" s="113"/>
      <c r="K104" s="113"/>
      <c r="L104" s="113"/>
      <c r="M104" s="224"/>
      <c r="N104" s="224"/>
      <c r="O104" s="224"/>
      <c r="P104" s="224"/>
      <c r="Q104" s="224"/>
      <c r="R104" s="224"/>
      <c r="S104" s="224"/>
      <c r="T104" s="224"/>
      <c r="U104" s="224"/>
      <c r="V104" s="224"/>
      <c r="W104" s="224"/>
      <c r="X104" s="224"/>
      <c r="Y104" s="224"/>
      <c r="Z104" s="224"/>
    </row>
    <row r="105" spans="1:26" hidden="1" outlineLevel="1" x14ac:dyDescent="0.2">
      <c r="A105" s="172"/>
      <c r="B105" s="172"/>
      <c r="C105" s="172"/>
      <c r="D105" s="173"/>
      <c r="E105" s="173"/>
      <c r="F105" s="173"/>
      <c r="G105" s="173"/>
      <c r="H105" s="173"/>
      <c r="I105" s="173"/>
      <c r="J105" s="173"/>
      <c r="K105" s="173"/>
      <c r="L105" s="173"/>
      <c r="M105" s="38"/>
      <c r="N105" s="38"/>
      <c r="O105" s="38"/>
      <c r="P105" s="38"/>
      <c r="Q105" s="38"/>
      <c r="R105" s="38"/>
      <c r="S105" s="38"/>
      <c r="T105" s="38"/>
      <c r="U105" s="38"/>
      <c r="V105" s="38"/>
      <c r="W105" s="38"/>
      <c r="X105" s="38"/>
      <c r="Y105" s="38"/>
      <c r="Z105" s="38"/>
    </row>
    <row r="106" spans="1:26" hidden="1" outlineLevel="1" x14ac:dyDescent="0.2">
      <c r="A106" s="172"/>
      <c r="B106" s="172"/>
      <c r="C106" s="172"/>
      <c r="D106" s="37" t="s">
        <v>270</v>
      </c>
      <c r="E106" s="669"/>
      <c r="F106" s="642"/>
      <c r="G106" s="642"/>
      <c r="H106" s="642"/>
      <c r="I106" s="642"/>
      <c r="J106" s="643"/>
      <c r="K106" s="1"/>
      <c r="L106" s="37" t="s">
        <v>249</v>
      </c>
      <c r="M106" s="669"/>
      <c r="N106" s="642"/>
      <c r="O106" s="642"/>
      <c r="P106" s="642"/>
      <c r="Q106" s="642"/>
      <c r="R106" s="643"/>
      <c r="S106" s="38"/>
      <c r="T106" s="38"/>
      <c r="U106" s="38"/>
      <c r="V106" s="38"/>
      <c r="W106" s="38"/>
      <c r="X106" s="38"/>
      <c r="Y106" s="38"/>
      <c r="Z106" s="38"/>
    </row>
    <row r="107" spans="1:26" ht="14.25" hidden="1" outlineLevel="1" x14ac:dyDescent="0.2">
      <c r="A107" s="172"/>
      <c r="B107" s="172"/>
      <c r="C107" s="172"/>
      <c r="D107" s="449"/>
      <c r="L107" s="173"/>
      <c r="M107" s="38"/>
      <c r="N107" s="38"/>
      <c r="O107" s="38"/>
      <c r="P107" s="38"/>
      <c r="Q107" s="38"/>
      <c r="R107" s="38"/>
      <c r="S107" s="38"/>
      <c r="T107" s="38"/>
      <c r="U107" s="38"/>
      <c r="V107" s="38"/>
      <c r="W107" s="38"/>
      <c r="X107" s="38"/>
      <c r="Y107" s="38"/>
      <c r="Z107" s="38"/>
    </row>
    <row r="108" spans="1:26" hidden="1" outlineLevel="1" x14ac:dyDescent="0.2">
      <c r="A108" s="172"/>
      <c r="B108" s="172"/>
      <c r="C108" s="172"/>
      <c r="D108" s="75" t="s">
        <v>51</v>
      </c>
      <c r="E108" s="70"/>
      <c r="H108" s="172"/>
      <c r="I108" s="75" t="s">
        <v>355</v>
      </c>
      <c r="J108" s="70"/>
      <c r="L108" s="173"/>
      <c r="M108" s="38"/>
      <c r="N108" s="38"/>
      <c r="O108" s="38"/>
      <c r="P108" s="38"/>
      <c r="Q108" s="38"/>
      <c r="R108" s="38"/>
      <c r="S108" s="38"/>
      <c r="T108" s="38"/>
      <c r="U108" s="38"/>
      <c r="V108" s="38"/>
      <c r="W108" s="38"/>
      <c r="X108" s="38"/>
      <c r="Y108" s="38"/>
      <c r="Z108" s="38"/>
    </row>
    <row r="109" spans="1:26" hidden="1" outlineLevel="1" x14ac:dyDescent="0.2">
      <c r="A109" s="172"/>
      <c r="B109" s="172"/>
      <c r="C109" s="172"/>
      <c r="L109" s="173"/>
      <c r="M109" s="38"/>
      <c r="N109" s="38"/>
      <c r="O109" s="38"/>
      <c r="P109" s="38"/>
      <c r="Q109" s="38"/>
      <c r="R109" s="38"/>
      <c r="S109" s="38"/>
      <c r="T109" s="38"/>
      <c r="U109" s="38"/>
      <c r="V109" s="38"/>
      <c r="W109" s="38"/>
      <c r="X109" s="38"/>
      <c r="Y109" s="38"/>
      <c r="Z109" s="38"/>
    </row>
    <row r="110" spans="1:26" hidden="1" outlineLevel="1" x14ac:dyDescent="0.2">
      <c r="A110" s="172"/>
      <c r="B110" s="172"/>
      <c r="C110" s="172"/>
      <c r="E110" s="260" t="s">
        <v>246</v>
      </c>
      <c r="L110" s="173"/>
      <c r="M110" s="38"/>
      <c r="N110" s="38"/>
      <c r="O110" s="38"/>
      <c r="P110" s="38"/>
      <c r="Q110" s="38"/>
      <c r="R110" s="38"/>
      <c r="S110" s="38"/>
      <c r="T110" s="38"/>
      <c r="U110" s="38"/>
      <c r="V110" s="38"/>
      <c r="W110" s="38"/>
      <c r="X110" s="38"/>
      <c r="Y110" s="38"/>
      <c r="Z110" s="38"/>
    </row>
    <row r="111" spans="1:26" hidden="1" outlineLevel="1" x14ac:dyDescent="0.2">
      <c r="A111" s="172"/>
      <c r="B111" s="172"/>
      <c r="C111" s="172"/>
      <c r="E111" s="71">
        <f>IF(J108&lt;&gt;"",J108,FirstYear)</f>
        <v>2026</v>
      </c>
      <c r="F111" s="74">
        <f>E111+1</f>
        <v>2027</v>
      </c>
      <c r="G111" s="74">
        <f>F111+1</f>
        <v>2028</v>
      </c>
      <c r="H111" s="74">
        <f>G111+1</f>
        <v>2029</v>
      </c>
      <c r="I111" s="74">
        <f>H111+1</f>
        <v>2030</v>
      </c>
      <c r="J111" s="74">
        <f>I111+1</f>
        <v>2031</v>
      </c>
      <c r="L111" s="173"/>
      <c r="M111" s="38"/>
      <c r="N111" s="38"/>
      <c r="O111" s="38"/>
      <c r="P111" s="38"/>
      <c r="Q111" s="38"/>
      <c r="R111" s="38"/>
      <c r="S111" s="38"/>
      <c r="T111" s="38"/>
      <c r="U111" s="38"/>
      <c r="V111" s="38"/>
      <c r="W111" s="38"/>
      <c r="X111" s="38"/>
      <c r="Y111" s="38"/>
      <c r="Z111" s="38"/>
    </row>
    <row r="112" spans="1:26" hidden="1" outlineLevel="1" x14ac:dyDescent="0.2">
      <c r="A112" s="172"/>
      <c r="B112" s="172"/>
      <c r="C112" s="172"/>
      <c r="E112" s="57">
        <f t="shared" ref="E112:J112" si="25">IF($B$104&lt;&gt;0,VLOOKUP($B$104,$C$116:$J$118,E113),0)</f>
        <v>0</v>
      </c>
      <c r="F112" s="57">
        <f t="shared" si="25"/>
        <v>0</v>
      </c>
      <c r="G112" s="57">
        <f t="shared" si="25"/>
        <v>0</v>
      </c>
      <c r="H112" s="57">
        <f t="shared" si="25"/>
        <v>0</v>
      </c>
      <c r="I112" s="57">
        <f t="shared" si="25"/>
        <v>0</v>
      </c>
      <c r="J112" s="57">
        <f t="shared" si="25"/>
        <v>0</v>
      </c>
      <c r="L112" s="173"/>
      <c r="M112" s="38"/>
      <c r="N112" s="38"/>
      <c r="O112" s="38"/>
      <c r="P112" s="38"/>
      <c r="Q112" s="38"/>
      <c r="R112" s="38"/>
      <c r="S112" s="38"/>
      <c r="T112" s="38"/>
      <c r="U112" s="38"/>
      <c r="V112" s="38"/>
      <c r="W112" s="38"/>
      <c r="X112" s="38"/>
      <c r="Y112" s="38"/>
      <c r="Z112" s="38"/>
    </row>
    <row r="113" spans="1:26" hidden="1" outlineLevel="1" x14ac:dyDescent="0.2">
      <c r="A113" s="172"/>
      <c r="B113" s="172"/>
      <c r="C113" s="172"/>
      <c r="E113" s="155">
        <v>3</v>
      </c>
      <c r="F113" s="155">
        <v>4</v>
      </c>
      <c r="G113" s="155">
        <v>5</v>
      </c>
      <c r="H113" s="155">
        <v>6</v>
      </c>
      <c r="I113" s="155">
        <v>7</v>
      </c>
      <c r="J113" s="155">
        <v>8</v>
      </c>
      <c r="L113" s="173"/>
      <c r="M113" s="38"/>
      <c r="N113" s="38"/>
      <c r="O113" s="38"/>
      <c r="P113" s="38"/>
      <c r="Q113" s="38"/>
      <c r="R113" s="38"/>
      <c r="S113" s="38"/>
      <c r="T113" s="38"/>
      <c r="U113" s="38"/>
      <c r="V113" s="38"/>
      <c r="W113" s="38"/>
      <c r="X113" s="38"/>
      <c r="Y113" s="38"/>
      <c r="Z113" s="38"/>
    </row>
    <row r="114" spans="1:26" hidden="1" outlineLevel="1" x14ac:dyDescent="0.2">
      <c r="A114" s="172"/>
      <c r="B114" s="172"/>
      <c r="C114" s="172"/>
      <c r="D114" s="26" t="s">
        <v>314</v>
      </c>
      <c r="E114" s="71">
        <f t="shared" ref="E114:J114" si="26">E111</f>
        <v>2026</v>
      </c>
      <c r="F114" s="71">
        <f t="shared" si="26"/>
        <v>2027</v>
      </c>
      <c r="G114" s="71">
        <f t="shared" si="26"/>
        <v>2028</v>
      </c>
      <c r="H114" s="71">
        <f t="shared" si="26"/>
        <v>2029</v>
      </c>
      <c r="I114" s="71">
        <f t="shared" si="26"/>
        <v>2030</v>
      </c>
      <c r="J114" s="71">
        <f t="shared" si="26"/>
        <v>2031</v>
      </c>
      <c r="L114" s="172"/>
      <c r="M114" s="39"/>
      <c r="N114" s="39"/>
      <c r="O114" s="39"/>
      <c r="P114" s="39"/>
      <c r="Q114" s="39"/>
      <c r="R114" s="39"/>
      <c r="S114" s="39"/>
      <c r="T114" s="39"/>
      <c r="U114" s="39"/>
      <c r="V114" s="39"/>
      <c r="W114" s="39"/>
      <c r="X114" s="39"/>
      <c r="Y114" s="39"/>
      <c r="Z114" s="39"/>
    </row>
    <row r="115" spans="1:26" hidden="1" outlineLevel="1" x14ac:dyDescent="0.2">
      <c r="A115" s="172"/>
      <c r="B115" s="172"/>
      <c r="D115" s="156" t="s">
        <v>231</v>
      </c>
      <c r="E115" s="57">
        <f t="shared" ref="E115:J115" si="27">IF(OR(E116="",E116=0),SUM(E117:E118),E116)</f>
        <v>0</v>
      </c>
      <c r="F115" s="57">
        <f t="shared" si="27"/>
        <v>0</v>
      </c>
      <c r="G115" s="57">
        <f t="shared" si="27"/>
        <v>0</v>
      </c>
      <c r="H115" s="57">
        <f t="shared" si="27"/>
        <v>0</v>
      </c>
      <c r="I115" s="57">
        <f t="shared" si="27"/>
        <v>0</v>
      </c>
      <c r="J115" s="57">
        <f t="shared" si="27"/>
        <v>0</v>
      </c>
      <c r="L115" s="172"/>
      <c r="M115" s="39"/>
      <c r="N115" s="39"/>
      <c r="O115" s="39"/>
      <c r="P115" s="39"/>
      <c r="Q115" s="39"/>
      <c r="R115" s="39"/>
      <c r="S115" s="39"/>
      <c r="T115" s="39"/>
      <c r="U115" s="39"/>
      <c r="V115" s="39"/>
      <c r="W115" s="39"/>
      <c r="X115" s="39"/>
      <c r="Y115" s="39"/>
      <c r="Z115" s="39"/>
    </row>
    <row r="116" spans="1:26" hidden="1" outlineLevel="1" x14ac:dyDescent="0.2">
      <c r="A116" s="172"/>
      <c r="B116" s="172"/>
      <c r="C116" s="52">
        <v>1</v>
      </c>
      <c r="D116" s="156" t="s">
        <v>356</v>
      </c>
      <c r="E116" s="294"/>
      <c r="F116" s="294"/>
      <c r="G116" s="294"/>
      <c r="H116" s="294"/>
      <c r="I116" s="294"/>
      <c r="J116" s="294"/>
      <c r="L116" s="172"/>
      <c r="M116" s="39"/>
      <c r="N116" s="39"/>
      <c r="O116" s="39"/>
      <c r="P116" s="39"/>
      <c r="Q116" s="39"/>
      <c r="R116" s="39"/>
      <c r="S116" s="39"/>
      <c r="T116" s="39"/>
      <c r="U116" s="39"/>
      <c r="V116" s="39"/>
      <c r="W116" s="39"/>
      <c r="X116" s="39"/>
      <c r="Y116" s="39"/>
      <c r="Z116" s="39"/>
    </row>
    <row r="117" spans="1:26" hidden="1" outlineLevel="1" x14ac:dyDescent="0.2">
      <c r="A117" s="172"/>
      <c r="B117" s="172"/>
      <c r="C117" s="52">
        <v>2</v>
      </c>
      <c r="D117" s="156" t="s">
        <v>234</v>
      </c>
      <c r="E117" s="294"/>
      <c r="F117" s="294"/>
      <c r="G117" s="294"/>
      <c r="H117" s="294"/>
      <c r="I117" s="294"/>
      <c r="J117" s="294"/>
      <c r="L117" s="172"/>
      <c r="M117" s="39"/>
      <c r="N117" s="39"/>
      <c r="O117" s="39"/>
      <c r="P117" s="39"/>
      <c r="Q117" s="39"/>
      <c r="R117" s="39"/>
      <c r="S117" s="39"/>
      <c r="T117" s="39"/>
      <c r="U117" s="39"/>
      <c r="V117" s="39"/>
      <c r="W117" s="39"/>
      <c r="X117" s="39"/>
      <c r="Y117" s="39"/>
      <c r="Z117" s="39"/>
    </row>
    <row r="118" spans="1:26" hidden="1" outlineLevel="1" x14ac:dyDescent="0.2">
      <c r="A118" s="172"/>
      <c r="B118" s="172"/>
      <c r="C118" s="52">
        <v>3</v>
      </c>
      <c r="D118" s="156" t="s">
        <v>235</v>
      </c>
      <c r="E118" s="42"/>
      <c r="F118" s="42"/>
      <c r="G118" s="42"/>
      <c r="H118" s="42"/>
      <c r="I118" s="42"/>
      <c r="J118" s="42"/>
      <c r="L118" s="172"/>
      <c r="M118" s="39"/>
      <c r="N118" s="39"/>
      <c r="O118" s="39"/>
      <c r="P118" s="39"/>
      <c r="Q118" s="39"/>
      <c r="R118" s="39"/>
      <c r="S118" s="39"/>
      <c r="T118" s="39"/>
      <c r="U118" s="39"/>
      <c r="V118" s="39"/>
      <c r="W118" s="39"/>
      <c r="X118" s="39"/>
      <c r="Y118" s="39"/>
      <c r="Z118" s="39"/>
    </row>
    <row r="119" spans="1:26" hidden="1" outlineLevel="1" x14ac:dyDescent="0.2">
      <c r="A119" s="172"/>
      <c r="B119" s="172"/>
      <c r="C119" s="172"/>
      <c r="L119" s="172"/>
      <c r="M119" s="39"/>
      <c r="N119" s="39"/>
      <c r="O119" s="39"/>
      <c r="P119" s="39"/>
      <c r="Q119" s="39"/>
      <c r="R119" s="39"/>
      <c r="S119" s="39"/>
      <c r="T119" s="39"/>
      <c r="U119" s="39"/>
      <c r="V119" s="39"/>
      <c r="W119" s="39"/>
      <c r="X119" s="39"/>
      <c r="Y119" s="39"/>
      <c r="Z119" s="39"/>
    </row>
    <row r="120" spans="1:26" collapsed="1" x14ac:dyDescent="0.2">
      <c r="A120" s="172"/>
      <c r="B120" s="172"/>
      <c r="C120" s="172"/>
      <c r="L120" s="172"/>
      <c r="M120" s="39"/>
      <c r="N120" s="39"/>
      <c r="O120" s="39"/>
      <c r="P120" s="39"/>
      <c r="Q120" s="39"/>
      <c r="R120" s="39"/>
      <c r="S120" s="39"/>
      <c r="T120" s="39"/>
      <c r="U120" s="39"/>
      <c r="V120" s="39"/>
      <c r="W120" s="39"/>
      <c r="X120" s="39"/>
      <c r="Y120" s="39"/>
      <c r="Z120" s="39"/>
    </row>
    <row r="121" spans="1:26" ht="15.75" x14ac:dyDescent="0.2">
      <c r="A121" s="172"/>
      <c r="B121" s="209">
        <f>IF(E125&lt;&gt;"",VLOOKUP(E125,GenderCode,2,FALSE),0)</f>
        <v>0</v>
      </c>
      <c r="C121" s="209">
        <v>7</v>
      </c>
      <c r="D121" s="72" t="str">
        <f>IF(B121=0,MsgNotUsed, CONCATENATE("Other ", C121, ": ", E123,": ", E125, " (", E128, "-", J128, ")"))</f>
        <v>** NOT USED **</v>
      </c>
      <c r="E121" s="113"/>
      <c r="F121" s="113"/>
      <c r="G121" s="113"/>
      <c r="H121" s="113"/>
      <c r="I121" s="154"/>
      <c r="J121" s="113"/>
      <c r="K121" s="113"/>
      <c r="L121" s="113"/>
      <c r="M121" s="224"/>
      <c r="N121" s="224"/>
      <c r="O121" s="224"/>
      <c r="P121" s="224"/>
      <c r="Q121" s="224"/>
      <c r="R121" s="224"/>
      <c r="S121" s="224"/>
      <c r="T121" s="224"/>
      <c r="U121" s="224"/>
      <c r="V121" s="224"/>
      <c r="W121" s="224"/>
      <c r="X121" s="224"/>
      <c r="Y121" s="224"/>
      <c r="Z121" s="224"/>
    </row>
    <row r="122" spans="1:26" hidden="1" outlineLevel="1" x14ac:dyDescent="0.2">
      <c r="A122" s="172"/>
      <c r="B122" s="172"/>
      <c r="C122" s="172"/>
      <c r="D122" s="173"/>
      <c r="E122" s="173"/>
      <c r="F122" s="173"/>
      <c r="G122" s="173"/>
      <c r="H122" s="173"/>
      <c r="I122" s="173"/>
      <c r="J122" s="173"/>
      <c r="K122" s="173"/>
      <c r="L122" s="173"/>
      <c r="M122" s="38"/>
      <c r="N122" s="38"/>
      <c r="O122" s="38"/>
      <c r="P122" s="38"/>
      <c r="Q122" s="38"/>
      <c r="R122" s="38"/>
      <c r="S122" s="38"/>
      <c r="T122" s="38"/>
      <c r="U122" s="38"/>
      <c r="V122" s="38"/>
      <c r="W122" s="38"/>
      <c r="X122" s="38"/>
      <c r="Y122" s="38"/>
      <c r="Z122" s="38"/>
    </row>
    <row r="123" spans="1:26" hidden="1" outlineLevel="1" x14ac:dyDescent="0.2">
      <c r="A123" s="172"/>
      <c r="B123" s="172"/>
      <c r="C123" s="172"/>
      <c r="D123" s="37" t="s">
        <v>270</v>
      </c>
      <c r="E123" s="669"/>
      <c r="F123" s="642"/>
      <c r="G123" s="642"/>
      <c r="H123" s="642"/>
      <c r="I123" s="642"/>
      <c r="J123" s="643"/>
      <c r="K123" s="1"/>
      <c r="L123" s="37" t="s">
        <v>249</v>
      </c>
      <c r="M123" s="669"/>
      <c r="N123" s="642"/>
      <c r="O123" s="642"/>
      <c r="P123" s="642"/>
      <c r="Q123" s="642"/>
      <c r="R123" s="643"/>
      <c r="S123" s="38"/>
      <c r="T123" s="38"/>
      <c r="U123" s="38"/>
      <c r="V123" s="38"/>
      <c r="W123" s="38"/>
      <c r="X123" s="38"/>
      <c r="Y123" s="38"/>
      <c r="Z123" s="38"/>
    </row>
    <row r="124" spans="1:26" ht="14.25" hidden="1" outlineLevel="1" x14ac:dyDescent="0.2">
      <c r="A124" s="172"/>
      <c r="B124" s="172"/>
      <c r="C124" s="172"/>
      <c r="D124" s="449"/>
      <c r="L124" s="173"/>
      <c r="M124" s="38"/>
      <c r="N124" s="38"/>
      <c r="O124" s="38"/>
      <c r="P124" s="38"/>
      <c r="Q124" s="38"/>
      <c r="R124" s="38"/>
      <c r="S124" s="38"/>
      <c r="T124" s="38"/>
      <c r="U124" s="38"/>
      <c r="V124" s="38"/>
      <c r="W124" s="38"/>
      <c r="X124" s="38"/>
      <c r="Y124" s="38"/>
      <c r="Z124" s="38"/>
    </row>
    <row r="125" spans="1:26" hidden="1" outlineLevel="1" x14ac:dyDescent="0.2">
      <c r="A125" s="172"/>
      <c r="B125" s="172"/>
      <c r="C125" s="172"/>
      <c r="D125" s="75" t="s">
        <v>51</v>
      </c>
      <c r="E125" s="70"/>
      <c r="H125" s="172"/>
      <c r="I125" s="75" t="s">
        <v>355</v>
      </c>
      <c r="J125" s="70"/>
      <c r="L125" s="173"/>
      <c r="M125" s="38"/>
      <c r="N125" s="38"/>
      <c r="O125" s="38"/>
      <c r="P125" s="38"/>
      <c r="Q125" s="38"/>
      <c r="R125" s="38"/>
      <c r="S125" s="38"/>
      <c r="T125" s="38"/>
      <c r="U125" s="38"/>
      <c r="V125" s="38"/>
      <c r="W125" s="38"/>
      <c r="X125" s="38"/>
      <c r="Y125" s="38"/>
      <c r="Z125" s="38"/>
    </row>
    <row r="126" spans="1:26" hidden="1" outlineLevel="1" x14ac:dyDescent="0.2">
      <c r="A126" s="172"/>
      <c r="B126" s="172"/>
      <c r="C126" s="172"/>
      <c r="L126" s="173"/>
      <c r="M126" s="38"/>
      <c r="N126" s="38"/>
      <c r="O126" s="38"/>
      <c r="P126" s="38"/>
      <c r="Q126" s="38"/>
      <c r="R126" s="38"/>
      <c r="S126" s="38"/>
      <c r="T126" s="38"/>
      <c r="U126" s="38"/>
      <c r="V126" s="38"/>
      <c r="W126" s="38"/>
      <c r="X126" s="38"/>
      <c r="Y126" s="38"/>
      <c r="Z126" s="38"/>
    </row>
    <row r="127" spans="1:26" hidden="1" outlineLevel="1" x14ac:dyDescent="0.2">
      <c r="A127" s="172"/>
      <c r="B127" s="172"/>
      <c r="C127" s="172"/>
      <c r="E127" s="260" t="s">
        <v>246</v>
      </c>
      <c r="L127" s="173"/>
      <c r="M127" s="38"/>
      <c r="N127" s="38"/>
      <c r="O127" s="38"/>
      <c r="P127" s="38"/>
      <c r="Q127" s="38"/>
      <c r="R127" s="38"/>
      <c r="S127" s="38"/>
      <c r="T127" s="38"/>
      <c r="U127" s="38"/>
      <c r="V127" s="38"/>
      <c r="W127" s="38"/>
      <c r="X127" s="38"/>
      <c r="Y127" s="38"/>
      <c r="Z127" s="38"/>
    </row>
    <row r="128" spans="1:26" hidden="1" outlineLevel="1" x14ac:dyDescent="0.2">
      <c r="A128" s="172"/>
      <c r="B128" s="172"/>
      <c r="C128" s="172"/>
      <c r="E128" s="71">
        <f>IF(J125&lt;&gt;"",J125,FirstYear)</f>
        <v>2026</v>
      </c>
      <c r="F128" s="74">
        <f>E128+1</f>
        <v>2027</v>
      </c>
      <c r="G128" s="74">
        <f>F128+1</f>
        <v>2028</v>
      </c>
      <c r="H128" s="74">
        <f>G128+1</f>
        <v>2029</v>
      </c>
      <c r="I128" s="74">
        <f>H128+1</f>
        <v>2030</v>
      </c>
      <c r="J128" s="74">
        <f>I128+1</f>
        <v>2031</v>
      </c>
      <c r="L128" s="173"/>
      <c r="M128" s="38"/>
      <c r="N128" s="38"/>
      <c r="O128" s="38"/>
      <c r="P128" s="38"/>
      <c r="Q128" s="38"/>
      <c r="R128" s="38"/>
      <c r="S128" s="38"/>
      <c r="T128" s="38"/>
      <c r="U128" s="38"/>
      <c r="V128" s="38"/>
      <c r="W128" s="38"/>
      <c r="X128" s="38"/>
      <c r="Y128" s="38"/>
      <c r="Z128" s="38"/>
    </row>
    <row r="129" spans="1:26" hidden="1" outlineLevel="1" x14ac:dyDescent="0.2">
      <c r="A129" s="172"/>
      <c r="B129" s="172"/>
      <c r="C129" s="172"/>
      <c r="E129" s="57">
        <f t="shared" ref="E129:J129" si="28">IF($B$121&lt;&gt;0,VLOOKUP($B$121,$C$133:$J$135,E130),0)</f>
        <v>0</v>
      </c>
      <c r="F129" s="57">
        <f t="shared" si="28"/>
        <v>0</v>
      </c>
      <c r="G129" s="57">
        <f t="shared" si="28"/>
        <v>0</v>
      </c>
      <c r="H129" s="57">
        <f t="shared" si="28"/>
        <v>0</v>
      </c>
      <c r="I129" s="57">
        <f t="shared" si="28"/>
        <v>0</v>
      </c>
      <c r="J129" s="57">
        <f t="shared" si="28"/>
        <v>0</v>
      </c>
      <c r="L129" s="173"/>
      <c r="M129" s="38"/>
      <c r="N129" s="38"/>
      <c r="O129" s="38"/>
      <c r="P129" s="38"/>
      <c r="Q129" s="38"/>
      <c r="R129" s="38"/>
      <c r="S129" s="38"/>
      <c r="T129" s="38"/>
      <c r="U129" s="38"/>
      <c r="V129" s="38"/>
      <c r="W129" s="38"/>
      <c r="X129" s="38"/>
      <c r="Y129" s="38"/>
      <c r="Z129" s="38"/>
    </row>
    <row r="130" spans="1:26" hidden="1" outlineLevel="1" x14ac:dyDescent="0.2">
      <c r="A130" s="172"/>
      <c r="B130" s="172"/>
      <c r="C130" s="172"/>
      <c r="E130" s="155">
        <v>3</v>
      </c>
      <c r="F130" s="155">
        <v>4</v>
      </c>
      <c r="G130" s="155">
        <v>5</v>
      </c>
      <c r="H130" s="155">
        <v>6</v>
      </c>
      <c r="I130" s="155">
        <v>7</v>
      </c>
      <c r="J130" s="155">
        <v>8</v>
      </c>
      <c r="L130" s="173"/>
      <c r="M130" s="38"/>
      <c r="N130" s="38"/>
      <c r="O130" s="38"/>
      <c r="P130" s="38"/>
      <c r="Q130" s="38"/>
      <c r="R130" s="38"/>
      <c r="S130" s="38"/>
      <c r="T130" s="38"/>
      <c r="U130" s="38"/>
      <c r="V130" s="38"/>
      <c r="W130" s="38"/>
      <c r="X130" s="38"/>
      <c r="Y130" s="38"/>
      <c r="Z130" s="38"/>
    </row>
    <row r="131" spans="1:26" hidden="1" outlineLevel="1" x14ac:dyDescent="0.2">
      <c r="A131" s="172"/>
      <c r="B131" s="172"/>
      <c r="C131" s="172"/>
      <c r="D131" s="26" t="s">
        <v>314</v>
      </c>
      <c r="E131" s="71">
        <f t="shared" ref="E131:J131" si="29">E128</f>
        <v>2026</v>
      </c>
      <c r="F131" s="71">
        <f t="shared" si="29"/>
        <v>2027</v>
      </c>
      <c r="G131" s="71">
        <f t="shared" si="29"/>
        <v>2028</v>
      </c>
      <c r="H131" s="71">
        <f t="shared" si="29"/>
        <v>2029</v>
      </c>
      <c r="I131" s="71">
        <f t="shared" si="29"/>
        <v>2030</v>
      </c>
      <c r="J131" s="71">
        <f t="shared" si="29"/>
        <v>2031</v>
      </c>
      <c r="L131" s="172"/>
      <c r="M131" s="39"/>
      <c r="N131" s="39"/>
      <c r="O131" s="39"/>
      <c r="P131" s="39"/>
      <c r="Q131" s="39"/>
      <c r="R131" s="39"/>
      <c r="S131" s="39"/>
      <c r="T131" s="39"/>
      <c r="U131" s="39"/>
      <c r="V131" s="39"/>
      <c r="W131" s="39"/>
      <c r="X131" s="39"/>
      <c r="Y131" s="39"/>
      <c r="Z131" s="39"/>
    </row>
    <row r="132" spans="1:26" hidden="1" outlineLevel="1" x14ac:dyDescent="0.2">
      <c r="A132" s="172"/>
      <c r="B132" s="172"/>
      <c r="D132" s="156" t="s">
        <v>231</v>
      </c>
      <c r="E132" s="57">
        <f t="shared" ref="E132:J132" si="30">IF(OR(E133="",E133=0),SUM(E134:E135),E133)</f>
        <v>0</v>
      </c>
      <c r="F132" s="57">
        <f t="shared" si="30"/>
        <v>0</v>
      </c>
      <c r="G132" s="57">
        <f t="shared" si="30"/>
        <v>0</v>
      </c>
      <c r="H132" s="57">
        <f t="shared" si="30"/>
        <v>0</v>
      </c>
      <c r="I132" s="57">
        <f t="shared" si="30"/>
        <v>0</v>
      </c>
      <c r="J132" s="57">
        <f t="shared" si="30"/>
        <v>0</v>
      </c>
      <c r="L132" s="172"/>
      <c r="M132" s="39"/>
      <c r="N132" s="39"/>
      <c r="O132" s="39"/>
      <c r="P132" s="39"/>
      <c r="Q132" s="39"/>
      <c r="R132" s="39"/>
      <c r="S132" s="39"/>
      <c r="T132" s="39"/>
      <c r="U132" s="39"/>
      <c r="V132" s="39"/>
      <c r="W132" s="39"/>
      <c r="X132" s="39"/>
      <c r="Y132" s="39"/>
      <c r="Z132" s="39"/>
    </row>
    <row r="133" spans="1:26" hidden="1" outlineLevel="1" x14ac:dyDescent="0.2">
      <c r="A133" s="172"/>
      <c r="B133" s="172"/>
      <c r="C133" s="52">
        <v>1</v>
      </c>
      <c r="D133" s="156" t="s">
        <v>356</v>
      </c>
      <c r="E133" s="294"/>
      <c r="F133" s="294"/>
      <c r="G133" s="294"/>
      <c r="H133" s="294"/>
      <c r="I133" s="294"/>
      <c r="J133" s="294"/>
      <c r="L133" s="172"/>
      <c r="M133" s="39"/>
      <c r="N133" s="39"/>
      <c r="O133" s="39"/>
      <c r="P133" s="39"/>
      <c r="Q133" s="39"/>
      <c r="R133" s="39"/>
      <c r="S133" s="39"/>
      <c r="T133" s="39"/>
      <c r="U133" s="39"/>
      <c r="V133" s="39"/>
      <c r="W133" s="39"/>
      <c r="X133" s="39"/>
      <c r="Y133" s="39"/>
      <c r="Z133" s="39"/>
    </row>
    <row r="134" spans="1:26" hidden="1" outlineLevel="1" x14ac:dyDescent="0.2">
      <c r="A134" s="172"/>
      <c r="B134" s="172"/>
      <c r="C134" s="52">
        <v>2</v>
      </c>
      <c r="D134" s="156" t="s">
        <v>234</v>
      </c>
      <c r="E134" s="294"/>
      <c r="F134" s="294"/>
      <c r="G134" s="294"/>
      <c r="H134" s="294"/>
      <c r="I134" s="294"/>
      <c r="J134" s="294"/>
      <c r="L134" s="172"/>
      <c r="M134" s="39"/>
      <c r="N134" s="39"/>
      <c r="O134" s="39"/>
      <c r="P134" s="39"/>
      <c r="Q134" s="39"/>
      <c r="R134" s="39"/>
      <c r="S134" s="39"/>
      <c r="T134" s="39"/>
      <c r="U134" s="39"/>
      <c r="V134" s="39"/>
      <c r="W134" s="39"/>
      <c r="X134" s="39"/>
      <c r="Y134" s="39"/>
      <c r="Z134" s="39"/>
    </row>
    <row r="135" spans="1:26" hidden="1" outlineLevel="1" x14ac:dyDescent="0.2">
      <c r="A135" s="172"/>
      <c r="B135" s="172"/>
      <c r="C135" s="52">
        <v>3</v>
      </c>
      <c r="D135" s="156" t="s">
        <v>235</v>
      </c>
      <c r="E135" s="42"/>
      <c r="F135" s="42"/>
      <c r="G135" s="42"/>
      <c r="H135" s="42"/>
      <c r="I135" s="42"/>
      <c r="J135" s="42"/>
      <c r="L135" s="172"/>
      <c r="M135" s="39"/>
      <c r="N135" s="39"/>
      <c r="O135" s="39"/>
      <c r="P135" s="39"/>
      <c r="Q135" s="39"/>
      <c r="R135" s="39"/>
      <c r="S135" s="39"/>
      <c r="T135" s="39"/>
      <c r="U135" s="39"/>
      <c r="V135" s="39"/>
      <c r="W135" s="39"/>
      <c r="X135" s="39"/>
      <c r="Y135" s="39"/>
      <c r="Z135" s="39"/>
    </row>
    <row r="136" spans="1:26" hidden="1" outlineLevel="1" x14ac:dyDescent="0.2">
      <c r="A136" s="172"/>
      <c r="B136" s="172"/>
      <c r="C136" s="172"/>
      <c r="L136" s="172"/>
      <c r="M136" s="39"/>
      <c r="N136" s="39"/>
      <c r="O136" s="39"/>
      <c r="P136" s="39"/>
      <c r="Q136" s="39"/>
      <c r="R136" s="39"/>
      <c r="S136" s="39"/>
      <c r="T136" s="39"/>
      <c r="U136" s="39"/>
      <c r="V136" s="39"/>
      <c r="W136" s="39"/>
      <c r="X136" s="39"/>
      <c r="Y136" s="39"/>
      <c r="Z136" s="39"/>
    </row>
    <row r="137" spans="1:26" collapsed="1" x14ac:dyDescent="0.2">
      <c r="A137" s="172"/>
      <c r="B137" s="172"/>
      <c r="C137" s="172"/>
      <c r="L137" s="172"/>
      <c r="M137" s="39"/>
      <c r="N137" s="39"/>
      <c r="O137" s="39"/>
      <c r="P137" s="39"/>
      <c r="Q137" s="39"/>
      <c r="R137" s="39"/>
      <c r="S137" s="39"/>
      <c r="T137" s="39"/>
      <c r="U137" s="39"/>
      <c r="V137" s="39"/>
      <c r="W137" s="39"/>
      <c r="X137" s="39"/>
      <c r="Y137" s="39"/>
      <c r="Z137" s="39"/>
    </row>
    <row r="138" spans="1:26" ht="15.75" x14ac:dyDescent="0.2">
      <c r="A138" s="172"/>
      <c r="B138" s="209">
        <f>IF(E142&lt;&gt;"",VLOOKUP(E142,GenderCode,2,FALSE),0)</f>
        <v>0</v>
      </c>
      <c r="C138" s="209">
        <v>8</v>
      </c>
      <c r="D138" s="72" t="str">
        <f>IF(B138=0,MsgNotUsed, CONCATENATE("Other ", C138, ": ", E140,": ", E142, " (", E145, "-", J145, ")"))</f>
        <v>** NOT USED **</v>
      </c>
      <c r="E138" s="113"/>
      <c r="F138" s="113"/>
      <c r="G138" s="113"/>
      <c r="H138" s="113"/>
      <c r="I138" s="154"/>
      <c r="J138" s="113"/>
      <c r="K138" s="113"/>
      <c r="L138" s="113"/>
      <c r="M138" s="224"/>
      <c r="N138" s="224"/>
      <c r="O138" s="224"/>
      <c r="P138" s="224"/>
      <c r="Q138" s="224"/>
      <c r="R138" s="224"/>
      <c r="S138" s="224"/>
      <c r="T138" s="224"/>
      <c r="U138" s="224"/>
      <c r="V138" s="224"/>
      <c r="W138" s="224"/>
      <c r="X138" s="224"/>
      <c r="Y138" s="224"/>
      <c r="Z138" s="224"/>
    </row>
    <row r="139" spans="1:26" hidden="1" outlineLevel="1" x14ac:dyDescent="0.2">
      <c r="A139" s="172"/>
      <c r="B139" s="172"/>
      <c r="C139" s="172"/>
      <c r="D139" s="173"/>
      <c r="E139" s="173"/>
      <c r="F139" s="173"/>
      <c r="G139" s="173"/>
      <c r="H139" s="173"/>
      <c r="I139" s="173"/>
      <c r="J139" s="173"/>
      <c r="K139" s="173"/>
      <c r="L139" s="173"/>
      <c r="M139" s="38"/>
      <c r="N139" s="38"/>
      <c r="O139" s="38"/>
      <c r="P139" s="38"/>
      <c r="Q139" s="38"/>
      <c r="R139" s="38"/>
      <c r="S139" s="38"/>
      <c r="T139" s="38"/>
      <c r="U139" s="38"/>
      <c r="V139" s="38"/>
      <c r="W139" s="38"/>
      <c r="X139" s="38"/>
      <c r="Y139" s="38"/>
      <c r="Z139" s="38"/>
    </row>
    <row r="140" spans="1:26" hidden="1" outlineLevel="1" x14ac:dyDescent="0.2">
      <c r="A140" s="172"/>
      <c r="B140" s="172"/>
      <c r="C140" s="172"/>
      <c r="D140" s="37" t="s">
        <v>270</v>
      </c>
      <c r="E140" s="669"/>
      <c r="F140" s="642"/>
      <c r="G140" s="642"/>
      <c r="H140" s="642"/>
      <c r="I140" s="642"/>
      <c r="J140" s="643"/>
      <c r="K140" s="1"/>
      <c r="L140" s="37" t="s">
        <v>249</v>
      </c>
      <c r="M140" s="669"/>
      <c r="N140" s="642"/>
      <c r="O140" s="642"/>
      <c r="P140" s="642"/>
      <c r="Q140" s="642"/>
      <c r="R140" s="643"/>
      <c r="S140" s="38"/>
      <c r="T140" s="38"/>
      <c r="U140" s="38"/>
      <c r="V140" s="38"/>
      <c r="W140" s="38"/>
      <c r="X140" s="38"/>
      <c r="Y140" s="38"/>
      <c r="Z140" s="38"/>
    </row>
    <row r="141" spans="1:26" ht="14.25" hidden="1" outlineLevel="1" x14ac:dyDescent="0.2">
      <c r="A141" s="172"/>
      <c r="B141" s="172"/>
      <c r="C141" s="172"/>
      <c r="D141" s="449"/>
      <c r="L141" s="173"/>
      <c r="M141" s="38"/>
      <c r="N141" s="38"/>
      <c r="O141" s="38"/>
      <c r="P141" s="38"/>
      <c r="Q141" s="38"/>
      <c r="R141" s="38"/>
      <c r="S141" s="38"/>
      <c r="T141" s="38"/>
      <c r="U141" s="38"/>
      <c r="V141" s="38"/>
      <c r="W141" s="38"/>
      <c r="X141" s="38"/>
      <c r="Y141" s="38"/>
      <c r="Z141" s="38"/>
    </row>
    <row r="142" spans="1:26" hidden="1" outlineLevel="1" x14ac:dyDescent="0.2">
      <c r="A142" s="172"/>
      <c r="B142" s="172"/>
      <c r="C142" s="172"/>
      <c r="D142" s="75" t="s">
        <v>51</v>
      </c>
      <c r="E142" s="70"/>
      <c r="H142" s="172"/>
      <c r="I142" s="75" t="s">
        <v>355</v>
      </c>
      <c r="J142" s="70"/>
      <c r="L142" s="173"/>
      <c r="M142" s="38"/>
      <c r="N142" s="38"/>
      <c r="O142" s="38"/>
      <c r="P142" s="38"/>
      <c r="Q142" s="38"/>
      <c r="R142" s="38"/>
      <c r="S142" s="38"/>
      <c r="T142" s="38"/>
      <c r="U142" s="38"/>
      <c r="V142" s="38"/>
      <c r="W142" s="38"/>
      <c r="X142" s="38"/>
      <c r="Y142" s="38"/>
      <c r="Z142" s="38"/>
    </row>
    <row r="143" spans="1:26" hidden="1" outlineLevel="1" x14ac:dyDescent="0.2">
      <c r="A143" s="172"/>
      <c r="B143" s="172"/>
      <c r="C143" s="172"/>
      <c r="L143" s="173"/>
      <c r="M143" s="38"/>
      <c r="N143" s="38"/>
      <c r="O143" s="38"/>
      <c r="P143" s="38"/>
      <c r="Q143" s="38"/>
      <c r="R143" s="38"/>
      <c r="S143" s="38"/>
      <c r="T143" s="38"/>
      <c r="U143" s="38"/>
      <c r="V143" s="38"/>
      <c r="W143" s="38"/>
      <c r="X143" s="38"/>
      <c r="Y143" s="38"/>
      <c r="Z143" s="38"/>
    </row>
    <row r="144" spans="1:26" hidden="1" outlineLevel="1" x14ac:dyDescent="0.2">
      <c r="A144" s="172"/>
      <c r="B144" s="172"/>
      <c r="C144" s="172"/>
      <c r="E144" s="260" t="s">
        <v>246</v>
      </c>
      <c r="L144" s="173"/>
      <c r="M144" s="38"/>
      <c r="N144" s="38"/>
      <c r="O144" s="38"/>
      <c r="P144" s="38"/>
      <c r="Q144" s="38"/>
      <c r="R144" s="38"/>
      <c r="S144" s="38"/>
      <c r="T144" s="38"/>
      <c r="U144" s="38"/>
      <c r="V144" s="38"/>
      <c r="W144" s="38"/>
      <c r="X144" s="38"/>
      <c r="Y144" s="38"/>
      <c r="Z144" s="38"/>
    </row>
    <row r="145" spans="1:26" hidden="1" outlineLevel="1" x14ac:dyDescent="0.2">
      <c r="A145" s="172"/>
      <c r="B145" s="172"/>
      <c r="C145" s="172"/>
      <c r="E145" s="71">
        <f>IF(J142&lt;&gt;"",J142,FirstYear)</f>
        <v>2026</v>
      </c>
      <c r="F145" s="74">
        <f>E145+1</f>
        <v>2027</v>
      </c>
      <c r="G145" s="74">
        <f>F145+1</f>
        <v>2028</v>
      </c>
      <c r="H145" s="74">
        <f>G145+1</f>
        <v>2029</v>
      </c>
      <c r="I145" s="74">
        <f>H145+1</f>
        <v>2030</v>
      </c>
      <c r="J145" s="74">
        <f>I145+1</f>
        <v>2031</v>
      </c>
      <c r="L145" s="173"/>
      <c r="M145" s="38"/>
      <c r="N145" s="38"/>
      <c r="O145" s="38"/>
      <c r="P145" s="38"/>
      <c r="Q145" s="38"/>
      <c r="R145" s="38"/>
      <c r="S145" s="38"/>
      <c r="T145" s="38"/>
      <c r="U145" s="38"/>
      <c r="V145" s="38"/>
      <c r="W145" s="38"/>
      <c r="X145" s="38"/>
      <c r="Y145" s="38"/>
      <c r="Z145" s="38"/>
    </row>
    <row r="146" spans="1:26" hidden="1" outlineLevel="1" x14ac:dyDescent="0.2">
      <c r="A146" s="172"/>
      <c r="B146" s="172"/>
      <c r="C146" s="172"/>
      <c r="E146" s="57">
        <f t="shared" ref="E146:J146" si="31">IF($B$138&lt;&gt;0,VLOOKUP($B$138,$C$150:$J$152,E147),0)</f>
        <v>0</v>
      </c>
      <c r="F146" s="57">
        <f t="shared" si="31"/>
        <v>0</v>
      </c>
      <c r="G146" s="57">
        <f t="shared" si="31"/>
        <v>0</v>
      </c>
      <c r="H146" s="57">
        <f t="shared" si="31"/>
        <v>0</v>
      </c>
      <c r="I146" s="57">
        <f t="shared" si="31"/>
        <v>0</v>
      </c>
      <c r="J146" s="57">
        <f t="shared" si="31"/>
        <v>0</v>
      </c>
      <c r="L146" s="173"/>
      <c r="M146" s="38"/>
      <c r="N146" s="38"/>
      <c r="O146" s="38"/>
      <c r="P146" s="38"/>
      <c r="Q146" s="38"/>
      <c r="R146" s="38"/>
      <c r="S146" s="38"/>
      <c r="T146" s="38"/>
      <c r="U146" s="38"/>
      <c r="V146" s="38"/>
      <c r="W146" s="38"/>
      <c r="X146" s="38"/>
      <c r="Y146" s="38"/>
      <c r="Z146" s="38"/>
    </row>
    <row r="147" spans="1:26" hidden="1" outlineLevel="1" x14ac:dyDescent="0.2">
      <c r="A147" s="172"/>
      <c r="B147" s="172"/>
      <c r="C147" s="172"/>
      <c r="E147" s="155">
        <v>3</v>
      </c>
      <c r="F147" s="155">
        <v>4</v>
      </c>
      <c r="G147" s="155">
        <v>5</v>
      </c>
      <c r="H147" s="155">
        <v>6</v>
      </c>
      <c r="I147" s="155">
        <v>7</v>
      </c>
      <c r="J147" s="155">
        <v>8</v>
      </c>
      <c r="L147" s="173"/>
      <c r="M147" s="38"/>
      <c r="N147" s="38"/>
      <c r="O147" s="38"/>
      <c r="P147" s="38"/>
      <c r="Q147" s="38"/>
      <c r="R147" s="38"/>
      <c r="S147" s="38"/>
      <c r="T147" s="38"/>
      <c r="U147" s="38"/>
      <c r="V147" s="38"/>
      <c r="W147" s="38"/>
      <c r="X147" s="38"/>
      <c r="Y147" s="38"/>
      <c r="Z147" s="38"/>
    </row>
    <row r="148" spans="1:26" hidden="1" outlineLevel="1" x14ac:dyDescent="0.2">
      <c r="A148" s="172"/>
      <c r="B148" s="172"/>
      <c r="C148" s="172"/>
      <c r="D148" s="26" t="s">
        <v>314</v>
      </c>
      <c r="E148" s="71">
        <f t="shared" ref="E148:J148" si="32">E145</f>
        <v>2026</v>
      </c>
      <c r="F148" s="71">
        <f t="shared" si="32"/>
        <v>2027</v>
      </c>
      <c r="G148" s="71">
        <f t="shared" si="32"/>
        <v>2028</v>
      </c>
      <c r="H148" s="71">
        <f t="shared" si="32"/>
        <v>2029</v>
      </c>
      <c r="I148" s="71">
        <f t="shared" si="32"/>
        <v>2030</v>
      </c>
      <c r="J148" s="71">
        <f t="shared" si="32"/>
        <v>2031</v>
      </c>
      <c r="L148" s="172"/>
      <c r="M148" s="39"/>
      <c r="N148" s="39"/>
      <c r="O148" s="39"/>
      <c r="P148" s="39"/>
      <c r="Q148" s="39"/>
      <c r="R148" s="39"/>
      <c r="S148" s="39"/>
      <c r="T148" s="39"/>
      <c r="U148" s="39"/>
      <c r="V148" s="39"/>
      <c r="W148" s="39"/>
      <c r="X148" s="39"/>
      <c r="Y148" s="39"/>
      <c r="Z148" s="39"/>
    </row>
    <row r="149" spans="1:26" hidden="1" outlineLevel="1" x14ac:dyDescent="0.2">
      <c r="A149" s="172"/>
      <c r="B149" s="172"/>
      <c r="D149" s="156" t="s">
        <v>231</v>
      </c>
      <c r="E149" s="57">
        <f t="shared" ref="E149:J149" si="33">IF(OR(E150="",E150=0),SUM(E151:E152),E150)</f>
        <v>0</v>
      </c>
      <c r="F149" s="57">
        <f t="shared" si="33"/>
        <v>0</v>
      </c>
      <c r="G149" s="57">
        <f t="shared" si="33"/>
        <v>0</v>
      </c>
      <c r="H149" s="57">
        <f t="shared" si="33"/>
        <v>0</v>
      </c>
      <c r="I149" s="57">
        <f t="shared" si="33"/>
        <v>0</v>
      </c>
      <c r="J149" s="57">
        <f t="shared" si="33"/>
        <v>0</v>
      </c>
      <c r="L149" s="172"/>
      <c r="M149" s="39"/>
      <c r="N149" s="39"/>
      <c r="O149" s="39"/>
      <c r="P149" s="39"/>
      <c r="Q149" s="39"/>
      <c r="R149" s="39"/>
      <c r="S149" s="39"/>
      <c r="T149" s="39"/>
      <c r="U149" s="39"/>
      <c r="V149" s="39"/>
      <c r="W149" s="39"/>
      <c r="X149" s="39"/>
      <c r="Y149" s="39"/>
      <c r="Z149" s="39"/>
    </row>
    <row r="150" spans="1:26" hidden="1" outlineLevel="1" x14ac:dyDescent="0.2">
      <c r="A150" s="172"/>
      <c r="B150" s="172"/>
      <c r="C150" s="52">
        <v>1</v>
      </c>
      <c r="D150" s="156" t="s">
        <v>356</v>
      </c>
      <c r="E150" s="294"/>
      <c r="F150" s="294"/>
      <c r="G150" s="294"/>
      <c r="H150" s="294"/>
      <c r="I150" s="294"/>
      <c r="J150" s="294"/>
      <c r="L150" s="172"/>
      <c r="M150" s="39"/>
      <c r="N150" s="39"/>
      <c r="O150" s="39"/>
      <c r="P150" s="39"/>
      <c r="Q150" s="39"/>
      <c r="R150" s="39"/>
      <c r="S150" s="39"/>
      <c r="T150" s="39"/>
      <c r="U150" s="39"/>
      <c r="V150" s="39"/>
      <c r="W150" s="39"/>
      <c r="X150" s="39"/>
      <c r="Y150" s="39"/>
      <c r="Z150" s="39"/>
    </row>
    <row r="151" spans="1:26" hidden="1" outlineLevel="1" x14ac:dyDescent="0.2">
      <c r="A151" s="172"/>
      <c r="B151" s="172"/>
      <c r="C151" s="52">
        <v>2</v>
      </c>
      <c r="D151" s="156" t="s">
        <v>234</v>
      </c>
      <c r="E151" s="294"/>
      <c r="F151" s="294"/>
      <c r="G151" s="294"/>
      <c r="H151" s="294"/>
      <c r="I151" s="294"/>
      <c r="J151" s="294"/>
      <c r="L151" s="172"/>
      <c r="M151" s="39"/>
      <c r="N151" s="39"/>
      <c r="O151" s="39"/>
      <c r="P151" s="39"/>
      <c r="Q151" s="39"/>
      <c r="R151" s="39"/>
      <c r="S151" s="39"/>
      <c r="T151" s="39"/>
      <c r="U151" s="39"/>
      <c r="V151" s="39"/>
      <c r="W151" s="39"/>
      <c r="X151" s="39"/>
      <c r="Y151" s="39"/>
      <c r="Z151" s="39"/>
    </row>
    <row r="152" spans="1:26" hidden="1" outlineLevel="1" x14ac:dyDescent="0.2">
      <c r="A152" s="172"/>
      <c r="B152" s="172"/>
      <c r="C152" s="52">
        <v>3</v>
      </c>
      <c r="D152" s="156" t="s">
        <v>235</v>
      </c>
      <c r="E152" s="42"/>
      <c r="F152" s="42"/>
      <c r="G152" s="42"/>
      <c r="H152" s="42"/>
      <c r="I152" s="42"/>
      <c r="J152" s="42"/>
      <c r="L152" s="172"/>
      <c r="M152" s="39"/>
      <c r="N152" s="39"/>
      <c r="O152" s="39"/>
      <c r="P152" s="39"/>
      <c r="Q152" s="39"/>
      <c r="R152" s="39"/>
      <c r="S152" s="39"/>
      <c r="T152" s="39"/>
      <c r="U152" s="39"/>
      <c r="V152" s="39"/>
      <c r="W152" s="39"/>
      <c r="X152" s="39"/>
      <c r="Y152" s="39"/>
      <c r="Z152" s="39"/>
    </row>
    <row r="153" spans="1:26" hidden="1" outlineLevel="1" x14ac:dyDescent="0.2">
      <c r="A153" s="172"/>
      <c r="B153" s="172"/>
      <c r="C153" s="172"/>
      <c r="L153" s="172"/>
      <c r="M153" s="39"/>
      <c r="N153" s="39"/>
      <c r="O153" s="39"/>
      <c r="P153" s="39"/>
      <c r="Q153" s="39"/>
      <c r="R153" s="39"/>
      <c r="S153" s="39"/>
      <c r="T153" s="39"/>
      <c r="U153" s="39"/>
      <c r="V153" s="39"/>
      <c r="W153" s="39"/>
      <c r="X153" s="39"/>
      <c r="Y153" s="39"/>
      <c r="Z153" s="39"/>
    </row>
    <row r="154" spans="1:26" collapsed="1" x14ac:dyDescent="0.2">
      <c r="A154" s="172"/>
      <c r="B154" s="172"/>
      <c r="C154" s="172"/>
      <c r="L154" s="172"/>
      <c r="M154" s="39"/>
      <c r="N154" s="39"/>
      <c r="O154" s="39"/>
      <c r="P154" s="39"/>
      <c r="Q154" s="39"/>
      <c r="R154" s="39"/>
      <c r="S154" s="39"/>
      <c r="T154" s="39"/>
      <c r="U154" s="39"/>
      <c r="V154" s="39"/>
      <c r="W154" s="39"/>
      <c r="X154" s="39"/>
      <c r="Y154" s="39"/>
      <c r="Z154" s="39"/>
    </row>
    <row r="155" spans="1:26" ht="15.75" x14ac:dyDescent="0.2">
      <c r="A155" s="172"/>
      <c r="B155" s="209">
        <f>IF(E159&lt;&gt;"",VLOOKUP(E159,GenderCode,2,FALSE),0)</f>
        <v>0</v>
      </c>
      <c r="C155" s="209">
        <v>9</v>
      </c>
      <c r="D155" s="72" t="str">
        <f>IF(B155=0,MsgNotUsed, CONCATENATE("Other ", C155, ": ", E157,": ", E159, " (", E162, "-", J162, ")"))</f>
        <v>** NOT USED **</v>
      </c>
      <c r="E155" s="113"/>
      <c r="F155" s="113"/>
      <c r="G155" s="113"/>
      <c r="H155" s="113"/>
      <c r="I155" s="154"/>
      <c r="J155" s="113"/>
      <c r="K155" s="113"/>
      <c r="L155" s="113"/>
      <c r="M155" s="224"/>
      <c r="N155" s="224"/>
      <c r="O155" s="224"/>
      <c r="P155" s="224"/>
      <c r="Q155" s="224"/>
      <c r="R155" s="224"/>
      <c r="S155" s="224"/>
      <c r="T155" s="224"/>
      <c r="U155" s="224"/>
      <c r="V155" s="224"/>
      <c r="W155" s="224"/>
      <c r="X155" s="224"/>
      <c r="Y155" s="224"/>
      <c r="Z155" s="224"/>
    </row>
    <row r="156" spans="1:26" hidden="1" outlineLevel="1" x14ac:dyDescent="0.2">
      <c r="A156" s="172"/>
      <c r="B156" s="172"/>
      <c r="C156" s="172"/>
      <c r="D156" s="173"/>
      <c r="E156" s="173"/>
      <c r="F156" s="173"/>
      <c r="G156" s="173"/>
      <c r="H156" s="173"/>
      <c r="I156" s="173"/>
      <c r="J156" s="173"/>
      <c r="K156" s="173"/>
      <c r="L156" s="173"/>
      <c r="M156" s="38"/>
      <c r="N156" s="38"/>
      <c r="O156" s="38"/>
      <c r="P156" s="38"/>
      <c r="Q156" s="38"/>
      <c r="R156" s="38"/>
      <c r="S156" s="38"/>
      <c r="T156" s="38"/>
      <c r="U156" s="38"/>
      <c r="V156" s="38"/>
      <c r="W156" s="38"/>
      <c r="X156" s="38"/>
      <c r="Y156" s="38"/>
      <c r="Z156" s="38"/>
    </row>
    <row r="157" spans="1:26" hidden="1" outlineLevel="1" x14ac:dyDescent="0.2">
      <c r="A157" s="172"/>
      <c r="B157" s="172"/>
      <c r="C157" s="172"/>
      <c r="D157" s="37" t="s">
        <v>270</v>
      </c>
      <c r="E157" s="669"/>
      <c r="F157" s="642"/>
      <c r="G157" s="642"/>
      <c r="H157" s="642"/>
      <c r="I157" s="642"/>
      <c r="J157" s="643"/>
      <c r="K157" s="1"/>
      <c r="L157" s="37" t="s">
        <v>249</v>
      </c>
      <c r="M157" s="669"/>
      <c r="N157" s="642"/>
      <c r="O157" s="642"/>
      <c r="P157" s="642"/>
      <c r="Q157" s="642"/>
      <c r="R157" s="643"/>
      <c r="S157" s="38"/>
      <c r="T157" s="38"/>
      <c r="U157" s="38"/>
      <c r="V157" s="38"/>
      <c r="W157" s="38"/>
      <c r="X157" s="38"/>
      <c r="Y157" s="38"/>
      <c r="Z157" s="38"/>
    </row>
    <row r="158" spans="1:26" ht="14.25" hidden="1" outlineLevel="1" x14ac:dyDescent="0.2">
      <c r="A158" s="172"/>
      <c r="B158" s="172"/>
      <c r="C158" s="172"/>
      <c r="D158" s="449"/>
      <c r="L158" s="173"/>
      <c r="M158" s="38"/>
      <c r="N158" s="38"/>
      <c r="O158" s="38"/>
      <c r="P158" s="38"/>
      <c r="Q158" s="38"/>
      <c r="R158" s="38"/>
      <c r="S158" s="38"/>
      <c r="T158" s="38"/>
      <c r="U158" s="38"/>
      <c r="V158" s="38"/>
      <c r="W158" s="38"/>
      <c r="X158" s="38"/>
      <c r="Y158" s="38"/>
      <c r="Z158" s="38"/>
    </row>
    <row r="159" spans="1:26" hidden="1" outlineLevel="1" x14ac:dyDescent="0.2">
      <c r="A159" s="172"/>
      <c r="B159" s="172"/>
      <c r="C159" s="172"/>
      <c r="D159" s="75" t="s">
        <v>51</v>
      </c>
      <c r="E159" s="70"/>
      <c r="H159" s="172"/>
      <c r="I159" s="75" t="s">
        <v>355</v>
      </c>
      <c r="J159" s="70"/>
      <c r="L159" s="173"/>
      <c r="M159" s="38"/>
      <c r="N159" s="38"/>
      <c r="O159" s="38"/>
      <c r="P159" s="38"/>
      <c r="Q159" s="38"/>
      <c r="R159" s="38"/>
      <c r="S159" s="38"/>
      <c r="T159" s="38"/>
      <c r="U159" s="38"/>
      <c r="V159" s="38"/>
      <c r="W159" s="38"/>
      <c r="X159" s="38"/>
      <c r="Y159" s="38"/>
      <c r="Z159" s="38"/>
    </row>
    <row r="160" spans="1:26" hidden="1" outlineLevel="1" x14ac:dyDescent="0.2">
      <c r="A160" s="172"/>
      <c r="B160" s="172"/>
      <c r="C160" s="172"/>
      <c r="L160" s="173"/>
      <c r="M160" s="38"/>
      <c r="N160" s="38"/>
      <c r="O160" s="38"/>
      <c r="P160" s="38"/>
      <c r="Q160" s="38"/>
      <c r="R160" s="38"/>
      <c r="S160" s="38"/>
      <c r="T160" s="38"/>
      <c r="U160" s="38"/>
      <c r="V160" s="38"/>
      <c r="W160" s="38"/>
      <c r="X160" s="38"/>
      <c r="Y160" s="38"/>
      <c r="Z160" s="38"/>
    </row>
    <row r="161" spans="1:26" hidden="1" outlineLevel="1" x14ac:dyDescent="0.2">
      <c r="A161" s="172"/>
      <c r="B161" s="172"/>
      <c r="C161" s="172"/>
      <c r="E161" s="260" t="s">
        <v>246</v>
      </c>
      <c r="L161" s="173"/>
      <c r="M161" s="38"/>
      <c r="N161" s="38"/>
      <c r="O161" s="38"/>
      <c r="P161" s="38"/>
      <c r="Q161" s="38"/>
      <c r="R161" s="38"/>
      <c r="S161" s="38"/>
      <c r="T161" s="38"/>
      <c r="U161" s="38"/>
      <c r="V161" s="38"/>
      <c r="W161" s="38"/>
      <c r="X161" s="38"/>
      <c r="Y161" s="38"/>
      <c r="Z161" s="38"/>
    </row>
    <row r="162" spans="1:26" hidden="1" outlineLevel="1" x14ac:dyDescent="0.2">
      <c r="A162" s="172"/>
      <c r="B162" s="172"/>
      <c r="C162" s="172"/>
      <c r="E162" s="71">
        <f>IF(J159&lt;&gt;"",J159,FirstYear)</f>
        <v>2026</v>
      </c>
      <c r="F162" s="74">
        <f>E162+1</f>
        <v>2027</v>
      </c>
      <c r="G162" s="74">
        <f>F162+1</f>
        <v>2028</v>
      </c>
      <c r="H162" s="74">
        <f>G162+1</f>
        <v>2029</v>
      </c>
      <c r="I162" s="74">
        <f>H162+1</f>
        <v>2030</v>
      </c>
      <c r="J162" s="74">
        <f>I162+1</f>
        <v>2031</v>
      </c>
      <c r="L162" s="173"/>
      <c r="M162" s="38"/>
      <c r="N162" s="38"/>
      <c r="O162" s="38"/>
      <c r="P162" s="38"/>
      <c r="Q162" s="38"/>
      <c r="R162" s="38"/>
      <c r="S162" s="38"/>
      <c r="T162" s="38"/>
      <c r="U162" s="38"/>
      <c r="V162" s="38"/>
      <c r="W162" s="38"/>
      <c r="X162" s="38"/>
      <c r="Y162" s="38"/>
      <c r="Z162" s="38"/>
    </row>
    <row r="163" spans="1:26" hidden="1" outlineLevel="1" x14ac:dyDescent="0.2">
      <c r="A163" s="172"/>
      <c r="B163" s="172"/>
      <c r="C163" s="172"/>
      <c r="E163" s="57">
        <f t="shared" ref="E163:J163" si="34">IF($B$155&lt;&gt;0,VLOOKUP($B$155,$C$167:$J$169,E164),0)</f>
        <v>0</v>
      </c>
      <c r="F163" s="57">
        <f t="shared" si="34"/>
        <v>0</v>
      </c>
      <c r="G163" s="57">
        <f t="shared" si="34"/>
        <v>0</v>
      </c>
      <c r="H163" s="57">
        <f t="shared" si="34"/>
        <v>0</v>
      </c>
      <c r="I163" s="57">
        <f t="shared" si="34"/>
        <v>0</v>
      </c>
      <c r="J163" s="57">
        <f t="shared" si="34"/>
        <v>0</v>
      </c>
      <c r="L163" s="173"/>
      <c r="M163" s="38"/>
      <c r="N163" s="38"/>
      <c r="O163" s="38"/>
      <c r="P163" s="38"/>
      <c r="Q163" s="38"/>
      <c r="R163" s="38"/>
      <c r="S163" s="38"/>
      <c r="T163" s="38"/>
      <c r="U163" s="38"/>
      <c r="V163" s="38"/>
      <c r="W163" s="38"/>
      <c r="X163" s="38"/>
      <c r="Y163" s="38"/>
      <c r="Z163" s="38"/>
    </row>
    <row r="164" spans="1:26" hidden="1" outlineLevel="1" x14ac:dyDescent="0.2">
      <c r="A164" s="172"/>
      <c r="B164" s="172"/>
      <c r="C164" s="172"/>
      <c r="E164" s="155">
        <v>3</v>
      </c>
      <c r="F164" s="155">
        <v>4</v>
      </c>
      <c r="G164" s="155">
        <v>5</v>
      </c>
      <c r="H164" s="155">
        <v>6</v>
      </c>
      <c r="I164" s="155">
        <v>7</v>
      </c>
      <c r="J164" s="155">
        <v>8</v>
      </c>
      <c r="L164" s="173"/>
      <c r="M164" s="38"/>
      <c r="N164" s="38"/>
      <c r="O164" s="38"/>
      <c r="P164" s="38"/>
      <c r="Q164" s="38"/>
      <c r="R164" s="38"/>
      <c r="S164" s="38"/>
      <c r="T164" s="38"/>
      <c r="U164" s="38"/>
      <c r="V164" s="38"/>
      <c r="W164" s="38"/>
      <c r="X164" s="38"/>
      <c r="Y164" s="38"/>
      <c r="Z164" s="38"/>
    </row>
    <row r="165" spans="1:26" hidden="1" outlineLevel="1" x14ac:dyDescent="0.2">
      <c r="A165" s="172"/>
      <c r="B165" s="172"/>
      <c r="C165" s="172"/>
      <c r="D165" s="26" t="s">
        <v>314</v>
      </c>
      <c r="E165" s="71">
        <f t="shared" ref="E165:J165" si="35">E162</f>
        <v>2026</v>
      </c>
      <c r="F165" s="71">
        <f t="shared" si="35"/>
        <v>2027</v>
      </c>
      <c r="G165" s="71">
        <f t="shared" si="35"/>
        <v>2028</v>
      </c>
      <c r="H165" s="71">
        <f t="shared" si="35"/>
        <v>2029</v>
      </c>
      <c r="I165" s="71">
        <f t="shared" si="35"/>
        <v>2030</v>
      </c>
      <c r="J165" s="71">
        <f t="shared" si="35"/>
        <v>2031</v>
      </c>
      <c r="L165" s="172"/>
      <c r="M165" s="39"/>
      <c r="N165" s="39"/>
      <c r="O165" s="39"/>
      <c r="P165" s="39"/>
      <c r="Q165" s="39"/>
      <c r="R165" s="39"/>
      <c r="S165" s="39"/>
      <c r="T165" s="39"/>
      <c r="U165" s="39"/>
      <c r="V165" s="39"/>
      <c r="W165" s="39"/>
      <c r="X165" s="39"/>
      <c r="Y165" s="39"/>
      <c r="Z165" s="39"/>
    </row>
    <row r="166" spans="1:26" hidden="1" outlineLevel="1" x14ac:dyDescent="0.2">
      <c r="A166" s="172"/>
      <c r="B166" s="172"/>
      <c r="D166" s="156" t="s">
        <v>231</v>
      </c>
      <c r="E166" s="57">
        <f t="shared" ref="E166:J166" si="36">IF(OR(E167="",E167=0),SUM(E168:E169),E167)</f>
        <v>0</v>
      </c>
      <c r="F166" s="57">
        <f t="shared" si="36"/>
        <v>0</v>
      </c>
      <c r="G166" s="57">
        <f t="shared" si="36"/>
        <v>0</v>
      </c>
      <c r="H166" s="57">
        <f t="shared" si="36"/>
        <v>0</v>
      </c>
      <c r="I166" s="57">
        <f t="shared" si="36"/>
        <v>0</v>
      </c>
      <c r="J166" s="57">
        <f t="shared" si="36"/>
        <v>0</v>
      </c>
      <c r="L166" s="172"/>
      <c r="M166" s="39"/>
      <c r="N166" s="39"/>
      <c r="O166" s="39"/>
      <c r="P166" s="39"/>
      <c r="Q166" s="39"/>
      <c r="R166" s="39"/>
      <c r="S166" s="39"/>
      <c r="T166" s="39"/>
      <c r="U166" s="39"/>
      <c r="V166" s="39"/>
      <c r="W166" s="39"/>
      <c r="X166" s="39"/>
      <c r="Y166" s="39"/>
      <c r="Z166" s="39"/>
    </row>
    <row r="167" spans="1:26" hidden="1" outlineLevel="1" x14ac:dyDescent="0.2">
      <c r="A167" s="172"/>
      <c r="B167" s="172"/>
      <c r="C167" s="52">
        <v>1</v>
      </c>
      <c r="D167" s="156" t="s">
        <v>356</v>
      </c>
      <c r="E167" s="294"/>
      <c r="F167" s="294"/>
      <c r="G167" s="294"/>
      <c r="H167" s="294"/>
      <c r="I167" s="294"/>
      <c r="J167" s="294"/>
      <c r="L167" s="172"/>
      <c r="M167" s="39"/>
      <c r="N167" s="39"/>
      <c r="O167" s="39"/>
      <c r="P167" s="39"/>
      <c r="Q167" s="39"/>
      <c r="R167" s="39"/>
      <c r="S167" s="39"/>
      <c r="T167" s="39"/>
      <c r="U167" s="39"/>
      <c r="V167" s="39"/>
      <c r="W167" s="39"/>
      <c r="X167" s="39"/>
      <c r="Y167" s="39"/>
      <c r="Z167" s="39"/>
    </row>
    <row r="168" spans="1:26" hidden="1" outlineLevel="1" x14ac:dyDescent="0.2">
      <c r="A168" s="172"/>
      <c r="B168" s="172"/>
      <c r="C168" s="52">
        <v>2</v>
      </c>
      <c r="D168" s="156" t="s">
        <v>234</v>
      </c>
      <c r="E168" s="294"/>
      <c r="F168" s="294"/>
      <c r="G168" s="294"/>
      <c r="H168" s="294"/>
      <c r="I168" s="294"/>
      <c r="J168" s="294"/>
      <c r="L168" s="172"/>
      <c r="M168" s="39"/>
      <c r="N168" s="39"/>
      <c r="O168" s="39"/>
      <c r="P168" s="39"/>
      <c r="Q168" s="39"/>
      <c r="R168" s="39"/>
      <c r="S168" s="39"/>
      <c r="T168" s="39"/>
      <c r="U168" s="39"/>
      <c r="V168" s="39"/>
      <c r="W168" s="39"/>
      <c r="X168" s="39"/>
      <c r="Y168" s="39"/>
      <c r="Z168" s="39"/>
    </row>
    <row r="169" spans="1:26" hidden="1" outlineLevel="1" x14ac:dyDescent="0.2">
      <c r="A169" s="172"/>
      <c r="B169" s="172"/>
      <c r="C169" s="52">
        <v>3</v>
      </c>
      <c r="D169" s="156" t="s">
        <v>235</v>
      </c>
      <c r="E169" s="42"/>
      <c r="F169" s="42"/>
      <c r="G169" s="42"/>
      <c r="H169" s="42"/>
      <c r="I169" s="42"/>
      <c r="J169" s="42"/>
      <c r="L169" s="172"/>
      <c r="M169" s="39"/>
      <c r="N169" s="39"/>
      <c r="O169" s="39"/>
      <c r="P169" s="39"/>
      <c r="Q169" s="39"/>
      <c r="R169" s="39"/>
      <c r="S169" s="39"/>
      <c r="T169" s="39"/>
      <c r="U169" s="39"/>
      <c r="V169" s="39"/>
      <c r="W169" s="39"/>
      <c r="X169" s="39"/>
      <c r="Y169" s="39"/>
      <c r="Z169" s="39"/>
    </row>
    <row r="170" spans="1:26" hidden="1" outlineLevel="1" x14ac:dyDescent="0.2">
      <c r="A170" s="172"/>
      <c r="B170" s="172"/>
      <c r="C170" s="172"/>
      <c r="L170" s="172"/>
      <c r="M170" s="39"/>
      <c r="N170" s="39"/>
      <c r="O170" s="39"/>
      <c r="P170" s="39"/>
      <c r="Q170" s="39"/>
      <c r="R170" s="39"/>
      <c r="S170" s="39"/>
      <c r="T170" s="39"/>
      <c r="U170" s="39"/>
      <c r="V170" s="39"/>
      <c r="W170" s="39"/>
      <c r="X170" s="39"/>
      <c r="Y170" s="39"/>
      <c r="Z170" s="39"/>
    </row>
    <row r="171" spans="1:26" collapsed="1" x14ac:dyDescent="0.2">
      <c r="A171" s="172"/>
      <c r="B171" s="172"/>
      <c r="C171" s="172"/>
      <c r="L171" s="172"/>
      <c r="M171" s="39"/>
      <c r="N171" s="39"/>
      <c r="O171" s="39"/>
      <c r="P171" s="39"/>
      <c r="Q171" s="39"/>
      <c r="R171" s="39"/>
      <c r="S171" s="39"/>
      <c r="T171" s="39"/>
      <c r="U171" s="39"/>
      <c r="V171" s="39"/>
      <c r="W171" s="39"/>
      <c r="X171" s="39"/>
      <c r="Y171" s="39"/>
      <c r="Z171" s="39"/>
    </row>
    <row r="172" spans="1:26" ht="15.75" x14ac:dyDescent="0.2">
      <c r="A172" s="172"/>
      <c r="B172" s="209">
        <f>IF(E176&lt;&gt;"",VLOOKUP(E176,GenderCode,2,FALSE),0)</f>
        <v>0</v>
      </c>
      <c r="C172" s="209">
        <v>10</v>
      </c>
      <c r="D172" s="72" t="str">
        <f>IF(B172=0,MsgNotUsed, CONCATENATE("Other ", C172, ": ", E174,": ", E176, " (", E179, "-", J179, ")"))</f>
        <v>** NOT USED **</v>
      </c>
      <c r="E172" s="113"/>
      <c r="F172" s="113"/>
      <c r="G172" s="113"/>
      <c r="H172" s="113"/>
      <c r="I172" s="154"/>
      <c r="J172" s="113"/>
      <c r="K172" s="113"/>
      <c r="L172" s="113"/>
      <c r="M172" s="224"/>
      <c r="N172" s="224"/>
      <c r="O172" s="224"/>
      <c r="P172" s="224"/>
      <c r="Q172" s="224"/>
      <c r="R172" s="224"/>
      <c r="S172" s="224"/>
      <c r="T172" s="224"/>
      <c r="U172" s="224"/>
      <c r="V172" s="224"/>
      <c r="W172" s="224"/>
      <c r="X172" s="224"/>
      <c r="Y172" s="224"/>
      <c r="Z172" s="224"/>
    </row>
    <row r="173" spans="1:26" hidden="1" outlineLevel="1" x14ac:dyDescent="0.2">
      <c r="A173" s="172"/>
      <c r="B173" s="172"/>
      <c r="C173" s="172"/>
      <c r="D173" s="173"/>
      <c r="E173" s="173"/>
      <c r="F173" s="173"/>
      <c r="G173" s="173"/>
      <c r="H173" s="173"/>
      <c r="I173" s="173"/>
      <c r="J173" s="173"/>
      <c r="K173" s="173"/>
      <c r="L173" s="173"/>
      <c r="M173" s="38"/>
      <c r="N173" s="38"/>
      <c r="O173" s="38"/>
      <c r="P173" s="38"/>
      <c r="Q173" s="38"/>
      <c r="R173" s="38"/>
      <c r="S173" s="38"/>
      <c r="T173" s="38"/>
      <c r="U173" s="38"/>
      <c r="V173" s="38"/>
      <c r="W173" s="38"/>
    </row>
    <row r="174" spans="1:26" hidden="1" outlineLevel="1" x14ac:dyDescent="0.2">
      <c r="A174" s="172"/>
      <c r="B174" s="172"/>
      <c r="C174" s="172"/>
      <c r="D174" s="37" t="s">
        <v>270</v>
      </c>
      <c r="E174" s="669"/>
      <c r="F174" s="642"/>
      <c r="G174" s="642"/>
      <c r="H174" s="642"/>
      <c r="I174" s="642"/>
      <c r="J174" s="643"/>
      <c r="K174" s="1"/>
      <c r="L174" s="37" t="s">
        <v>249</v>
      </c>
      <c r="M174" s="669"/>
      <c r="N174" s="642"/>
      <c r="O174" s="642"/>
      <c r="P174" s="642"/>
      <c r="Q174" s="642"/>
      <c r="R174" s="643"/>
      <c r="S174" s="38"/>
      <c r="T174" s="38"/>
      <c r="U174" s="38"/>
      <c r="V174" s="38"/>
      <c r="W174" s="38"/>
    </row>
    <row r="175" spans="1:26" ht="14.25" hidden="1" outlineLevel="1" x14ac:dyDescent="0.2">
      <c r="A175" s="172"/>
      <c r="B175" s="172"/>
      <c r="C175" s="172"/>
      <c r="D175" s="449"/>
      <c r="L175" s="173"/>
      <c r="M175" s="38"/>
      <c r="N175" s="38"/>
      <c r="O175" s="38"/>
      <c r="P175" s="38"/>
      <c r="Q175" s="38"/>
      <c r="R175" s="38"/>
      <c r="S175" s="38"/>
      <c r="T175" s="38"/>
      <c r="U175" s="38"/>
      <c r="V175" s="38"/>
      <c r="W175" s="38"/>
    </row>
    <row r="176" spans="1:26" hidden="1" outlineLevel="1" x14ac:dyDescent="0.2">
      <c r="A176" s="172"/>
      <c r="B176" s="172"/>
      <c r="C176" s="172"/>
      <c r="D176" s="75" t="s">
        <v>51</v>
      </c>
      <c r="E176" s="70"/>
      <c r="H176" s="172"/>
      <c r="I176" s="75" t="s">
        <v>355</v>
      </c>
      <c r="J176" s="70"/>
      <c r="L176" s="173"/>
      <c r="M176" s="38"/>
      <c r="N176" s="38"/>
      <c r="O176" s="38"/>
      <c r="P176" s="38"/>
      <c r="Q176" s="38"/>
      <c r="R176" s="38"/>
      <c r="S176" s="38"/>
      <c r="T176" s="38"/>
      <c r="U176" s="38"/>
      <c r="V176" s="38"/>
      <c r="W176" s="38"/>
    </row>
    <row r="177" spans="1:23" hidden="1" outlineLevel="1" x14ac:dyDescent="0.2">
      <c r="A177" s="172"/>
      <c r="B177" s="172"/>
      <c r="C177" s="172"/>
      <c r="L177" s="173"/>
      <c r="M177" s="38"/>
      <c r="N177" s="38"/>
      <c r="O177" s="38"/>
      <c r="P177" s="38"/>
      <c r="Q177" s="38"/>
      <c r="R177" s="38"/>
      <c r="S177" s="38"/>
      <c r="T177" s="38"/>
      <c r="U177" s="38"/>
      <c r="V177" s="38"/>
      <c r="W177" s="38"/>
    </row>
    <row r="178" spans="1:23" hidden="1" outlineLevel="1" x14ac:dyDescent="0.2">
      <c r="A178" s="172"/>
      <c r="B178" s="172"/>
      <c r="C178" s="172"/>
      <c r="E178" s="260" t="s">
        <v>246</v>
      </c>
      <c r="L178" s="173"/>
      <c r="M178" s="38"/>
      <c r="N178" s="38"/>
      <c r="O178" s="38"/>
      <c r="P178" s="38"/>
      <c r="Q178" s="38"/>
      <c r="R178" s="38"/>
      <c r="S178" s="38"/>
      <c r="T178" s="38"/>
      <c r="U178" s="38"/>
      <c r="V178" s="38"/>
      <c r="W178" s="38"/>
    </row>
    <row r="179" spans="1:23" hidden="1" outlineLevel="1" x14ac:dyDescent="0.2">
      <c r="A179" s="172"/>
      <c r="B179" s="172"/>
      <c r="C179" s="172"/>
      <c r="E179" s="71">
        <f>IF(J176&lt;&gt;"",J176,FirstYear)</f>
        <v>2026</v>
      </c>
      <c r="F179" s="74">
        <f>E179+1</f>
        <v>2027</v>
      </c>
      <c r="G179" s="74">
        <f>F179+1</f>
        <v>2028</v>
      </c>
      <c r="H179" s="74">
        <f>G179+1</f>
        <v>2029</v>
      </c>
      <c r="I179" s="74">
        <f>H179+1</f>
        <v>2030</v>
      </c>
      <c r="J179" s="74">
        <f>I179+1</f>
        <v>2031</v>
      </c>
      <c r="L179" s="173"/>
      <c r="M179" s="38"/>
      <c r="N179" s="38"/>
      <c r="O179" s="38"/>
      <c r="P179" s="38"/>
      <c r="Q179" s="38"/>
      <c r="R179" s="38"/>
      <c r="S179" s="38"/>
      <c r="T179" s="38"/>
      <c r="U179" s="38"/>
      <c r="V179" s="38"/>
      <c r="W179" s="38"/>
    </row>
    <row r="180" spans="1:23" hidden="1" outlineLevel="1" x14ac:dyDescent="0.2">
      <c r="A180" s="172"/>
      <c r="B180" s="172"/>
      <c r="C180" s="172"/>
      <c r="E180" s="57">
        <f t="shared" ref="E180:J180" si="37">IF($B$172&lt;&gt;0,VLOOKUP($B$172,$C$184:$J$186,E181),0)</f>
        <v>0</v>
      </c>
      <c r="F180" s="57">
        <f t="shared" si="37"/>
        <v>0</v>
      </c>
      <c r="G180" s="57">
        <f t="shared" si="37"/>
        <v>0</v>
      </c>
      <c r="H180" s="57">
        <f t="shared" si="37"/>
        <v>0</v>
      </c>
      <c r="I180" s="57">
        <f t="shared" si="37"/>
        <v>0</v>
      </c>
      <c r="J180" s="57">
        <f t="shared" si="37"/>
        <v>0</v>
      </c>
      <c r="L180" s="173"/>
      <c r="M180" s="38"/>
      <c r="N180" s="38"/>
      <c r="O180" s="38"/>
      <c r="P180" s="38"/>
      <c r="Q180" s="38"/>
      <c r="R180" s="38"/>
      <c r="S180" s="38"/>
      <c r="T180" s="38"/>
      <c r="U180" s="38"/>
      <c r="V180" s="38"/>
      <c r="W180" s="38"/>
    </row>
    <row r="181" spans="1:23" hidden="1" outlineLevel="1" x14ac:dyDescent="0.2">
      <c r="A181" s="172"/>
      <c r="B181" s="172"/>
      <c r="C181" s="172"/>
      <c r="E181" s="155">
        <v>3</v>
      </c>
      <c r="F181" s="155">
        <v>4</v>
      </c>
      <c r="G181" s="155">
        <v>5</v>
      </c>
      <c r="H181" s="155">
        <v>6</v>
      </c>
      <c r="I181" s="155">
        <v>7</v>
      </c>
      <c r="J181" s="155">
        <v>8</v>
      </c>
      <c r="L181" s="173"/>
      <c r="M181" s="38"/>
      <c r="N181" s="38"/>
      <c r="O181" s="38"/>
      <c r="P181" s="38"/>
      <c r="Q181" s="38"/>
      <c r="R181" s="38"/>
      <c r="S181" s="38"/>
      <c r="T181" s="38"/>
      <c r="U181" s="38"/>
      <c r="V181" s="38"/>
      <c r="W181" s="38"/>
    </row>
    <row r="182" spans="1:23" hidden="1" outlineLevel="1" x14ac:dyDescent="0.2">
      <c r="A182" s="172"/>
      <c r="B182" s="172"/>
      <c r="C182" s="172"/>
      <c r="D182" s="26" t="s">
        <v>314</v>
      </c>
      <c r="E182" s="71">
        <f t="shared" ref="E182:J182" si="38">E179</f>
        <v>2026</v>
      </c>
      <c r="F182" s="71">
        <f t="shared" si="38"/>
        <v>2027</v>
      </c>
      <c r="G182" s="71">
        <f t="shared" si="38"/>
        <v>2028</v>
      </c>
      <c r="H182" s="71">
        <f t="shared" si="38"/>
        <v>2029</v>
      </c>
      <c r="I182" s="71">
        <f t="shared" si="38"/>
        <v>2030</v>
      </c>
      <c r="J182" s="71">
        <f t="shared" si="38"/>
        <v>2031</v>
      </c>
      <c r="L182" s="172"/>
      <c r="M182" s="39"/>
      <c r="N182" s="39"/>
      <c r="O182" s="39"/>
      <c r="P182" s="39"/>
      <c r="Q182" s="39"/>
      <c r="R182" s="39"/>
      <c r="S182" s="39"/>
      <c r="T182" s="39"/>
      <c r="U182" s="39"/>
      <c r="V182" s="39"/>
      <c r="W182" s="39"/>
    </row>
    <row r="183" spans="1:23" hidden="1" outlineLevel="1" x14ac:dyDescent="0.2">
      <c r="A183" s="172"/>
      <c r="B183" s="172"/>
      <c r="D183" s="156" t="s">
        <v>231</v>
      </c>
      <c r="E183" s="57">
        <f t="shared" ref="E183:J183" si="39">IF(OR(E184="",E184=0),SUM(E185:E186),E184)</f>
        <v>0</v>
      </c>
      <c r="F183" s="57">
        <f t="shared" si="39"/>
        <v>0</v>
      </c>
      <c r="G183" s="57">
        <f t="shared" si="39"/>
        <v>0</v>
      </c>
      <c r="H183" s="57">
        <f t="shared" si="39"/>
        <v>0</v>
      </c>
      <c r="I183" s="57">
        <f t="shared" si="39"/>
        <v>0</v>
      </c>
      <c r="J183" s="57">
        <f t="shared" si="39"/>
        <v>0</v>
      </c>
      <c r="L183" s="172"/>
      <c r="M183" s="39"/>
      <c r="N183" s="39"/>
      <c r="O183" s="39"/>
      <c r="P183" s="39"/>
      <c r="Q183" s="39"/>
      <c r="R183" s="39"/>
      <c r="S183" s="39"/>
      <c r="T183" s="39"/>
      <c r="U183" s="39"/>
      <c r="V183" s="39"/>
      <c r="W183" s="39"/>
    </row>
    <row r="184" spans="1:23" hidden="1" outlineLevel="1" x14ac:dyDescent="0.2">
      <c r="A184" s="172"/>
      <c r="B184" s="172"/>
      <c r="C184" s="52">
        <v>1</v>
      </c>
      <c r="D184" s="156" t="s">
        <v>356</v>
      </c>
      <c r="E184" s="294"/>
      <c r="F184" s="294"/>
      <c r="G184" s="294"/>
      <c r="H184" s="294"/>
      <c r="I184" s="294"/>
      <c r="J184" s="294"/>
      <c r="L184" s="172"/>
      <c r="M184" s="39"/>
      <c r="N184" s="39"/>
      <c r="O184" s="39"/>
      <c r="P184" s="39"/>
      <c r="Q184" s="39"/>
      <c r="R184" s="39"/>
      <c r="S184" s="39"/>
      <c r="T184" s="39"/>
      <c r="U184" s="39"/>
      <c r="V184" s="39"/>
      <c r="W184" s="39"/>
    </row>
    <row r="185" spans="1:23" hidden="1" outlineLevel="1" x14ac:dyDescent="0.2">
      <c r="A185" s="172"/>
      <c r="B185" s="172"/>
      <c r="C185" s="52">
        <v>2</v>
      </c>
      <c r="D185" s="156" t="s">
        <v>234</v>
      </c>
      <c r="E185" s="294"/>
      <c r="F185" s="294"/>
      <c r="G185" s="294"/>
      <c r="H185" s="294"/>
      <c r="I185" s="294"/>
      <c r="J185" s="294"/>
      <c r="L185" s="172"/>
      <c r="M185" s="39"/>
      <c r="N185" s="39"/>
      <c r="O185" s="39"/>
      <c r="P185" s="39"/>
      <c r="Q185" s="39"/>
      <c r="R185" s="39"/>
      <c r="S185" s="39"/>
      <c r="T185" s="39"/>
      <c r="U185" s="39"/>
      <c r="V185" s="39"/>
      <c r="W185" s="39"/>
    </row>
    <row r="186" spans="1:23" hidden="1" outlineLevel="1" x14ac:dyDescent="0.2">
      <c r="A186" s="172"/>
      <c r="B186" s="172"/>
      <c r="C186" s="52">
        <v>3</v>
      </c>
      <c r="D186" s="156" t="s">
        <v>235</v>
      </c>
      <c r="E186" s="42"/>
      <c r="F186" s="42"/>
      <c r="G186" s="42"/>
      <c r="H186" s="42"/>
      <c r="I186" s="42"/>
      <c r="J186" s="42"/>
      <c r="L186" s="172"/>
      <c r="M186" s="39"/>
      <c r="N186" s="39"/>
      <c r="O186" s="39"/>
      <c r="P186" s="39"/>
      <c r="Q186" s="39"/>
      <c r="R186" s="39"/>
      <c r="S186" s="39"/>
      <c r="T186" s="39"/>
      <c r="U186" s="39"/>
      <c r="V186" s="39"/>
      <c r="W186" s="39"/>
    </row>
    <row r="187" spans="1:23" ht="12.75" hidden="1" customHeight="1" outlineLevel="1" x14ac:dyDescent="0.2">
      <c r="B187" s="172"/>
      <c r="C187" s="172"/>
      <c r="L187" s="172"/>
      <c r="M187" s="39"/>
      <c r="N187" s="39"/>
      <c r="O187" s="39"/>
      <c r="P187" s="39"/>
      <c r="Q187" s="39"/>
      <c r="R187" s="39"/>
    </row>
    <row r="188" spans="1:23" ht="12.75" customHeight="1" collapsed="1" x14ac:dyDescent="0.2">
      <c r="B188" s="172"/>
      <c r="C188" s="172"/>
      <c r="L188" s="172"/>
      <c r="M188" s="39"/>
      <c r="N188" s="39"/>
      <c r="O188" s="39"/>
      <c r="P188" s="39"/>
      <c r="Q188" s="39"/>
      <c r="R188" s="39"/>
    </row>
  </sheetData>
  <sheetProtection selectLockedCells="1"/>
  <mergeCells count="21">
    <mergeCell ref="X1:Z1"/>
    <mergeCell ref="E106:J106"/>
    <mergeCell ref="E123:J123"/>
    <mergeCell ref="E140:J140"/>
    <mergeCell ref="E157:J157"/>
    <mergeCell ref="M21:R21"/>
    <mergeCell ref="M38:R38"/>
    <mergeCell ref="M55:R55"/>
    <mergeCell ref="M72:R72"/>
    <mergeCell ref="M89:R89"/>
    <mergeCell ref="M106:R106"/>
    <mergeCell ref="M123:R123"/>
    <mergeCell ref="M140:R140"/>
    <mergeCell ref="M157:R157"/>
    <mergeCell ref="M174:R174"/>
    <mergeCell ref="E174:J174"/>
    <mergeCell ref="E72:J72"/>
    <mergeCell ref="E89:J89"/>
    <mergeCell ref="E21:J21"/>
    <mergeCell ref="E38:J38"/>
    <mergeCell ref="E55:J55"/>
  </mergeCells>
  <dataValidations count="1">
    <dataValidation type="list" allowBlank="1" showInputMessage="1" showErrorMessage="1" sqref="E23 E40 E57 E74 E91 E108 E125 E142 E159 E176" xr:uid="{00000000-0002-0000-1200-000000000000}">
      <formula1>Gender</formula1>
    </dataValidation>
  </dataValidations>
  <pageMargins left="0.75" right="0.75" top="1" bottom="1" header="0.5" footer="0.5"/>
  <pageSetup paperSize="9" orientation="portrait" verticalDpi="0" r:id="rId1"/>
  <headerFooter alignWithMargins="0">
    <oddHeader>&amp;C&amp;"Calibri"&amp;12&amp;KFF0000 OFFICIAL&amp;1#_x000D_</oddHeader>
    <oddFooter>&amp;C_x000D_&amp;1#&amp;"Calibri"&amp;12&amp;KFF0000 OFFICIAL</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tabColor theme="5"/>
    <pageSetUpPr fitToPage="1"/>
  </sheetPr>
  <dimension ref="A1:P422"/>
  <sheetViews>
    <sheetView showGridLines="0" zoomScaleNormal="100" zoomScaleSheetLayoutView="100" workbookViewId="0"/>
  </sheetViews>
  <sheetFormatPr defaultRowHeight="12.75" customHeight="1" outlineLevelRow="1" x14ac:dyDescent="0.2"/>
  <cols>
    <col min="1" max="1" width="3.7109375" customWidth="1"/>
    <col min="2" max="2" width="3.7109375" hidden="1" customWidth="1"/>
    <col min="3" max="3" width="25.7109375" customWidth="1"/>
    <col min="4" max="4" width="5.7109375" customWidth="1"/>
    <col min="5" max="5" width="90.7109375" customWidth="1"/>
    <col min="6" max="6" width="3.7109375" customWidth="1"/>
    <col min="7" max="8" width="20.7109375" customWidth="1"/>
    <col min="9" max="9" width="3.7109375" customWidth="1"/>
    <col min="10" max="12" width="20.7109375" customWidth="1"/>
    <col min="13" max="15" width="3.7109375" hidden="1" customWidth="1"/>
    <col min="16" max="16" width="10.7109375" customWidth="1"/>
  </cols>
  <sheetData>
    <row r="1" spans="1:16" ht="23.25" x14ac:dyDescent="0.2">
      <c r="A1" s="193">
        <f>IF(O408=17,2,0)</f>
        <v>0</v>
      </c>
      <c r="B1" s="194"/>
      <c r="C1" s="195" t="s">
        <v>222</v>
      </c>
      <c r="D1" s="194"/>
      <c r="E1" s="194"/>
      <c r="F1" s="194"/>
      <c r="G1" s="194"/>
      <c r="H1" s="194"/>
      <c r="I1" s="194"/>
      <c r="J1" s="194"/>
      <c r="K1" s="83"/>
      <c r="L1" s="194"/>
      <c r="M1" s="194"/>
      <c r="N1" s="194"/>
      <c r="O1" s="194"/>
      <c r="P1" s="83"/>
    </row>
    <row r="2" spans="1:16" ht="15.75" x14ac:dyDescent="0.2">
      <c r="A2" s="194"/>
      <c r="B2" s="194"/>
      <c r="C2" s="197" t="str">
        <f>CONCATENATE("Name of medicine: ", MedicineBrand)</f>
        <v xml:space="preserve">Name of medicine: </v>
      </c>
      <c r="D2" s="194"/>
      <c r="E2" s="194"/>
      <c r="F2" s="194"/>
      <c r="G2" s="194"/>
      <c r="H2" s="194"/>
      <c r="I2" s="194"/>
      <c r="J2" s="194"/>
      <c r="K2" s="194"/>
      <c r="L2" s="194"/>
      <c r="M2" s="194"/>
      <c r="N2" s="194"/>
      <c r="O2" s="194"/>
      <c r="P2" s="194"/>
    </row>
    <row r="3" spans="1:16" ht="15.75" x14ac:dyDescent="0.2">
      <c r="A3" s="194"/>
      <c r="B3" s="194"/>
      <c r="C3" s="197" t="str">
        <f>CONCATENATE("Indication: ", Indication)</f>
        <v xml:space="preserve">Indication: </v>
      </c>
      <c r="D3" s="194"/>
      <c r="E3" s="194"/>
      <c r="F3" s="194"/>
      <c r="G3" s="194"/>
      <c r="H3" s="194"/>
      <c r="I3" s="194"/>
      <c r="J3" s="194"/>
      <c r="K3" s="194"/>
      <c r="L3" s="194"/>
      <c r="M3" s="194"/>
      <c r="N3" s="194"/>
      <c r="O3" s="194"/>
      <c r="P3" s="194"/>
    </row>
    <row r="4" spans="1:16" x14ac:dyDescent="0.2">
      <c r="A4" s="64"/>
      <c r="B4" s="64"/>
      <c r="C4" s="437"/>
      <c r="D4" s="64"/>
      <c r="E4" s="64"/>
      <c r="F4" s="64"/>
      <c r="G4" s="64"/>
      <c r="H4" s="64"/>
      <c r="I4" s="64"/>
      <c r="J4" s="64"/>
      <c r="K4" s="64"/>
      <c r="L4" s="64"/>
      <c r="M4" s="64"/>
      <c r="N4" s="64"/>
      <c r="O4" s="64"/>
      <c r="P4" s="64"/>
    </row>
    <row r="5" spans="1:16" ht="15.75" x14ac:dyDescent="0.2">
      <c r="A5" s="64"/>
      <c r="B5" s="64"/>
      <c r="C5" s="88" t="s">
        <v>77</v>
      </c>
      <c r="D5" s="95"/>
      <c r="E5" s="95"/>
      <c r="F5" s="95"/>
      <c r="G5" s="95"/>
      <c r="H5" s="95"/>
      <c r="I5" s="95"/>
      <c r="J5" s="95"/>
      <c r="K5" s="95"/>
      <c r="L5" s="95"/>
      <c r="M5" s="95"/>
      <c r="N5" s="95"/>
      <c r="O5" s="95"/>
      <c r="P5" s="95"/>
    </row>
    <row r="6" spans="1:16" x14ac:dyDescent="0.2">
      <c r="A6" s="64"/>
      <c r="B6" s="64"/>
      <c r="C6" s="64"/>
      <c r="D6" s="64"/>
      <c r="E6" s="64"/>
      <c r="F6" s="64"/>
      <c r="G6" s="64"/>
      <c r="H6" s="64"/>
      <c r="I6" s="64"/>
      <c r="J6" s="64"/>
      <c r="K6" s="64"/>
      <c r="L6" s="64"/>
      <c r="M6" s="64"/>
      <c r="N6" s="64"/>
      <c r="O6" s="64"/>
      <c r="P6" s="64"/>
    </row>
    <row r="7" spans="1:16" x14ac:dyDescent="0.2">
      <c r="A7" s="64"/>
      <c r="B7" s="64"/>
      <c r="C7" s="552" t="s">
        <v>798</v>
      </c>
      <c r="D7" s="552"/>
      <c r="E7" s="18"/>
      <c r="F7" s="90"/>
      <c r="G7" s="84" t="s">
        <v>545</v>
      </c>
      <c r="H7" s="229"/>
      <c r="I7" s="85"/>
      <c r="J7" s="84" t="s">
        <v>796</v>
      </c>
      <c r="K7" s="70"/>
      <c r="N7" s="346">
        <f>IF(K7="Yes",1,0)</f>
        <v>0</v>
      </c>
      <c r="O7" s="346">
        <f>IF(AND(MedicineName&lt;&gt;"",E8&lt;&gt;"",E9&lt;&gt;""),1,0)</f>
        <v>0</v>
      </c>
      <c r="P7" s="64"/>
    </row>
    <row r="8" spans="1:16" x14ac:dyDescent="0.2">
      <c r="A8" s="64"/>
      <c r="B8" s="64"/>
      <c r="C8" s="552" t="s">
        <v>546</v>
      </c>
      <c r="D8" s="552"/>
      <c r="E8" s="18"/>
      <c r="F8" s="90"/>
      <c r="G8" s="84" t="s">
        <v>547</v>
      </c>
      <c r="H8" s="310"/>
      <c r="I8" s="85"/>
      <c r="J8" s="84" t="s">
        <v>548</v>
      </c>
      <c r="K8" s="70">
        <v>2026</v>
      </c>
      <c r="L8" s="90"/>
      <c r="M8" s="90"/>
      <c r="N8" s="64"/>
      <c r="O8" s="346">
        <f>IF(AND(H7&lt;&gt;"",H9&lt;&gt;0),1,0)</f>
        <v>0</v>
      </c>
      <c r="P8" s="64"/>
    </row>
    <row r="9" spans="1:16" x14ac:dyDescent="0.2">
      <c r="A9" s="64"/>
      <c r="B9" s="64"/>
      <c r="C9" s="552" t="s">
        <v>918</v>
      </c>
      <c r="D9" s="552"/>
      <c r="E9" s="15"/>
      <c r="F9" s="64"/>
      <c r="G9" s="84" t="s">
        <v>549</v>
      </c>
      <c r="H9" s="70"/>
      <c r="I9" s="64"/>
      <c r="J9" s="84" t="str">
        <f>IF(N9=1,"Submission category",IF(N9=2,"Resubmission pathway",""))</f>
        <v/>
      </c>
      <c r="K9" s="70"/>
      <c r="L9" s="64"/>
      <c r="M9" s="64"/>
      <c r="N9" s="346" t="str">
        <f>IFERROR(VLOOKUP(H9,SubmissionTypeCode,2,FALSE),"")</f>
        <v/>
      </c>
      <c r="O9" s="346">
        <f>IF(AND(K7&lt;&gt;"",FirstYear&lt;&gt;""),1,0)</f>
        <v>0</v>
      </c>
      <c r="P9" s="64"/>
    </row>
    <row r="10" spans="1:16" hidden="1" x14ac:dyDescent="0.2">
      <c r="A10" s="64"/>
      <c r="B10" s="64"/>
      <c r="C10" s="64"/>
      <c r="D10" s="64"/>
      <c r="E10" s="198" t="str">
        <f>IF(MedicineName&lt;&gt;"",TRIM(E7) &amp; " (" &amp; TRIM(E8) &amp; "®)","")</f>
        <v/>
      </c>
      <c r="F10" s="64"/>
      <c r="G10" s="64"/>
      <c r="H10" s="64"/>
      <c r="I10" s="64"/>
      <c r="J10" s="64"/>
      <c r="K10" s="64"/>
      <c r="L10" s="64"/>
      <c r="M10" s="64"/>
      <c r="N10" s="64"/>
      <c r="O10" s="64"/>
      <c r="P10" s="64"/>
    </row>
    <row r="11" spans="1:16" x14ac:dyDescent="0.2">
      <c r="A11" s="64"/>
      <c r="B11" s="64"/>
      <c r="C11" s="64"/>
      <c r="D11" s="64"/>
      <c r="E11" s="91"/>
      <c r="F11" s="64"/>
      <c r="G11" s="64"/>
      <c r="H11" s="64"/>
      <c r="I11" s="64"/>
      <c r="J11" s="64"/>
      <c r="K11" s="64"/>
      <c r="L11" s="64"/>
      <c r="M11" s="64"/>
      <c r="N11" s="64"/>
      <c r="O11" s="64"/>
      <c r="P11" s="64"/>
    </row>
    <row r="12" spans="1:16" x14ac:dyDescent="0.2">
      <c r="A12" s="64"/>
      <c r="B12" s="64"/>
      <c r="C12" s="64"/>
      <c r="D12" s="64"/>
      <c r="E12" s="64"/>
      <c r="F12" s="64"/>
      <c r="G12" s="64"/>
      <c r="H12" s="64"/>
      <c r="I12" s="64"/>
      <c r="J12" s="64"/>
      <c r="K12" s="64"/>
      <c r="L12" s="64"/>
      <c r="M12" s="64"/>
      <c r="N12" s="64"/>
      <c r="O12" s="64"/>
      <c r="P12" s="64"/>
    </row>
    <row r="13" spans="1:16" ht="15.75" x14ac:dyDescent="0.2">
      <c r="A13" s="64"/>
      <c r="B13" s="64"/>
      <c r="C13" s="88" t="s">
        <v>44</v>
      </c>
      <c r="D13" s="95"/>
      <c r="E13" s="95"/>
      <c r="F13" s="95"/>
      <c r="G13" s="95"/>
      <c r="H13" s="95"/>
      <c r="I13" s="95"/>
      <c r="J13" s="95"/>
      <c r="K13" s="95"/>
      <c r="L13" s="95"/>
      <c r="M13" s="95"/>
      <c r="N13" s="95"/>
      <c r="O13" s="95"/>
      <c r="P13" s="95"/>
    </row>
    <row r="14" spans="1:16" x14ac:dyDescent="0.2">
      <c r="A14" s="90"/>
      <c r="B14" s="90"/>
      <c r="C14" s="64"/>
      <c r="D14" s="64"/>
      <c r="E14" s="64"/>
      <c r="F14" s="64"/>
      <c r="G14" s="64"/>
      <c r="H14" s="64"/>
      <c r="I14" s="64"/>
      <c r="J14" s="64"/>
      <c r="K14" s="64"/>
      <c r="L14" s="64"/>
      <c r="M14" s="64"/>
      <c r="N14" s="64"/>
      <c r="O14" s="64"/>
      <c r="P14" s="64"/>
    </row>
    <row r="15" spans="1:16" ht="15.75" x14ac:dyDescent="0.2">
      <c r="A15" s="64"/>
      <c r="B15" s="64"/>
      <c r="C15" s="64"/>
      <c r="D15" s="64"/>
      <c r="E15" s="64"/>
      <c r="F15" s="64"/>
      <c r="G15" s="550" t="s">
        <v>199</v>
      </c>
      <c r="H15" s="550"/>
      <c r="I15" s="90"/>
      <c r="J15" s="566" t="str">
        <f>"Patient cost without subsidy - " &amp; IF(N405=1,"year","treatment course")</f>
        <v>Patient cost without subsidy - treatment course</v>
      </c>
      <c r="K15" s="566"/>
      <c r="L15" s="64"/>
      <c r="M15" s="64"/>
      <c r="N15" s="64"/>
      <c r="O15" s="64"/>
      <c r="P15" s="64"/>
    </row>
    <row r="16" spans="1:16" x14ac:dyDescent="0.2">
      <c r="A16" s="64"/>
      <c r="B16" s="64"/>
      <c r="C16" s="64"/>
      <c r="D16" s="64"/>
      <c r="E16" s="64"/>
      <c r="F16" s="64"/>
      <c r="G16" s="84" t="s">
        <v>550</v>
      </c>
      <c r="H16" s="296" t="str">
        <f>'5. Impact - net'!M1</f>
        <v>Nil</v>
      </c>
      <c r="I16" s="91"/>
      <c r="J16" s="84" t="s">
        <v>551</v>
      </c>
      <c r="K16" s="245">
        <f>IF(N409=0,H407*K405,K417)</f>
        <v>0</v>
      </c>
      <c r="L16" s="64"/>
      <c r="M16" s="64"/>
      <c r="N16" s="346" t="str">
        <f>IFERROR(VLOOKUP(H16,CostTypePBSCode,2,FALSE),"N")</f>
        <v>N</v>
      </c>
      <c r="O16" s="64"/>
      <c r="P16" s="64"/>
    </row>
    <row r="17" spans="1:16" x14ac:dyDescent="0.2">
      <c r="A17" s="64"/>
      <c r="B17" s="64"/>
      <c r="C17" s="64"/>
      <c r="D17" s="64"/>
      <c r="E17" s="64"/>
      <c r="F17" s="64"/>
      <c r="G17" s="84" t="s">
        <v>552</v>
      </c>
      <c r="H17" s="23" t="str">
        <f>'5. Impact - net'!M2</f>
        <v>Nil</v>
      </c>
      <c r="I17" s="91"/>
      <c r="J17" s="84" t="s">
        <v>553</v>
      </c>
      <c r="K17" s="245">
        <f>IF(N409=0,H407*K407,L417)</f>
        <v>0</v>
      </c>
      <c r="L17" s="64"/>
      <c r="M17" s="64"/>
      <c r="N17" s="346" t="str">
        <f>IFERROR(VLOOKUP(H17,CostTypeCode,2,FALSE),"N")</f>
        <v>N</v>
      </c>
      <c r="O17" s="64"/>
      <c r="P17" s="64"/>
    </row>
    <row r="18" spans="1:16" x14ac:dyDescent="0.2">
      <c r="A18" s="64"/>
      <c r="B18" s="64"/>
      <c r="C18" s="64"/>
      <c r="D18" s="64"/>
      <c r="E18" s="64"/>
      <c r="F18" s="64"/>
      <c r="G18" s="87" t="s">
        <v>554</v>
      </c>
      <c r="H18" s="309"/>
      <c r="I18" s="91"/>
      <c r="J18" s="90"/>
      <c r="K18" s="90"/>
      <c r="L18" s="64"/>
      <c r="M18" s="64"/>
      <c r="N18" s="64"/>
      <c r="O18" s="64"/>
      <c r="P18" s="64"/>
    </row>
    <row r="19" spans="1:16" x14ac:dyDescent="0.2">
      <c r="A19" s="64"/>
      <c r="B19" s="64"/>
      <c r="C19" s="64"/>
      <c r="D19" s="64"/>
      <c r="E19" s="64"/>
      <c r="F19" s="64"/>
      <c r="G19" s="84" t="s">
        <v>555</v>
      </c>
      <c r="H19" s="23" t="str">
        <f>'7. Net changes - MBS'!V1</f>
        <v>Nil</v>
      </c>
      <c r="I19" s="91"/>
      <c r="J19" s="90"/>
      <c r="K19" s="90"/>
      <c r="L19" s="64"/>
      <c r="M19" s="64"/>
      <c r="N19" s="64"/>
      <c r="O19" s="64"/>
      <c r="P19" s="64"/>
    </row>
    <row r="20" spans="1:16" ht="15.75" x14ac:dyDescent="0.2">
      <c r="A20" s="64"/>
      <c r="B20" s="64"/>
      <c r="C20" s="64"/>
      <c r="D20" s="64"/>
      <c r="E20" s="64"/>
      <c r="F20" s="64"/>
      <c r="G20" s="90"/>
      <c r="H20" s="90"/>
      <c r="I20" s="91"/>
      <c r="J20" s="550" t="s">
        <v>1169</v>
      </c>
      <c r="K20" s="550"/>
      <c r="L20" s="64"/>
      <c r="M20" s="64"/>
      <c r="N20" s="64"/>
      <c r="O20" s="64"/>
      <c r="P20" s="64"/>
    </row>
    <row r="21" spans="1:16" x14ac:dyDescent="0.2">
      <c r="A21" s="64"/>
      <c r="B21" s="64"/>
      <c r="C21" s="64"/>
      <c r="D21" s="64"/>
      <c r="E21" s="64"/>
      <c r="F21" s="64"/>
      <c r="G21" s="335" t="s">
        <v>722</v>
      </c>
      <c r="H21" s="23" t="str">
        <f>'6. Net changes - SA'!AA1</f>
        <v>Nil</v>
      </c>
      <c r="I21" s="91"/>
      <c r="J21" s="84" t="s">
        <v>803</v>
      </c>
      <c r="K21" s="70"/>
      <c r="L21" s="64"/>
      <c r="M21" s="64"/>
      <c r="N21" s="346" t="str">
        <f>IFERROR(VLOOKUP(H19,CostTypeCode,2,FALSE),"N")</f>
        <v>N</v>
      </c>
      <c r="O21" s="64"/>
      <c r="P21" s="64"/>
    </row>
    <row r="22" spans="1:16" x14ac:dyDescent="0.2">
      <c r="A22" s="64"/>
      <c r="B22" s="64"/>
      <c r="C22" s="64"/>
      <c r="D22" s="64"/>
      <c r="E22" s="64"/>
      <c r="F22" s="64"/>
      <c r="G22" s="89" t="s">
        <v>556</v>
      </c>
      <c r="H22" s="23" t="str">
        <f>IF(ComplexAuthCount&gt;0,"Yes","No")</f>
        <v>No</v>
      </c>
      <c r="I22" s="91"/>
      <c r="J22" s="84" t="s">
        <v>534</v>
      </c>
      <c r="K22" s="309"/>
      <c r="L22" s="64"/>
      <c r="M22" s="64"/>
      <c r="N22" s="346" t="str">
        <f>IFERROR(VLOOKUP(H21,CostTypeCode,2,FALSE),"N")</f>
        <v>N</v>
      </c>
      <c r="O22" s="64"/>
      <c r="P22" s="64"/>
    </row>
    <row r="23" spans="1:16" x14ac:dyDescent="0.2">
      <c r="A23" s="64"/>
      <c r="B23" s="64"/>
      <c r="C23" s="64"/>
      <c r="D23" s="64"/>
      <c r="E23" s="64"/>
      <c r="F23" s="64"/>
      <c r="G23" s="89" t="s">
        <v>557</v>
      </c>
      <c r="H23" s="309"/>
      <c r="I23" s="91"/>
      <c r="J23" s="84" t="s">
        <v>535</v>
      </c>
      <c r="K23" s="309"/>
      <c r="L23" s="64"/>
      <c r="M23" s="64"/>
      <c r="N23" s="64"/>
      <c r="O23" s="64"/>
      <c r="P23" s="64"/>
    </row>
    <row r="24" spans="1:16" x14ac:dyDescent="0.2">
      <c r="A24" s="64"/>
      <c r="B24" s="64"/>
      <c r="C24" s="64"/>
      <c r="D24" s="64"/>
      <c r="E24" s="64"/>
      <c r="F24" s="64"/>
      <c r="I24" s="91"/>
      <c r="J24" s="84" t="s">
        <v>536</v>
      </c>
      <c r="K24" s="309"/>
      <c r="L24" s="64"/>
      <c r="M24" s="64"/>
      <c r="N24" s="64"/>
      <c r="O24" s="64"/>
      <c r="P24" s="64"/>
    </row>
    <row r="25" spans="1:16" x14ac:dyDescent="0.2">
      <c r="A25" s="64"/>
      <c r="B25" s="64"/>
      <c r="C25" s="64"/>
      <c r="D25" s="64"/>
      <c r="E25" s="64"/>
      <c r="F25" s="64"/>
      <c r="G25" s="89" t="s">
        <v>558</v>
      </c>
      <c r="H25" s="23" t="str">
        <f>IF(H63&lt;&gt;"",H63,"")</f>
        <v/>
      </c>
      <c r="I25" s="91"/>
      <c r="J25" s="84" t="s">
        <v>624</v>
      </c>
      <c r="K25" s="309"/>
      <c r="L25" s="64"/>
      <c r="M25" s="64"/>
      <c r="N25" s="64"/>
      <c r="O25" s="64"/>
      <c r="P25" s="64"/>
    </row>
    <row r="26" spans="1:16" x14ac:dyDescent="0.2">
      <c r="A26" s="64"/>
      <c r="B26" s="64"/>
      <c r="C26" s="64"/>
      <c r="D26" s="64"/>
      <c r="E26" s="64"/>
      <c r="F26" s="64"/>
      <c r="G26" s="64"/>
      <c r="H26" s="64"/>
      <c r="I26" s="64"/>
      <c r="J26" s="64"/>
      <c r="K26" s="64"/>
      <c r="L26" s="64"/>
      <c r="M26" s="64"/>
      <c r="N26" s="64"/>
      <c r="O26" s="64"/>
      <c r="P26" s="64"/>
    </row>
    <row r="27" spans="1:16" x14ac:dyDescent="0.2">
      <c r="A27" s="64"/>
      <c r="B27" s="64"/>
      <c r="C27" s="64"/>
      <c r="D27" s="64"/>
      <c r="E27" s="64"/>
      <c r="F27" s="64"/>
      <c r="G27" s="64"/>
      <c r="H27" s="64"/>
      <c r="I27" s="64"/>
      <c r="J27" s="64"/>
      <c r="K27" s="64"/>
      <c r="L27" s="64"/>
      <c r="M27" s="64"/>
      <c r="N27" s="64"/>
      <c r="O27" s="64"/>
      <c r="P27" s="64"/>
    </row>
    <row r="28" spans="1:16" ht="15.75" x14ac:dyDescent="0.2">
      <c r="A28" s="64"/>
      <c r="B28" s="64"/>
      <c r="C28" s="88" t="s">
        <v>543</v>
      </c>
      <c r="D28" s="95"/>
      <c r="E28" s="95"/>
      <c r="F28" s="95"/>
      <c r="G28" s="95"/>
      <c r="H28" s="95"/>
      <c r="I28" s="95"/>
      <c r="J28" s="95"/>
      <c r="K28" s="95"/>
      <c r="L28" s="95"/>
      <c r="M28" s="95"/>
      <c r="N28" s="95"/>
      <c r="O28" s="95"/>
      <c r="P28" s="95"/>
    </row>
    <row r="29" spans="1:16" x14ac:dyDescent="0.2">
      <c r="A29" s="64"/>
      <c r="B29" s="64"/>
      <c r="C29" s="64"/>
      <c r="D29" s="64"/>
      <c r="E29" s="64"/>
      <c r="F29" s="64"/>
      <c r="G29" s="64"/>
      <c r="H29" s="64"/>
      <c r="I29" s="64"/>
      <c r="J29" s="64"/>
      <c r="K29" s="64"/>
      <c r="L29" s="64"/>
      <c r="M29" s="64"/>
      <c r="N29" s="64"/>
      <c r="O29" s="64"/>
      <c r="P29" s="64"/>
    </row>
    <row r="30" spans="1:16" ht="56.25" x14ac:dyDescent="0.2">
      <c r="A30" s="64"/>
      <c r="B30" s="64"/>
      <c r="C30" s="553"/>
      <c r="D30" s="554"/>
      <c r="E30" s="25" t="str">
        <f>IF(E31&lt;&gt;"",E31,E37) &amp; " " &amp; IF(E32&lt;&gt;"",E32,E38) &amp; " " &amp; IF(E33&lt;&gt;"",E33,E39) &amp; " " &amp; IF(E34&lt;&gt;"",E34,E40) &amp; " " &amp; IF(E35&lt;&gt;"",E35,E41)</f>
        <v>As there are no financial impacts for any portfolio agency, there is no financial impact for the Commonwealth. As there is no change to the price or volume of the medicine associated with this listing, there is no financial impact on the PBS. As there no change to the price or volume of the medicine associated with this listing, there is no financial impact on the RPBS. As there is no testing or medical imaging associated with this listing, there is no impact on the MBS. As there is no change in dispensing volumes or the service delivery model associated with this listing, there is no impact on SA.</v>
      </c>
      <c r="F30" s="91"/>
      <c r="G30" s="196"/>
      <c r="H30" s="91"/>
      <c r="I30" s="91"/>
      <c r="J30" s="91"/>
      <c r="K30" s="91"/>
      <c r="L30" s="91"/>
      <c r="M30" s="91"/>
      <c r="N30" s="64"/>
      <c r="O30" s="64"/>
      <c r="P30" s="64"/>
    </row>
    <row r="31" spans="1:16" x14ac:dyDescent="0.2">
      <c r="A31" s="64"/>
      <c r="B31" s="64"/>
      <c r="C31" s="544" t="s">
        <v>559</v>
      </c>
      <c r="D31" s="546"/>
      <c r="E31" s="311"/>
      <c r="F31" s="91"/>
      <c r="G31" s="64"/>
      <c r="H31" s="91"/>
      <c r="I31" s="91"/>
      <c r="J31" s="91"/>
      <c r="K31" s="91"/>
      <c r="L31" s="91"/>
      <c r="M31" s="91"/>
      <c r="N31" s="64"/>
      <c r="O31" s="64"/>
      <c r="P31" s="64"/>
    </row>
    <row r="32" spans="1:16" x14ac:dyDescent="0.2">
      <c r="A32" s="64"/>
      <c r="B32" s="64"/>
      <c r="C32" s="544" t="s">
        <v>550</v>
      </c>
      <c r="D32" s="546"/>
      <c r="E32" s="311"/>
      <c r="F32" s="91"/>
      <c r="G32" s="64"/>
      <c r="I32" s="91"/>
      <c r="J32" s="91"/>
      <c r="K32" s="91"/>
      <c r="L32" s="91"/>
      <c r="M32" s="91"/>
      <c r="N32" s="64"/>
      <c r="O32" s="64"/>
      <c r="P32" s="64"/>
    </row>
    <row r="33" spans="1:16" x14ac:dyDescent="0.2">
      <c r="A33" s="64"/>
      <c r="B33" s="64"/>
      <c r="C33" s="544" t="s">
        <v>552</v>
      </c>
      <c r="D33" s="546"/>
      <c r="E33" s="311"/>
      <c r="F33" s="91"/>
      <c r="G33" s="64"/>
      <c r="H33" s="91"/>
      <c r="I33" s="91"/>
      <c r="J33" s="91"/>
      <c r="K33" s="91"/>
      <c r="L33" s="91"/>
      <c r="M33" s="91"/>
      <c r="N33" s="64"/>
      <c r="O33" s="64"/>
      <c r="P33" s="64"/>
    </row>
    <row r="34" spans="1:16" x14ac:dyDescent="0.2">
      <c r="A34" s="64"/>
      <c r="B34" s="64"/>
      <c r="C34" s="544" t="s">
        <v>555</v>
      </c>
      <c r="D34" s="546"/>
      <c r="E34" s="311"/>
      <c r="F34" s="91"/>
      <c r="G34" s="64"/>
      <c r="H34" s="91"/>
      <c r="I34" s="91"/>
      <c r="J34" s="91"/>
      <c r="K34" s="91"/>
      <c r="L34" s="91"/>
      <c r="M34" s="91"/>
      <c r="N34" s="64"/>
      <c r="O34" s="64"/>
      <c r="P34" s="64"/>
    </row>
    <row r="35" spans="1:16" x14ac:dyDescent="0.2">
      <c r="A35" s="64"/>
      <c r="B35" s="64"/>
      <c r="C35" s="544" t="s">
        <v>722</v>
      </c>
      <c r="D35" s="546"/>
      <c r="E35" s="311"/>
      <c r="F35" s="91"/>
      <c r="G35" s="64"/>
      <c r="H35" s="91"/>
      <c r="I35" s="91"/>
      <c r="J35" s="91"/>
      <c r="K35" s="91"/>
      <c r="L35" s="91"/>
      <c r="M35" s="91"/>
      <c r="N35" s="64"/>
      <c r="O35" s="64"/>
      <c r="P35" s="64"/>
    </row>
    <row r="36" spans="1:16" hidden="1" x14ac:dyDescent="0.2">
      <c r="A36" s="64"/>
      <c r="B36" s="64"/>
      <c r="C36" s="64"/>
      <c r="D36" s="64"/>
      <c r="E36" s="93"/>
      <c r="F36" s="64"/>
      <c r="G36" s="64"/>
      <c r="H36" s="64"/>
      <c r="I36" s="64"/>
      <c r="J36" s="64"/>
      <c r="K36" s="64"/>
      <c r="L36" s="64"/>
      <c r="M36" s="64"/>
      <c r="N36" s="64"/>
      <c r="O36" s="64"/>
      <c r="P36" s="64"/>
    </row>
    <row r="37" spans="1:16" hidden="1" x14ac:dyDescent="0.2">
      <c r="A37" s="64"/>
      <c r="B37" s="64"/>
      <c r="C37" s="64"/>
      <c r="D37" s="64"/>
      <c r="E37" s="199" t="str">
        <f>IF(AND(N16="N",N17="N",N21="N",N22="N"),References!AB5,IF(AND(OR(N16="C",N17="C"),H66="Price change"),References!AB6,IF(AND(OR(N16="S",N17="S"),H66="Price change"),References!AB7,IF(E31&lt;&gt;"",E31,""))))</f>
        <v>As there are no financial impacts for any portfolio agency, there is no financial impact for the Commonwealth.</v>
      </c>
      <c r="F37" s="64"/>
      <c r="G37" s="64"/>
      <c r="H37" s="64"/>
      <c r="I37" s="64"/>
      <c r="J37" s="64"/>
      <c r="K37" s="64"/>
      <c r="L37" s="64"/>
      <c r="M37" s="64"/>
      <c r="N37" s="64"/>
      <c r="O37" s="64"/>
      <c r="P37" s="64"/>
    </row>
    <row r="38" spans="1:16" hidden="1" x14ac:dyDescent="0.2">
      <c r="A38" s="64"/>
      <c r="B38" s="64"/>
      <c r="C38" s="64"/>
      <c r="D38" s="64"/>
      <c r="E38" s="199" t="str">
        <f>IF(N16="N",References!AB9,IF(AND(N16="C",H66="Price change"),References!AB10,IF(AND(N16="S",H66="Price change"),References!AB11,IF(E32&lt;&gt;"",E32,""))))</f>
        <v>As there is no change to the price or volume of the medicine associated with this listing, there is no financial impact on the PBS.</v>
      </c>
      <c r="F38" s="64"/>
      <c r="G38" s="64"/>
      <c r="H38" s="64"/>
      <c r="I38" s="64"/>
      <c r="J38" s="64"/>
      <c r="K38" s="64"/>
      <c r="L38" s="64"/>
      <c r="M38" s="64"/>
      <c r="N38" s="64"/>
      <c r="O38" s="64"/>
      <c r="P38" s="64"/>
    </row>
    <row r="39" spans="1:16" hidden="1" x14ac:dyDescent="0.2">
      <c r="A39" s="64"/>
      <c r="B39" s="64"/>
      <c r="C39" s="64"/>
      <c r="D39" s="64"/>
      <c r="E39" s="199" t="str">
        <f>IF(N17="N",References!AB13,IF(AND(N17="C",H66="Price change"),References!AB14,IF(AND(N17="S",H66="Price change"),References!AB15,IF(E33&lt;&gt;"",E33,""))))</f>
        <v>As there no change to the price or volume of the medicine associated with this listing, there is no financial impact on the RPBS.</v>
      </c>
      <c r="F39" s="64"/>
      <c r="G39" s="64"/>
      <c r="H39" s="64"/>
      <c r="I39" s="64"/>
      <c r="J39" s="64"/>
      <c r="K39" s="64"/>
      <c r="L39" s="64"/>
      <c r="M39" s="64"/>
      <c r="N39" s="64"/>
      <c r="O39" s="64"/>
      <c r="P39" s="64"/>
    </row>
    <row r="40" spans="1:16" hidden="1" x14ac:dyDescent="0.2">
      <c r="A40" s="64"/>
      <c r="B40" s="64"/>
      <c r="C40" s="64"/>
      <c r="D40" s="64"/>
      <c r="E40" s="199" t="str">
        <f>IF(N21="N",References!AB17,IF(E34&lt;&gt;"",E34,""))</f>
        <v>As there is no testing or medical imaging associated with this listing, there is no impact on the MBS.</v>
      </c>
      <c r="F40" s="64"/>
      <c r="G40" s="64"/>
      <c r="H40" s="64"/>
      <c r="I40" s="64"/>
      <c r="J40" s="64"/>
      <c r="K40" s="64"/>
      <c r="L40" s="64"/>
      <c r="M40" s="64"/>
      <c r="N40" s="64"/>
      <c r="O40" s="64"/>
      <c r="P40" s="64"/>
    </row>
    <row r="41" spans="1:16" hidden="1" x14ac:dyDescent="0.2">
      <c r="A41" s="64"/>
      <c r="B41" s="64"/>
      <c r="C41" s="64"/>
      <c r="D41" s="64"/>
      <c r="E41" s="199" t="str">
        <f>IF(N22="N",References!AB18,IF(E35&lt;&gt;"",E35,""))</f>
        <v>As there is no change in dispensing volumes or the service delivery model associated with this listing, there is no impact on SA.</v>
      </c>
      <c r="F41" s="64"/>
      <c r="G41" s="64"/>
      <c r="H41" s="64"/>
      <c r="I41" s="64"/>
      <c r="J41" s="64"/>
      <c r="K41" s="64"/>
      <c r="L41" s="64"/>
      <c r="M41" s="64"/>
      <c r="N41" s="64"/>
      <c r="O41" s="64"/>
      <c r="P41" s="64"/>
    </row>
    <row r="42" spans="1:16" x14ac:dyDescent="0.2">
      <c r="A42" s="64"/>
      <c r="B42" s="64"/>
      <c r="C42" s="64"/>
      <c r="D42" s="64"/>
      <c r="E42" s="200"/>
      <c r="F42" s="64"/>
      <c r="G42" s="64"/>
      <c r="H42" s="64"/>
      <c r="I42" s="64"/>
      <c r="J42" s="64"/>
      <c r="K42" s="64"/>
      <c r="L42" s="64"/>
      <c r="M42" s="64"/>
      <c r="N42" s="64"/>
      <c r="O42" s="64"/>
      <c r="P42" s="64"/>
    </row>
    <row r="43" spans="1:16" ht="15.75" x14ac:dyDescent="0.2">
      <c r="A43" s="64"/>
      <c r="B43" s="64"/>
      <c r="C43" s="88" t="s">
        <v>544</v>
      </c>
      <c r="D43" s="95"/>
      <c r="E43" s="95"/>
      <c r="F43" s="95"/>
      <c r="G43" s="95"/>
      <c r="H43" s="95"/>
      <c r="I43" s="95"/>
      <c r="J43" s="95"/>
      <c r="K43" s="95"/>
      <c r="L43" s="95"/>
      <c r="M43" s="95"/>
      <c r="N43" s="95"/>
      <c r="O43" s="95"/>
      <c r="P43" s="95"/>
    </row>
    <row r="44" spans="1:16" x14ac:dyDescent="0.2">
      <c r="A44" s="64"/>
      <c r="B44" s="64"/>
      <c r="C44" s="64"/>
      <c r="D44" s="64"/>
      <c r="E44" s="64"/>
      <c r="F44" s="64"/>
      <c r="G44" s="64"/>
      <c r="H44" s="64"/>
      <c r="I44" s="64"/>
      <c r="J44" s="64"/>
      <c r="K44" s="64"/>
      <c r="L44" s="64"/>
      <c r="M44" s="64"/>
      <c r="N44" s="64"/>
      <c r="O44" s="64"/>
      <c r="P44" s="64"/>
    </row>
    <row r="45" spans="1:16" x14ac:dyDescent="0.2">
      <c r="A45" s="64"/>
      <c r="B45" s="64"/>
      <c r="C45" s="544" t="s">
        <v>560</v>
      </c>
      <c r="D45" s="546"/>
      <c r="E45" s="312"/>
      <c r="F45" s="90"/>
      <c r="G45" s="555" t="str">
        <f>IF(E45="",MsgError &amp; VLOOKUP("NoPBAC",ErrorMessages,2,FALSE),"")</f>
        <v>Error: missing PBAC recommendation</v>
      </c>
      <c r="H45" s="555"/>
      <c r="I45" s="85"/>
      <c r="J45" s="85"/>
      <c r="K45" s="85"/>
      <c r="L45" s="85"/>
      <c r="M45" s="85"/>
      <c r="N45" s="64"/>
      <c r="O45" s="346">
        <f>IF(E45&lt;&gt;"",1,0)</f>
        <v>0</v>
      </c>
      <c r="P45" s="64"/>
    </row>
    <row r="46" spans="1:16" x14ac:dyDescent="0.2">
      <c r="A46" s="64"/>
      <c r="B46" s="64"/>
      <c r="C46" s="544" t="s">
        <v>561</v>
      </c>
      <c r="D46" s="546"/>
      <c r="E46" s="311"/>
      <c r="F46" s="90"/>
      <c r="G46" s="551" t="str">
        <f>IF(CoDep=0,MsgNote &amp; VLOOKUP("NoMSAC",WarningMessages,2,FALSE),IF(AND(CoDep=1,E46=""),MsgError &amp; VLOOKUP("NoMSAC",ErrorMessages,2,FALSE),""))</f>
        <v>Note: not presented to MSAC</v>
      </c>
      <c r="H46" s="551"/>
      <c r="I46" s="85"/>
      <c r="J46" s="85"/>
      <c r="K46" s="85"/>
      <c r="L46" s="85"/>
      <c r="M46" s="85"/>
      <c r="N46" s="346">
        <f>IF(AND(CoDep=1,E46=""),2,IF(CoDep=0,1,0))</f>
        <v>1</v>
      </c>
      <c r="O46" s="64"/>
      <c r="P46" s="64"/>
    </row>
    <row r="47" spans="1:16" x14ac:dyDescent="0.2">
      <c r="A47" s="64"/>
      <c r="B47" s="64"/>
      <c r="C47" s="64"/>
      <c r="D47" s="64"/>
      <c r="E47" s="64"/>
      <c r="F47" s="64"/>
      <c r="G47" s="64"/>
      <c r="H47" s="64"/>
      <c r="I47" s="64"/>
      <c r="J47" s="64"/>
      <c r="K47" s="64"/>
      <c r="L47" s="64"/>
      <c r="M47" s="64"/>
      <c r="N47" s="64"/>
      <c r="O47" s="64"/>
      <c r="P47" s="64"/>
    </row>
    <row r="48" spans="1:16" x14ac:dyDescent="0.2">
      <c r="A48" s="64"/>
      <c r="B48" s="64"/>
      <c r="C48" s="64"/>
      <c r="D48" s="64"/>
      <c r="E48" s="64"/>
      <c r="F48" s="64"/>
      <c r="G48" s="64"/>
      <c r="H48" s="64"/>
      <c r="I48" s="64"/>
      <c r="J48" s="64"/>
      <c r="K48" s="64"/>
      <c r="L48" s="64"/>
      <c r="M48" s="64"/>
      <c r="N48" s="64"/>
      <c r="O48" s="64"/>
      <c r="P48" s="64"/>
    </row>
    <row r="49" spans="1:16" ht="15.75" x14ac:dyDescent="0.2">
      <c r="A49" s="64"/>
      <c r="B49" s="64"/>
      <c r="C49" s="88" t="s">
        <v>209</v>
      </c>
      <c r="D49" s="95"/>
      <c r="E49" s="95"/>
      <c r="F49" s="95"/>
      <c r="G49" s="95"/>
      <c r="H49" s="95"/>
      <c r="I49" s="95"/>
      <c r="J49" s="95"/>
      <c r="K49" s="95"/>
      <c r="L49" s="95"/>
      <c r="M49" s="95"/>
      <c r="N49" s="95"/>
      <c r="O49" s="95"/>
      <c r="P49" s="95"/>
    </row>
    <row r="50" spans="1:16" x14ac:dyDescent="0.2">
      <c r="A50" s="64"/>
      <c r="B50" s="64"/>
      <c r="C50" s="64"/>
      <c r="D50" s="64"/>
      <c r="E50" s="64"/>
      <c r="F50" s="64"/>
      <c r="G50" s="64"/>
      <c r="H50" s="64"/>
      <c r="I50" s="64"/>
      <c r="J50" s="64"/>
      <c r="K50" s="64"/>
      <c r="L50" s="64"/>
      <c r="M50" s="64"/>
      <c r="N50" s="64"/>
      <c r="O50" s="64"/>
      <c r="P50" s="64"/>
    </row>
    <row r="51" spans="1:16" x14ac:dyDescent="0.2">
      <c r="A51" s="64"/>
      <c r="B51" s="64"/>
      <c r="C51" s="544" t="s">
        <v>35</v>
      </c>
      <c r="D51" s="546"/>
      <c r="E51" s="14"/>
      <c r="F51" s="85"/>
      <c r="G51" s="64"/>
      <c r="H51" s="85"/>
      <c r="I51" s="85"/>
      <c r="J51" s="85"/>
      <c r="K51" s="85"/>
      <c r="L51" s="85"/>
      <c r="M51" s="85"/>
      <c r="N51" s="64"/>
      <c r="O51" s="346">
        <f t="shared" ref="O51:O57" si="0">IF(E51&lt;&gt;"",1,0)</f>
        <v>0</v>
      </c>
      <c r="P51" s="64"/>
    </row>
    <row r="52" spans="1:16" x14ac:dyDescent="0.2">
      <c r="A52" s="64"/>
      <c r="B52" s="64"/>
      <c r="C52" s="544" t="s">
        <v>36</v>
      </c>
      <c r="D52" s="546"/>
      <c r="E52" s="14"/>
      <c r="F52" s="85"/>
      <c r="G52" s="64"/>
      <c r="H52" s="85"/>
      <c r="I52" s="85"/>
      <c r="J52" s="85"/>
      <c r="K52" s="85"/>
      <c r="L52" s="85"/>
      <c r="M52" s="85"/>
      <c r="N52" s="64"/>
      <c r="O52" s="346">
        <f t="shared" si="0"/>
        <v>0</v>
      </c>
      <c r="P52" s="64"/>
    </row>
    <row r="53" spans="1:16" x14ac:dyDescent="0.2">
      <c r="A53" s="64"/>
      <c r="B53" s="64"/>
      <c r="C53" s="544" t="s">
        <v>37</v>
      </c>
      <c r="D53" s="546"/>
      <c r="E53" s="14"/>
      <c r="F53" s="85"/>
      <c r="G53" s="64"/>
      <c r="H53" s="85"/>
      <c r="I53" s="85"/>
      <c r="J53" s="85"/>
      <c r="K53" s="85"/>
      <c r="L53" s="85"/>
      <c r="M53" s="85"/>
      <c r="N53" s="64"/>
      <c r="O53" s="346">
        <f t="shared" si="0"/>
        <v>0</v>
      </c>
      <c r="P53" s="64"/>
    </row>
    <row r="54" spans="1:16" x14ac:dyDescent="0.2">
      <c r="A54" s="64"/>
      <c r="B54" s="64"/>
      <c r="C54" s="544" t="s">
        <v>38</v>
      </c>
      <c r="D54" s="546"/>
      <c r="E54" s="14"/>
      <c r="F54" s="85"/>
      <c r="G54" s="64"/>
      <c r="H54" s="85"/>
      <c r="I54" s="85"/>
      <c r="J54" s="85"/>
      <c r="K54" s="85"/>
      <c r="L54" s="85"/>
      <c r="M54" s="85"/>
      <c r="N54" s="64"/>
      <c r="O54" s="346">
        <f t="shared" si="0"/>
        <v>0</v>
      </c>
      <c r="P54" s="64"/>
    </row>
    <row r="55" spans="1:16" x14ac:dyDescent="0.2">
      <c r="A55" s="64"/>
      <c r="B55" s="64"/>
      <c r="C55" s="544" t="s">
        <v>39</v>
      </c>
      <c r="D55" s="546"/>
      <c r="E55" s="19"/>
      <c r="F55" s="85"/>
      <c r="G55" s="64"/>
      <c r="H55" s="85"/>
      <c r="I55" s="85"/>
      <c r="J55" s="85"/>
      <c r="K55" s="85"/>
      <c r="L55" s="85"/>
      <c r="M55" s="85"/>
      <c r="N55" s="64"/>
      <c r="O55" s="346">
        <f t="shared" si="0"/>
        <v>0</v>
      </c>
      <c r="P55" s="64"/>
    </row>
    <row r="56" spans="1:16" x14ac:dyDescent="0.2">
      <c r="A56" s="64"/>
      <c r="B56" s="64"/>
      <c r="C56" s="544" t="s">
        <v>562</v>
      </c>
      <c r="D56" s="546"/>
      <c r="E56" s="12"/>
      <c r="F56" s="85"/>
      <c r="G56" s="85"/>
      <c r="H56" s="85"/>
      <c r="I56" s="85"/>
      <c r="J56" s="85"/>
      <c r="K56" s="85"/>
      <c r="L56" s="85"/>
      <c r="M56" s="85"/>
      <c r="N56" s="64"/>
      <c r="O56" s="346">
        <f t="shared" si="0"/>
        <v>0</v>
      </c>
      <c r="P56" s="64"/>
    </row>
    <row r="57" spans="1:16" x14ac:dyDescent="0.2">
      <c r="A57" s="64"/>
      <c r="B57" s="64"/>
      <c r="C57" s="544" t="s">
        <v>563</v>
      </c>
      <c r="D57" s="546"/>
      <c r="E57" s="12"/>
      <c r="F57" s="85"/>
      <c r="G57" s="85"/>
      <c r="H57" s="85"/>
      <c r="I57" s="85"/>
      <c r="J57" s="85"/>
      <c r="K57" s="85"/>
      <c r="L57" s="85"/>
      <c r="M57" s="85"/>
      <c r="N57" s="64"/>
      <c r="O57" s="346">
        <f t="shared" si="0"/>
        <v>0</v>
      </c>
      <c r="P57" s="64"/>
    </row>
    <row r="58" spans="1:16" x14ac:dyDescent="0.2">
      <c r="A58" s="64"/>
      <c r="B58" s="64"/>
      <c r="C58" s="64"/>
      <c r="D58" s="64"/>
      <c r="E58" s="64"/>
      <c r="F58" s="64"/>
      <c r="G58" s="64"/>
      <c r="H58" s="64"/>
      <c r="I58" s="64"/>
      <c r="J58" s="64"/>
      <c r="K58" s="64"/>
      <c r="L58" s="64"/>
      <c r="M58" s="64"/>
      <c r="N58" s="64"/>
      <c r="O58" s="64"/>
      <c r="P58" s="64"/>
    </row>
    <row r="59" spans="1:16" x14ac:dyDescent="0.2">
      <c r="A59" s="64"/>
      <c r="B59" s="64"/>
      <c r="C59" s="64"/>
      <c r="D59" s="64"/>
      <c r="E59" s="64"/>
      <c r="F59" s="64"/>
      <c r="G59" s="64"/>
      <c r="H59" s="64"/>
      <c r="I59" s="64"/>
      <c r="J59" s="64"/>
      <c r="K59" s="64"/>
      <c r="L59" s="64"/>
      <c r="M59" s="64"/>
      <c r="N59" s="64"/>
      <c r="O59" s="64"/>
      <c r="P59" s="64"/>
    </row>
    <row r="60" spans="1:16" ht="15.75" x14ac:dyDescent="0.2">
      <c r="A60" s="64"/>
      <c r="B60" s="64"/>
      <c r="C60" s="88" t="s">
        <v>875</v>
      </c>
      <c r="D60" s="95"/>
      <c r="E60" s="95"/>
      <c r="F60" s="95"/>
      <c r="G60" s="95"/>
      <c r="H60" s="95"/>
      <c r="I60" s="95"/>
      <c r="J60" s="95"/>
      <c r="K60" s="95"/>
      <c r="L60" s="95"/>
      <c r="M60" s="95"/>
      <c r="N60" s="95"/>
      <c r="O60" s="95"/>
      <c r="P60" s="95"/>
    </row>
    <row r="61" spans="1:16" x14ac:dyDescent="0.2">
      <c r="A61" s="64"/>
      <c r="B61" s="64"/>
      <c r="C61" s="64"/>
      <c r="D61" s="64"/>
      <c r="E61" s="64"/>
      <c r="F61" s="64"/>
      <c r="G61" s="64"/>
      <c r="H61" s="64"/>
      <c r="I61" s="64"/>
      <c r="J61" s="64"/>
      <c r="K61" s="64"/>
      <c r="L61" s="64"/>
      <c r="M61" s="64"/>
      <c r="N61" s="64"/>
      <c r="O61" s="64"/>
      <c r="P61" s="64"/>
    </row>
    <row r="62" spans="1:16" x14ac:dyDescent="0.2">
      <c r="A62" s="64"/>
      <c r="B62" s="64"/>
      <c r="C62" s="94"/>
      <c r="D62" s="94"/>
      <c r="E62" s="317" t="str">
        <f>IF(AND(TPAll&gt;0,OR(TPInit&gt;0,TPCont&gt;0)),MsgNote &amp; VLOOKUP("DupInCon",WarningMessages,2,FALSE),"")</f>
        <v/>
      </c>
      <c r="F62" s="90"/>
      <c r="G62" s="225" t="s">
        <v>564</v>
      </c>
      <c r="H62" s="367"/>
      <c r="I62" s="90"/>
      <c r="L62" s="90"/>
      <c r="M62" s="90"/>
      <c r="N62" s="64"/>
      <c r="O62" s="346">
        <f>IF(AND(H62&lt;&gt;"",H62&lt;&gt;0),1,0)</f>
        <v>0</v>
      </c>
      <c r="P62" s="64"/>
    </row>
    <row r="63" spans="1:16" x14ac:dyDescent="0.2">
      <c r="A63" s="64"/>
      <c r="B63" s="64"/>
      <c r="C63" s="94"/>
      <c r="D63" s="94"/>
      <c r="E63" s="317" t="str">
        <f>IF(OR(AND(TPInit&gt;0,TPCont=0),AND(TPInit=0,TPCont&gt;0)),MsgNote &amp; VLOOKUP("MisInCon",WarningMessages,2,FALSE),"")</f>
        <v/>
      </c>
      <c r="F63" s="90"/>
      <c r="G63" s="84" t="s">
        <v>558</v>
      </c>
      <c r="H63" s="70"/>
      <c r="I63" s="90"/>
      <c r="J63" s="90"/>
      <c r="K63" s="90"/>
      <c r="L63" s="422"/>
      <c r="M63" s="346">
        <f>IF(H63="Yes",1,0)</f>
        <v>0</v>
      </c>
      <c r="N63" s="64"/>
      <c r="O63" s="64"/>
      <c r="P63" s="64"/>
    </row>
    <row r="64" spans="1:16" x14ac:dyDescent="0.2">
      <c r="A64" s="64"/>
      <c r="B64" s="64"/>
      <c r="C64" s="94"/>
      <c r="D64" s="94"/>
      <c r="E64" s="94"/>
      <c r="F64" s="90"/>
      <c r="G64" s="90"/>
      <c r="H64" s="90"/>
      <c r="I64" s="90"/>
      <c r="J64" s="90"/>
      <c r="K64" s="90"/>
      <c r="L64" s="90"/>
      <c r="M64" s="90"/>
      <c r="N64" s="64"/>
      <c r="O64" s="64"/>
      <c r="P64" s="64"/>
    </row>
    <row r="65" spans="1:16" ht="15.75" x14ac:dyDescent="0.2">
      <c r="A65" s="64"/>
      <c r="B65" s="408">
        <v>1</v>
      </c>
      <c r="C65" s="547" t="str">
        <f xml:space="preserve"> IF(B65&lt;=$H$62,"Restriction " &amp; B65 &amp; " of " &amp; $H$62,MsgNotUsed)</f>
        <v>** NOT USED **</v>
      </c>
      <c r="D65" s="548"/>
      <c r="E65" s="549"/>
      <c r="F65" s="85"/>
      <c r="G65" s="90"/>
      <c r="H65" s="90"/>
      <c r="I65" s="90"/>
      <c r="J65" s="91"/>
      <c r="K65" s="91"/>
      <c r="L65" s="90"/>
      <c r="M65" s="90"/>
      <c r="N65" s="64"/>
      <c r="O65" s="64"/>
      <c r="P65" s="64"/>
    </row>
    <row r="66" spans="1:16" hidden="1" outlineLevel="1" x14ac:dyDescent="0.2">
      <c r="B66" s="346">
        <f>IFERROR(VLOOKUP(D66,ProgrammeCode,3,FALSE),0)</f>
        <v>0</v>
      </c>
      <c r="C66" s="225" t="s">
        <v>565</v>
      </c>
      <c r="D66" s="70"/>
      <c r="E66" s="24" t="str">
        <f>IF(D66&lt;&gt;"",VLOOKUP(D66,ProgrammeCode,2,FALSE),"")</f>
        <v/>
      </c>
      <c r="F66" s="73"/>
      <c r="G66" s="84" t="s">
        <v>566</v>
      </c>
      <c r="H66" s="70"/>
      <c r="J66" s="320" t="s">
        <v>704</v>
      </c>
      <c r="N66" s="346" t="str">
        <f>IF(AND(H66&lt;&gt;"",H66&lt;&gt;"New"),"E","")</f>
        <v/>
      </c>
      <c r="O66" s="322"/>
      <c r="P66" s="322"/>
    </row>
    <row r="67" spans="1:16" hidden="1" outlineLevel="1" x14ac:dyDescent="0.2">
      <c r="A67" s="322"/>
      <c r="B67" s="322"/>
      <c r="C67" s="90"/>
      <c r="D67" s="90"/>
      <c r="E67" s="90"/>
      <c r="F67" s="90"/>
      <c r="G67" s="87" t="s">
        <v>685</v>
      </c>
      <c r="H67" s="13"/>
      <c r="I67" s="90"/>
      <c r="J67" s="368"/>
      <c r="L67" s="422"/>
      <c r="M67" s="346">
        <f>IF(J67&lt;&gt;"",VLOOKUP(J67,AuthorityCode,2,FALSE),0)</f>
        <v>0</v>
      </c>
      <c r="O67" s="322"/>
      <c r="P67" s="322"/>
    </row>
    <row r="68" spans="1:16" hidden="1" outlineLevel="1" x14ac:dyDescent="0.2">
      <c r="A68" s="322"/>
      <c r="B68" s="322"/>
      <c r="C68" s="556" t="s">
        <v>56</v>
      </c>
      <c r="D68" s="557"/>
      <c r="E68" s="14"/>
      <c r="F68" s="323"/>
      <c r="G68" s="87" t="str">
        <f>VLOOKUP(B66,MaxQ,2,TRUE)</f>
        <v>Max quantity (units)</v>
      </c>
      <c r="H68" s="17"/>
      <c r="I68" s="90"/>
      <c r="J68" s="368"/>
      <c r="O68" s="322"/>
      <c r="P68" s="322"/>
    </row>
    <row r="69" spans="1:16" hidden="1" outlineLevel="1" x14ac:dyDescent="0.2">
      <c r="A69" s="322"/>
      <c r="B69" s="322"/>
      <c r="C69" s="324"/>
      <c r="D69" s="324"/>
      <c r="E69" s="12"/>
      <c r="F69" s="90"/>
      <c r="G69" s="87" t="s">
        <v>567</v>
      </c>
      <c r="H69" s="17"/>
      <c r="I69" s="90"/>
      <c r="O69" s="322"/>
      <c r="P69" s="322"/>
    </row>
    <row r="70" spans="1:16" hidden="1" outlineLevel="1" x14ac:dyDescent="0.2">
      <c r="A70" s="322"/>
      <c r="B70" s="322"/>
      <c r="C70" s="544" t="s">
        <v>568</v>
      </c>
      <c r="D70" s="545"/>
      <c r="E70" s="12"/>
      <c r="F70" s="85"/>
      <c r="G70" s="322"/>
      <c r="H70" s="322"/>
      <c r="I70" s="90"/>
      <c r="O70" s="91"/>
      <c r="P70" s="322"/>
    </row>
    <row r="71" spans="1:16" hidden="1" outlineLevel="1" x14ac:dyDescent="0.2">
      <c r="A71" s="322"/>
      <c r="B71" s="322"/>
      <c r="C71" s="544" t="s">
        <v>569</v>
      </c>
      <c r="D71" s="545"/>
      <c r="E71" s="12"/>
      <c r="F71" s="85"/>
      <c r="G71" s="322"/>
      <c r="H71" s="322"/>
      <c r="I71" s="90"/>
      <c r="O71" s="322"/>
      <c r="P71" s="322"/>
    </row>
    <row r="72" spans="1:16" hidden="1" outlineLevel="1" x14ac:dyDescent="0.2">
      <c r="A72" s="322"/>
      <c r="B72" s="322"/>
      <c r="C72" s="544" t="s">
        <v>570</v>
      </c>
      <c r="D72" s="545"/>
      <c r="E72" s="12"/>
      <c r="F72" s="85"/>
      <c r="G72" s="90"/>
      <c r="H72" s="90"/>
      <c r="I72" s="90"/>
      <c r="O72" s="322"/>
      <c r="P72" s="322"/>
    </row>
    <row r="73" spans="1:16" hidden="1" outlineLevel="1" x14ac:dyDescent="0.2">
      <c r="A73" s="322"/>
      <c r="B73" s="322"/>
      <c r="C73" s="544" t="s">
        <v>883</v>
      </c>
      <c r="D73" s="545"/>
      <c r="E73" s="25" t="str">
        <f>IF(E70 &lt;&gt;"",E70 &amp; " ","") &amp; IF(E71&lt;&gt;"",E71 &amp; " ","") &amp; IF(E72&lt;&gt; "",E72,"")</f>
        <v/>
      </c>
      <c r="F73" s="85"/>
      <c r="G73" s="90"/>
      <c r="H73" s="90"/>
      <c r="I73" s="90"/>
      <c r="K73" s="91"/>
      <c r="L73" s="91"/>
      <c r="M73" s="91"/>
      <c r="N73" s="322"/>
      <c r="O73" s="322"/>
      <c r="P73" s="322"/>
    </row>
    <row r="74" spans="1:16" hidden="1" outlineLevel="1" x14ac:dyDescent="0.2">
      <c r="A74" s="322"/>
      <c r="B74" s="322"/>
      <c r="C74" s="544" t="s">
        <v>571</v>
      </c>
      <c r="D74" s="545"/>
      <c r="E74" s="12"/>
      <c r="F74" s="85"/>
      <c r="G74" s="90"/>
      <c r="H74" s="90"/>
      <c r="I74" s="90"/>
      <c r="J74" s="91"/>
      <c r="K74" s="91"/>
      <c r="L74" s="91"/>
      <c r="M74" s="91"/>
      <c r="N74" s="322"/>
      <c r="O74" s="322"/>
      <c r="P74" s="322"/>
    </row>
    <row r="75" spans="1:16" hidden="1" outlineLevel="1" x14ac:dyDescent="0.2">
      <c r="A75" s="322"/>
      <c r="B75" s="322"/>
      <c r="C75" s="544" t="s">
        <v>572</v>
      </c>
      <c r="D75" s="545"/>
      <c r="E75" s="12"/>
      <c r="F75" s="90"/>
      <c r="G75" s="90"/>
      <c r="H75" s="90"/>
      <c r="I75" s="90"/>
      <c r="J75" s="91"/>
      <c r="K75" s="91"/>
      <c r="L75" s="91"/>
      <c r="M75" s="91"/>
      <c r="N75" s="322"/>
      <c r="O75" s="322"/>
      <c r="P75" s="322"/>
    </row>
    <row r="76" spans="1:16" hidden="1" outlineLevel="1" x14ac:dyDescent="0.2">
      <c r="A76" s="322"/>
      <c r="B76" s="322"/>
      <c r="C76" s="544" t="s">
        <v>573</v>
      </c>
      <c r="D76" s="545"/>
      <c r="E76" s="12"/>
      <c r="F76" s="90"/>
      <c r="G76" s="90"/>
      <c r="H76" s="90"/>
      <c r="I76" s="90"/>
      <c r="J76" s="91"/>
      <c r="K76" s="91"/>
      <c r="L76" s="91"/>
      <c r="M76" s="91"/>
      <c r="N76" s="322"/>
      <c r="O76" s="322"/>
      <c r="P76" s="322"/>
    </row>
    <row r="77" spans="1:16" hidden="1" outlineLevel="1" x14ac:dyDescent="0.2">
      <c r="A77" s="322"/>
      <c r="B77" s="322"/>
      <c r="C77" s="544" t="s">
        <v>574</v>
      </c>
      <c r="D77" s="545"/>
      <c r="E77" s="12"/>
      <c r="F77" s="90"/>
      <c r="G77" s="90"/>
      <c r="H77" s="90"/>
      <c r="I77" s="90"/>
      <c r="J77" s="91"/>
      <c r="K77" s="91"/>
      <c r="L77" s="91"/>
      <c r="M77" s="91"/>
      <c r="N77" s="322"/>
      <c r="O77" s="322"/>
      <c r="P77" s="322"/>
    </row>
    <row r="78" spans="1:16" hidden="1" outlineLevel="1" x14ac:dyDescent="0.2">
      <c r="A78" s="322"/>
      <c r="B78" s="322"/>
      <c r="C78" s="442"/>
      <c r="D78" s="442"/>
      <c r="E78" s="322"/>
      <c r="F78" s="90"/>
      <c r="G78" s="90"/>
      <c r="H78" s="90"/>
      <c r="I78" s="90"/>
      <c r="J78" s="91"/>
      <c r="K78" s="91"/>
      <c r="L78" s="91"/>
      <c r="M78" s="91"/>
      <c r="N78" s="322"/>
      <c r="O78" s="322"/>
      <c r="P78" s="322"/>
    </row>
    <row r="79" spans="1:16" hidden="1" outlineLevel="1" x14ac:dyDescent="0.2">
      <c r="A79" s="322"/>
      <c r="B79" s="322"/>
      <c r="C79" s="442"/>
      <c r="D79" s="442"/>
      <c r="E79" s="322"/>
      <c r="F79" s="90"/>
      <c r="G79" s="90"/>
      <c r="H79" s="90"/>
      <c r="I79" s="90"/>
      <c r="J79" s="91"/>
      <c r="K79" s="91"/>
      <c r="L79" s="91"/>
      <c r="M79" s="91"/>
      <c r="N79" s="322"/>
      <c r="O79" s="322"/>
      <c r="P79" s="322"/>
    </row>
    <row r="80" spans="1:16" ht="15.75" collapsed="1" x14ac:dyDescent="0.2">
      <c r="A80" s="64"/>
      <c r="B80" s="408">
        <v>2</v>
      </c>
      <c r="C80" s="547" t="str">
        <f xml:space="preserve"> IF(B80&lt;=$H$62,"Restriction " &amp; B80 &amp; " of " &amp; $H$62,MsgNotUsed)</f>
        <v>** NOT USED **</v>
      </c>
      <c r="D80" s="548"/>
      <c r="E80" s="549"/>
      <c r="F80" s="85"/>
      <c r="G80" s="90"/>
      <c r="H80" s="90"/>
      <c r="I80" s="90"/>
      <c r="J80" s="91"/>
      <c r="K80" s="91"/>
      <c r="L80" s="91"/>
      <c r="M80" s="91"/>
      <c r="N80" s="64"/>
      <c r="O80" s="64"/>
      <c r="P80" s="64"/>
    </row>
    <row r="81" spans="1:16" hidden="1" outlineLevel="1" x14ac:dyDescent="0.2">
      <c r="B81" s="346">
        <f>IFERROR(VLOOKUP(D81,ProgrammeCode,3,FALSE),0)</f>
        <v>0</v>
      </c>
      <c r="C81" s="225" t="s">
        <v>565</v>
      </c>
      <c r="D81" s="70"/>
      <c r="E81" s="24" t="str">
        <f>IF(D81&lt;&gt;"",VLOOKUP(D81,ProgrammeCode,2,FALSE),"")</f>
        <v/>
      </c>
      <c r="F81" s="73"/>
      <c r="G81" s="84" t="s">
        <v>566</v>
      </c>
      <c r="H81" s="70"/>
      <c r="I81" s="90"/>
      <c r="J81" s="320" t="s">
        <v>704</v>
      </c>
      <c r="N81" s="346" t="str">
        <f>IF(AND(H81&lt;&gt;"",H81&lt;&gt;"New"),"E","")</f>
        <v/>
      </c>
      <c r="O81" s="322"/>
      <c r="P81" s="322"/>
    </row>
    <row r="82" spans="1:16" hidden="1" outlineLevel="1" x14ac:dyDescent="0.2">
      <c r="A82" s="322"/>
      <c r="B82" s="322"/>
      <c r="C82" s="90"/>
      <c r="D82" s="90"/>
      <c r="E82" s="90"/>
      <c r="F82" s="90"/>
      <c r="G82" s="87" t="s">
        <v>685</v>
      </c>
      <c r="H82" s="13"/>
      <c r="I82" s="90"/>
      <c r="J82" s="368"/>
      <c r="L82" s="422"/>
      <c r="M82" s="346">
        <f>IF(J82&lt;&gt;"",VLOOKUP(J82,AuthorityCode,2,FALSE),0)</f>
        <v>0</v>
      </c>
      <c r="O82" s="322"/>
      <c r="P82" s="322"/>
    </row>
    <row r="83" spans="1:16" hidden="1" outlineLevel="1" x14ac:dyDescent="0.2">
      <c r="A83" s="322"/>
      <c r="B83" s="322"/>
      <c r="C83" s="556" t="s">
        <v>56</v>
      </c>
      <c r="D83" s="557"/>
      <c r="E83" s="10"/>
      <c r="F83" s="323"/>
      <c r="G83" s="87" t="str">
        <f>VLOOKUP(B81,MaxQ,2,TRUE)</f>
        <v>Max quantity (units)</v>
      </c>
      <c r="H83" s="17"/>
      <c r="I83" s="90"/>
      <c r="J83" s="368"/>
      <c r="O83" s="322"/>
      <c r="P83" s="322"/>
    </row>
    <row r="84" spans="1:16" hidden="1" outlineLevel="1" x14ac:dyDescent="0.2">
      <c r="A84" s="322"/>
      <c r="B84" s="322"/>
      <c r="C84" s="324"/>
      <c r="D84" s="324"/>
      <c r="E84" s="12"/>
      <c r="F84" s="90"/>
      <c r="G84" s="87" t="s">
        <v>567</v>
      </c>
      <c r="H84" s="17"/>
      <c r="I84" s="90"/>
      <c r="O84" s="322"/>
      <c r="P84" s="322"/>
    </row>
    <row r="85" spans="1:16" hidden="1" outlineLevel="1" x14ac:dyDescent="0.2">
      <c r="A85" s="322"/>
      <c r="B85" s="322"/>
      <c r="C85" s="544" t="s">
        <v>568</v>
      </c>
      <c r="D85" s="545"/>
      <c r="E85" s="12"/>
      <c r="F85" s="90"/>
      <c r="G85" s="322"/>
      <c r="H85" s="322"/>
      <c r="I85" s="90"/>
      <c r="O85" s="91"/>
      <c r="P85" s="322"/>
    </row>
    <row r="86" spans="1:16" hidden="1" outlineLevel="1" x14ac:dyDescent="0.2">
      <c r="A86" s="322"/>
      <c r="B86" s="322"/>
      <c r="C86" s="544" t="s">
        <v>569</v>
      </c>
      <c r="D86" s="545"/>
      <c r="E86" s="12"/>
      <c r="F86" s="91"/>
      <c r="G86" s="322"/>
      <c r="H86" s="322"/>
      <c r="I86" s="90"/>
      <c r="O86" s="322"/>
      <c r="P86" s="322"/>
    </row>
    <row r="87" spans="1:16" hidden="1" outlineLevel="1" x14ac:dyDescent="0.2">
      <c r="A87" s="322"/>
      <c r="B87" s="322"/>
      <c r="C87" s="544" t="s">
        <v>570</v>
      </c>
      <c r="D87" s="545"/>
      <c r="E87" s="12"/>
      <c r="F87" s="91"/>
      <c r="G87" s="91"/>
      <c r="H87" s="91"/>
      <c r="I87" s="91"/>
      <c r="O87" s="322"/>
      <c r="P87" s="322"/>
    </row>
    <row r="88" spans="1:16" hidden="1" outlineLevel="1" x14ac:dyDescent="0.2">
      <c r="A88" s="322"/>
      <c r="B88" s="322"/>
      <c r="C88" s="544" t="s">
        <v>883</v>
      </c>
      <c r="D88" s="545"/>
      <c r="E88" s="25" t="str">
        <f>IF(E85 &lt;&gt;"",E85 &amp; " ","") &amp; IF(E86&lt;&gt;"",E86 &amp; " ","") &amp; IF(E87&lt;&gt; "",E87,"")</f>
        <v/>
      </c>
      <c r="F88" s="91"/>
      <c r="G88" s="91"/>
      <c r="H88" s="91"/>
      <c r="I88" s="91"/>
      <c r="J88" s="91"/>
      <c r="K88" s="91"/>
      <c r="L88" s="91"/>
      <c r="M88" s="91"/>
      <c r="N88" s="322"/>
      <c r="O88" s="322"/>
      <c r="P88" s="322"/>
    </row>
    <row r="89" spans="1:16" hidden="1" outlineLevel="1" x14ac:dyDescent="0.2">
      <c r="A89" s="322"/>
      <c r="B89" s="322"/>
      <c r="C89" s="544" t="s">
        <v>571</v>
      </c>
      <c r="D89" s="545"/>
      <c r="E89" s="12"/>
      <c r="F89" s="91"/>
      <c r="G89" s="91"/>
      <c r="H89" s="91"/>
      <c r="I89" s="91"/>
      <c r="J89" s="91"/>
      <c r="K89" s="91"/>
      <c r="L89" s="91"/>
      <c r="M89" s="91"/>
      <c r="N89" s="322"/>
      <c r="O89" s="322"/>
      <c r="P89" s="322"/>
    </row>
    <row r="90" spans="1:16" hidden="1" outlineLevel="1" x14ac:dyDescent="0.2">
      <c r="A90" s="322"/>
      <c r="B90" s="322"/>
      <c r="C90" s="544" t="s">
        <v>572</v>
      </c>
      <c r="D90" s="545"/>
      <c r="E90" s="12"/>
      <c r="F90" s="91"/>
      <c r="G90" s="91"/>
      <c r="H90" s="91"/>
      <c r="I90" s="91"/>
      <c r="J90" s="91"/>
      <c r="K90" s="91"/>
      <c r="L90" s="91"/>
      <c r="M90" s="91"/>
      <c r="N90" s="322"/>
      <c r="O90" s="322"/>
      <c r="P90" s="322"/>
    </row>
    <row r="91" spans="1:16" hidden="1" outlineLevel="1" x14ac:dyDescent="0.2">
      <c r="A91" s="322"/>
      <c r="B91" s="322"/>
      <c r="C91" s="544" t="s">
        <v>573</v>
      </c>
      <c r="D91" s="545"/>
      <c r="E91" s="12"/>
      <c r="F91" s="91"/>
      <c r="G91" s="91"/>
      <c r="H91" s="91"/>
      <c r="I91" s="91"/>
      <c r="J91" s="91"/>
      <c r="K91" s="91"/>
      <c r="L91" s="91"/>
      <c r="M91" s="91"/>
      <c r="N91" s="322"/>
      <c r="O91" s="322"/>
      <c r="P91" s="322"/>
    </row>
    <row r="92" spans="1:16" hidden="1" outlineLevel="1" x14ac:dyDescent="0.2">
      <c r="A92" s="322"/>
      <c r="B92" s="322"/>
      <c r="C92" s="544" t="s">
        <v>574</v>
      </c>
      <c r="D92" s="545"/>
      <c r="E92" s="12"/>
      <c r="F92" s="91"/>
      <c r="G92" s="91"/>
      <c r="H92" s="91"/>
      <c r="I92" s="91"/>
      <c r="J92" s="91"/>
      <c r="K92" s="91"/>
      <c r="L92" s="91"/>
      <c r="M92" s="91"/>
      <c r="N92" s="322"/>
      <c r="O92" s="322"/>
      <c r="P92" s="322"/>
    </row>
    <row r="93" spans="1:16" hidden="1" outlineLevel="1" x14ac:dyDescent="0.2">
      <c r="A93" s="322"/>
      <c r="B93" s="322"/>
      <c r="C93" s="322"/>
      <c r="D93" s="322"/>
      <c r="E93" s="322"/>
      <c r="F93" s="91"/>
      <c r="G93" s="91"/>
      <c r="H93" s="91"/>
      <c r="I93" s="91"/>
      <c r="J93" s="91"/>
      <c r="K93" s="91"/>
      <c r="L93" s="91"/>
      <c r="M93" s="91"/>
      <c r="N93" s="322"/>
      <c r="O93" s="322"/>
      <c r="P93" s="322"/>
    </row>
    <row r="94" spans="1:16" hidden="1" outlineLevel="1" x14ac:dyDescent="0.2">
      <c r="A94" s="322"/>
      <c r="B94" s="322"/>
      <c r="C94" s="322"/>
      <c r="D94" s="322"/>
      <c r="E94" s="322"/>
      <c r="F94" s="91"/>
      <c r="G94" s="91"/>
      <c r="H94" s="91"/>
      <c r="I94" s="91"/>
      <c r="J94" s="91"/>
      <c r="K94" s="91"/>
      <c r="L94" s="91"/>
      <c r="M94" s="91"/>
      <c r="N94" s="322"/>
      <c r="O94" s="322"/>
      <c r="P94" s="322"/>
    </row>
    <row r="95" spans="1:16" ht="15.75" collapsed="1" x14ac:dyDescent="0.2">
      <c r="A95" s="64"/>
      <c r="B95" s="408">
        <v>3</v>
      </c>
      <c r="C95" s="547" t="str">
        <f xml:space="preserve"> IF(B95&lt;=$H$62,"Restriction " &amp; B95 &amp; " of " &amp; $H$62,MsgNotUsed)</f>
        <v>** NOT USED **</v>
      </c>
      <c r="D95" s="548"/>
      <c r="E95" s="549"/>
      <c r="F95" s="85"/>
      <c r="G95" s="90"/>
      <c r="H95" s="90"/>
      <c r="I95" s="90"/>
      <c r="J95" s="91"/>
      <c r="K95" s="91"/>
      <c r="L95" s="90"/>
      <c r="M95" s="90"/>
      <c r="N95" s="64"/>
      <c r="O95" s="64"/>
      <c r="P95" s="64"/>
    </row>
    <row r="96" spans="1:16" hidden="1" outlineLevel="1" x14ac:dyDescent="0.2">
      <c r="B96" s="346">
        <f>IFERROR(VLOOKUP(D96,ProgrammeCode,3,FALSE),0)</f>
        <v>0</v>
      </c>
      <c r="C96" s="225" t="s">
        <v>565</v>
      </c>
      <c r="D96" s="70"/>
      <c r="E96" s="24" t="str">
        <f>IF(D96&lt;&gt;"",VLOOKUP(D96,ProgrammeCode,2,FALSE),"")</f>
        <v/>
      </c>
      <c r="F96" s="73"/>
      <c r="G96" s="84" t="s">
        <v>566</v>
      </c>
      <c r="H96" s="70"/>
      <c r="I96" s="90"/>
      <c r="J96" s="320" t="s">
        <v>704</v>
      </c>
      <c r="N96" s="346" t="str">
        <f>IF(AND(H96&lt;&gt;"",H96&lt;&gt;"New"),"E","")</f>
        <v/>
      </c>
      <c r="O96" s="322"/>
      <c r="P96" s="322"/>
    </row>
    <row r="97" spans="1:16" hidden="1" outlineLevel="1" x14ac:dyDescent="0.2">
      <c r="A97" s="322"/>
      <c r="B97" s="322"/>
      <c r="C97" s="90"/>
      <c r="D97" s="90"/>
      <c r="E97" s="90"/>
      <c r="F97" s="90"/>
      <c r="G97" s="87" t="s">
        <v>685</v>
      </c>
      <c r="H97" s="13"/>
      <c r="I97" s="90"/>
      <c r="J97" s="368"/>
      <c r="L97" s="422"/>
      <c r="M97" s="346">
        <f>IF(J97&lt;&gt;"",VLOOKUP(J97,AuthorityCode,2,FALSE),0)</f>
        <v>0</v>
      </c>
      <c r="O97" s="322"/>
      <c r="P97" s="322"/>
    </row>
    <row r="98" spans="1:16" hidden="1" outlineLevel="1" x14ac:dyDescent="0.2">
      <c r="A98" s="322"/>
      <c r="B98" s="322"/>
      <c r="C98" s="556" t="s">
        <v>56</v>
      </c>
      <c r="D98" s="557"/>
      <c r="E98" s="10"/>
      <c r="F98" s="323"/>
      <c r="G98" s="87" t="str">
        <f>VLOOKUP(B96,MaxQ,2,TRUE)</f>
        <v>Max quantity (units)</v>
      </c>
      <c r="H98" s="13"/>
      <c r="I98" s="90"/>
      <c r="J98" s="368"/>
      <c r="O98" s="322"/>
      <c r="P98" s="322"/>
    </row>
    <row r="99" spans="1:16" hidden="1" outlineLevel="1" x14ac:dyDescent="0.2">
      <c r="A99" s="322"/>
      <c r="B99" s="322"/>
      <c r="C99" s="90"/>
      <c r="D99" s="90"/>
      <c r="E99" s="12"/>
      <c r="F99" s="90"/>
      <c r="G99" s="87" t="s">
        <v>567</v>
      </c>
      <c r="H99" s="13"/>
      <c r="I99" s="90"/>
      <c r="O99" s="322"/>
      <c r="P99" s="322"/>
    </row>
    <row r="100" spans="1:16" hidden="1" outlineLevel="1" x14ac:dyDescent="0.2">
      <c r="A100" s="322"/>
      <c r="B100" s="322"/>
      <c r="C100" s="544" t="s">
        <v>568</v>
      </c>
      <c r="D100" s="545"/>
      <c r="E100" s="12"/>
      <c r="F100" s="90"/>
      <c r="G100" s="322"/>
      <c r="H100" s="322"/>
      <c r="I100" s="90"/>
      <c r="O100" s="91"/>
      <c r="P100" s="322"/>
    </row>
    <row r="101" spans="1:16" hidden="1" outlineLevel="1" x14ac:dyDescent="0.2">
      <c r="A101" s="322"/>
      <c r="B101" s="322"/>
      <c r="C101" s="544" t="s">
        <v>569</v>
      </c>
      <c r="D101" s="545"/>
      <c r="E101" s="12"/>
      <c r="F101" s="91"/>
      <c r="G101" s="322"/>
      <c r="H101" s="322"/>
      <c r="I101" s="90"/>
      <c r="O101" s="322"/>
      <c r="P101" s="322"/>
    </row>
    <row r="102" spans="1:16" hidden="1" outlineLevel="1" x14ac:dyDescent="0.2">
      <c r="A102" s="322"/>
      <c r="B102" s="322"/>
      <c r="C102" s="544" t="s">
        <v>570</v>
      </c>
      <c r="D102" s="545"/>
      <c r="E102" s="12"/>
      <c r="F102" s="91"/>
      <c r="G102" s="91"/>
      <c r="H102" s="91"/>
      <c r="I102" s="91"/>
      <c r="O102" s="322"/>
      <c r="P102" s="322"/>
    </row>
    <row r="103" spans="1:16" hidden="1" outlineLevel="1" x14ac:dyDescent="0.2">
      <c r="A103" s="322"/>
      <c r="B103" s="322"/>
      <c r="C103" s="544" t="s">
        <v>883</v>
      </c>
      <c r="D103" s="545"/>
      <c r="E103" s="25" t="str">
        <f>IF(E100 &lt;&gt;"",E100 &amp; " ","") &amp; IF(E101&lt;&gt;"",E101 &amp; " ","") &amp; IF(E102&lt;&gt; "",E102,"")</f>
        <v/>
      </c>
      <c r="F103" s="91"/>
      <c r="G103" s="91"/>
      <c r="H103" s="91"/>
      <c r="I103" s="91"/>
      <c r="J103" s="91"/>
      <c r="K103" s="91"/>
      <c r="L103" s="91"/>
      <c r="M103" s="91"/>
      <c r="N103" s="322"/>
      <c r="O103" s="322"/>
      <c r="P103" s="322"/>
    </row>
    <row r="104" spans="1:16" hidden="1" outlineLevel="1" x14ac:dyDescent="0.2">
      <c r="A104" s="322"/>
      <c r="B104" s="322"/>
      <c r="C104" s="544" t="s">
        <v>571</v>
      </c>
      <c r="D104" s="545"/>
      <c r="E104" s="12"/>
      <c r="F104" s="91"/>
      <c r="G104" s="91"/>
      <c r="H104" s="91"/>
      <c r="I104" s="91"/>
      <c r="J104" s="91"/>
      <c r="K104" s="91"/>
      <c r="L104" s="91"/>
      <c r="M104" s="91"/>
      <c r="N104" s="322"/>
      <c r="O104" s="322"/>
      <c r="P104" s="322"/>
    </row>
    <row r="105" spans="1:16" hidden="1" outlineLevel="1" x14ac:dyDescent="0.2">
      <c r="A105" s="322"/>
      <c r="B105" s="322"/>
      <c r="C105" s="544" t="s">
        <v>572</v>
      </c>
      <c r="D105" s="545"/>
      <c r="E105" s="12"/>
      <c r="F105" s="91"/>
      <c r="G105" s="91"/>
      <c r="H105" s="91"/>
      <c r="I105" s="91"/>
      <c r="J105" s="91"/>
      <c r="K105" s="91"/>
      <c r="L105" s="91"/>
      <c r="M105" s="91"/>
      <c r="N105" s="322"/>
      <c r="O105" s="322"/>
      <c r="P105" s="322"/>
    </row>
    <row r="106" spans="1:16" hidden="1" outlineLevel="1" x14ac:dyDescent="0.2">
      <c r="A106" s="322"/>
      <c r="B106" s="322"/>
      <c r="C106" s="544" t="s">
        <v>573</v>
      </c>
      <c r="D106" s="545"/>
      <c r="E106" s="12"/>
      <c r="F106" s="91"/>
      <c r="G106" s="91"/>
      <c r="H106" s="91"/>
      <c r="I106" s="91"/>
      <c r="J106" s="91"/>
      <c r="K106" s="91"/>
      <c r="L106" s="91"/>
      <c r="M106" s="91"/>
      <c r="N106" s="322"/>
      <c r="O106" s="322"/>
      <c r="P106" s="322"/>
    </row>
    <row r="107" spans="1:16" hidden="1" outlineLevel="1" x14ac:dyDescent="0.2">
      <c r="A107" s="322"/>
      <c r="B107" s="322"/>
      <c r="C107" s="544" t="s">
        <v>574</v>
      </c>
      <c r="D107" s="545"/>
      <c r="E107" s="12"/>
      <c r="F107" s="91"/>
      <c r="G107" s="91"/>
      <c r="H107" s="91"/>
      <c r="I107" s="91"/>
      <c r="J107" s="91"/>
      <c r="K107" s="91"/>
      <c r="L107" s="91"/>
      <c r="M107" s="91"/>
      <c r="N107" s="322"/>
      <c r="O107" s="322"/>
      <c r="P107" s="322"/>
    </row>
    <row r="108" spans="1:16" hidden="1" outlineLevel="1" x14ac:dyDescent="0.2">
      <c r="A108" s="322"/>
      <c r="B108" s="322"/>
      <c r="C108" s="322"/>
      <c r="D108" s="322"/>
      <c r="E108" s="322"/>
      <c r="F108" s="91"/>
      <c r="G108" s="91"/>
      <c r="H108" s="91"/>
      <c r="I108" s="91"/>
      <c r="J108" s="91"/>
      <c r="K108" s="91"/>
      <c r="L108" s="91"/>
      <c r="M108" s="91"/>
      <c r="N108" s="322"/>
      <c r="O108" s="322"/>
      <c r="P108" s="322"/>
    </row>
    <row r="109" spans="1:16" hidden="1" outlineLevel="1" x14ac:dyDescent="0.2">
      <c r="A109" s="322"/>
      <c r="B109" s="322"/>
      <c r="C109" s="322"/>
      <c r="D109" s="322"/>
      <c r="E109" s="322"/>
      <c r="F109" s="91"/>
      <c r="G109" s="91"/>
      <c r="H109" s="91"/>
      <c r="I109" s="91"/>
      <c r="J109" s="91"/>
      <c r="K109" s="91"/>
      <c r="L109" s="91"/>
      <c r="M109" s="91"/>
      <c r="N109" s="322"/>
      <c r="O109" s="322"/>
      <c r="P109" s="322"/>
    </row>
    <row r="110" spans="1:16" ht="15.75" collapsed="1" x14ac:dyDescent="0.2">
      <c r="A110" s="64"/>
      <c r="B110" s="408">
        <v>4</v>
      </c>
      <c r="C110" s="547" t="str">
        <f xml:space="preserve"> IF(B110&lt;=$H$62,"Restriction " &amp; B110 &amp; " of " &amp; $H$62,MsgNotUsed)</f>
        <v>** NOT USED **</v>
      </c>
      <c r="D110" s="548"/>
      <c r="E110" s="549"/>
      <c r="F110" s="85"/>
      <c r="G110" s="90"/>
      <c r="H110" s="90"/>
      <c r="I110" s="90"/>
      <c r="J110" s="91"/>
      <c r="K110" s="91"/>
      <c r="L110" s="90"/>
      <c r="M110" s="90"/>
      <c r="N110" s="64"/>
      <c r="O110" s="64"/>
      <c r="P110" s="64"/>
    </row>
    <row r="111" spans="1:16" hidden="1" outlineLevel="1" x14ac:dyDescent="0.2">
      <c r="B111" s="346">
        <f>IFERROR(VLOOKUP(D111,ProgrammeCode,3,FALSE),0)</f>
        <v>0</v>
      </c>
      <c r="C111" s="225" t="s">
        <v>565</v>
      </c>
      <c r="D111" s="70"/>
      <c r="E111" s="24" t="str">
        <f>IF(D111&lt;&gt;"",VLOOKUP(D111,ProgrammeCode,2,FALSE),"")</f>
        <v/>
      </c>
      <c r="F111" s="73"/>
      <c r="G111" s="84" t="s">
        <v>566</v>
      </c>
      <c r="H111" s="70"/>
      <c r="I111" s="90"/>
      <c r="J111" s="320" t="s">
        <v>704</v>
      </c>
      <c r="N111" s="346" t="str">
        <f>IF(AND(H111&lt;&gt;"",H111&lt;&gt;"New"),"E","")</f>
        <v/>
      </c>
      <c r="O111" s="322"/>
      <c r="P111" s="322"/>
    </row>
    <row r="112" spans="1:16" hidden="1" outlineLevel="1" x14ac:dyDescent="0.2">
      <c r="A112" s="322"/>
      <c r="B112" s="322"/>
      <c r="C112" s="90"/>
      <c r="D112" s="90"/>
      <c r="E112" s="90"/>
      <c r="F112" s="90"/>
      <c r="G112" s="87" t="s">
        <v>685</v>
      </c>
      <c r="H112" s="13"/>
      <c r="I112" s="90"/>
      <c r="J112" s="368"/>
      <c r="L112" s="422"/>
      <c r="M112" s="346">
        <f>IF(J112&lt;&gt;"",VLOOKUP(J112,AuthorityCode,2,FALSE),0)</f>
        <v>0</v>
      </c>
      <c r="O112" s="322"/>
      <c r="P112" s="322"/>
    </row>
    <row r="113" spans="1:16" hidden="1" outlineLevel="1" x14ac:dyDescent="0.2">
      <c r="A113" s="322"/>
      <c r="B113" s="322"/>
      <c r="C113" s="226" t="s">
        <v>56</v>
      </c>
      <c r="D113" s="325"/>
      <c r="E113" s="10"/>
      <c r="F113" s="323"/>
      <c r="G113" s="87" t="str">
        <f>VLOOKUP(B111,MaxQ,2,TRUE)</f>
        <v>Max quantity (units)</v>
      </c>
      <c r="H113" s="13"/>
      <c r="I113" s="90"/>
      <c r="J113" s="368"/>
      <c r="O113" s="322"/>
      <c r="P113" s="322"/>
    </row>
    <row r="114" spans="1:16" hidden="1" outlineLevel="1" x14ac:dyDescent="0.2">
      <c r="A114" s="322"/>
      <c r="B114" s="322"/>
      <c r="C114" s="90"/>
      <c r="D114" s="90"/>
      <c r="E114" s="12"/>
      <c r="F114" s="90"/>
      <c r="G114" s="87" t="s">
        <v>567</v>
      </c>
      <c r="H114" s="13"/>
      <c r="I114" s="90"/>
      <c r="O114" s="322"/>
      <c r="P114" s="322"/>
    </row>
    <row r="115" spans="1:16" hidden="1" outlineLevel="1" x14ac:dyDescent="0.2">
      <c r="A115" s="322"/>
      <c r="B115" s="322"/>
      <c r="C115" s="544" t="s">
        <v>568</v>
      </c>
      <c r="D115" s="545"/>
      <c r="E115" s="12"/>
      <c r="F115" s="90"/>
      <c r="G115" s="322"/>
      <c r="H115" s="322"/>
      <c r="I115" s="90"/>
      <c r="O115" s="91"/>
      <c r="P115" s="322"/>
    </row>
    <row r="116" spans="1:16" hidden="1" outlineLevel="1" x14ac:dyDescent="0.2">
      <c r="A116" s="322"/>
      <c r="B116" s="322"/>
      <c r="C116" s="544" t="s">
        <v>569</v>
      </c>
      <c r="D116" s="545"/>
      <c r="E116" s="12"/>
      <c r="F116" s="91"/>
      <c r="G116" s="322"/>
      <c r="H116" s="322"/>
      <c r="I116" s="90"/>
      <c r="O116" s="322"/>
      <c r="P116" s="322"/>
    </row>
    <row r="117" spans="1:16" hidden="1" outlineLevel="1" x14ac:dyDescent="0.2">
      <c r="A117" s="322"/>
      <c r="B117" s="322"/>
      <c r="C117" s="544" t="s">
        <v>570</v>
      </c>
      <c r="D117" s="545"/>
      <c r="E117" s="12"/>
      <c r="F117" s="91"/>
      <c r="G117" s="91"/>
      <c r="H117" s="91"/>
      <c r="I117" s="91"/>
      <c r="O117" s="322"/>
      <c r="P117" s="322"/>
    </row>
    <row r="118" spans="1:16" hidden="1" outlineLevel="1" x14ac:dyDescent="0.2">
      <c r="A118" s="322"/>
      <c r="B118" s="322"/>
      <c r="C118" s="544" t="s">
        <v>883</v>
      </c>
      <c r="D118" s="545"/>
      <c r="E118" s="25" t="str">
        <f>IF(E115 &lt;&gt;"",E115 &amp; " ","") &amp; IF(E116&lt;&gt;"",E116 &amp; " ","") &amp; IF(E117&lt;&gt; "",E117,"")</f>
        <v/>
      </c>
      <c r="F118" s="91"/>
      <c r="G118" s="91"/>
      <c r="H118" s="91"/>
      <c r="I118" s="91"/>
      <c r="J118" s="91"/>
      <c r="K118" s="91"/>
      <c r="L118" s="91"/>
      <c r="M118" s="91"/>
      <c r="N118" s="322"/>
      <c r="O118" s="322"/>
      <c r="P118" s="322"/>
    </row>
    <row r="119" spans="1:16" hidden="1" outlineLevel="1" x14ac:dyDescent="0.2">
      <c r="A119" s="322"/>
      <c r="B119" s="322"/>
      <c r="C119" s="544" t="s">
        <v>571</v>
      </c>
      <c r="D119" s="545"/>
      <c r="E119" s="12"/>
      <c r="F119" s="91"/>
      <c r="G119" s="91"/>
      <c r="H119" s="91"/>
      <c r="I119" s="91"/>
      <c r="J119" s="91"/>
      <c r="K119" s="91"/>
      <c r="L119" s="91"/>
      <c r="M119" s="91"/>
      <c r="N119" s="322"/>
      <c r="O119" s="322"/>
      <c r="P119" s="322"/>
    </row>
    <row r="120" spans="1:16" hidden="1" outlineLevel="1" x14ac:dyDescent="0.2">
      <c r="A120" s="322"/>
      <c r="B120" s="322"/>
      <c r="C120" s="544" t="s">
        <v>572</v>
      </c>
      <c r="D120" s="545"/>
      <c r="E120" s="12"/>
      <c r="F120" s="91"/>
      <c r="G120" s="91"/>
      <c r="H120" s="91"/>
      <c r="I120" s="91"/>
      <c r="J120" s="91"/>
      <c r="K120" s="91"/>
      <c r="L120" s="91"/>
      <c r="M120" s="91"/>
      <c r="N120" s="322"/>
      <c r="O120" s="322"/>
      <c r="P120" s="322"/>
    </row>
    <row r="121" spans="1:16" hidden="1" outlineLevel="1" x14ac:dyDescent="0.2">
      <c r="A121" s="322"/>
      <c r="B121" s="322"/>
      <c r="C121" s="544" t="s">
        <v>573</v>
      </c>
      <c r="D121" s="545"/>
      <c r="E121" s="12"/>
      <c r="F121" s="91"/>
      <c r="G121" s="91"/>
      <c r="H121" s="91"/>
      <c r="I121" s="91"/>
      <c r="J121" s="91"/>
      <c r="K121" s="91"/>
      <c r="L121" s="91"/>
      <c r="M121" s="91"/>
      <c r="N121" s="322"/>
      <c r="O121" s="322"/>
      <c r="P121" s="322"/>
    </row>
    <row r="122" spans="1:16" hidden="1" outlineLevel="1" x14ac:dyDescent="0.2">
      <c r="A122" s="322"/>
      <c r="B122" s="322"/>
      <c r="C122" s="544" t="s">
        <v>574</v>
      </c>
      <c r="D122" s="545"/>
      <c r="E122" s="12"/>
      <c r="F122" s="91"/>
      <c r="G122" s="91"/>
      <c r="H122" s="91"/>
      <c r="I122" s="91"/>
      <c r="J122" s="91"/>
      <c r="K122" s="91"/>
      <c r="L122" s="91"/>
      <c r="M122" s="91"/>
      <c r="N122" s="322"/>
      <c r="O122" s="322"/>
      <c r="P122" s="322"/>
    </row>
    <row r="123" spans="1:16" hidden="1" outlineLevel="1" x14ac:dyDescent="0.2">
      <c r="A123" s="322"/>
      <c r="B123" s="322"/>
      <c r="C123" s="322"/>
      <c r="D123" s="322"/>
      <c r="E123" s="322"/>
      <c r="F123" s="91"/>
      <c r="G123" s="91"/>
      <c r="H123" s="91"/>
      <c r="I123" s="91"/>
      <c r="J123" s="91"/>
      <c r="K123" s="91"/>
      <c r="L123" s="91"/>
      <c r="M123" s="91"/>
      <c r="N123" s="322"/>
      <c r="O123" s="322"/>
      <c r="P123" s="322"/>
    </row>
    <row r="124" spans="1:16" hidden="1" outlineLevel="1" x14ac:dyDescent="0.2">
      <c r="A124" s="322"/>
      <c r="B124" s="322"/>
      <c r="C124" s="322"/>
      <c r="D124" s="322"/>
      <c r="E124" s="322"/>
      <c r="F124" s="91"/>
      <c r="G124" s="91"/>
      <c r="H124" s="91"/>
      <c r="I124" s="91"/>
      <c r="J124" s="91"/>
      <c r="K124" s="91"/>
      <c r="L124" s="91"/>
      <c r="M124" s="91"/>
      <c r="N124" s="322"/>
      <c r="O124" s="322"/>
      <c r="P124" s="322"/>
    </row>
    <row r="125" spans="1:16" ht="15.75" collapsed="1" x14ac:dyDescent="0.2">
      <c r="A125" s="64"/>
      <c r="B125" s="408">
        <v>5</v>
      </c>
      <c r="C125" s="547" t="str">
        <f xml:space="preserve"> IF(B125&lt;=$H$62,"Restriction " &amp; B125 &amp; " of " &amp; $H$62,MsgNotUsed)</f>
        <v>** NOT USED **</v>
      </c>
      <c r="D125" s="548"/>
      <c r="E125" s="549"/>
      <c r="F125" s="85"/>
      <c r="G125" s="90"/>
      <c r="H125" s="90"/>
      <c r="I125" s="90"/>
      <c r="J125" s="91"/>
      <c r="K125" s="91"/>
      <c r="L125" s="90"/>
      <c r="M125" s="90"/>
      <c r="N125" s="64"/>
      <c r="O125" s="64"/>
      <c r="P125" s="64"/>
    </row>
    <row r="126" spans="1:16" hidden="1" outlineLevel="1" x14ac:dyDescent="0.2">
      <c r="B126" s="346">
        <f>IFERROR(VLOOKUP(D126,ProgrammeCode,3,FALSE),0)</f>
        <v>0</v>
      </c>
      <c r="C126" s="225" t="s">
        <v>565</v>
      </c>
      <c r="D126" s="70"/>
      <c r="E126" s="24" t="str">
        <f>IF(D126&lt;&gt;"",VLOOKUP(D126,ProgrammeCode,2,FALSE),"")</f>
        <v/>
      </c>
      <c r="F126" s="73"/>
      <c r="G126" s="84" t="s">
        <v>566</v>
      </c>
      <c r="H126" s="70"/>
      <c r="I126" s="90"/>
      <c r="J126" s="320" t="s">
        <v>704</v>
      </c>
      <c r="N126" s="346" t="str">
        <f>IF(AND(H126&lt;&gt;"",H126&lt;&gt;"New"),"E","")</f>
        <v/>
      </c>
      <c r="O126" s="64"/>
      <c r="P126" s="64"/>
    </row>
    <row r="127" spans="1:16" hidden="1" outlineLevel="1" x14ac:dyDescent="0.2">
      <c r="A127" s="64"/>
      <c r="B127" s="64"/>
      <c r="C127" s="90"/>
      <c r="D127" s="90"/>
      <c r="E127" s="90"/>
      <c r="F127" s="90"/>
      <c r="G127" s="87" t="s">
        <v>685</v>
      </c>
      <c r="H127" s="13"/>
      <c r="I127" s="90"/>
      <c r="J127" s="368"/>
      <c r="L127" s="422"/>
      <c r="M127" s="346">
        <f>IF(J127&lt;&gt;"",VLOOKUP(J127,AuthorityCode,2,FALSE),0)</f>
        <v>0</v>
      </c>
      <c r="O127" s="64"/>
      <c r="P127" s="64"/>
    </row>
    <row r="128" spans="1:16" hidden="1" outlineLevel="1" x14ac:dyDescent="0.2">
      <c r="A128" s="64"/>
      <c r="B128" s="64"/>
      <c r="C128" s="226" t="s">
        <v>56</v>
      </c>
      <c r="D128" s="192"/>
      <c r="E128" s="10"/>
      <c r="F128" s="92"/>
      <c r="G128" s="87" t="str">
        <f>VLOOKUP(B126,MaxQ,2,TRUE)</f>
        <v>Max quantity (units)</v>
      </c>
      <c r="H128" s="13"/>
      <c r="I128" s="90"/>
      <c r="J128" s="368"/>
      <c r="O128" s="64"/>
      <c r="P128" s="64"/>
    </row>
    <row r="129" spans="1:16" hidden="1" outlineLevel="1" x14ac:dyDescent="0.2">
      <c r="A129" s="64"/>
      <c r="B129" s="64"/>
      <c r="C129" s="90"/>
      <c r="D129" s="90"/>
      <c r="E129" s="12"/>
      <c r="F129" s="90"/>
      <c r="G129" s="87" t="s">
        <v>567</v>
      </c>
      <c r="H129" s="13"/>
      <c r="I129" s="90"/>
      <c r="O129" s="64"/>
      <c r="P129" s="64"/>
    </row>
    <row r="130" spans="1:16" hidden="1" outlineLevel="1" x14ac:dyDescent="0.2">
      <c r="A130" s="64"/>
      <c r="B130" s="64"/>
      <c r="C130" s="544" t="s">
        <v>568</v>
      </c>
      <c r="D130" s="546"/>
      <c r="E130" s="12"/>
      <c r="F130" s="90"/>
      <c r="G130" s="64"/>
      <c r="H130" s="64"/>
      <c r="I130" s="90"/>
      <c r="O130" s="91"/>
      <c r="P130" s="64"/>
    </row>
    <row r="131" spans="1:16" hidden="1" outlineLevel="1" x14ac:dyDescent="0.2">
      <c r="A131" s="64"/>
      <c r="B131" s="64"/>
      <c r="C131" s="544" t="s">
        <v>569</v>
      </c>
      <c r="D131" s="546"/>
      <c r="E131" s="12"/>
      <c r="F131" s="91"/>
      <c r="G131" s="64"/>
      <c r="H131" s="64"/>
      <c r="I131" s="90"/>
      <c r="O131" s="64"/>
      <c r="P131" s="64"/>
    </row>
    <row r="132" spans="1:16" hidden="1" outlineLevel="1" x14ac:dyDescent="0.2">
      <c r="A132" s="64"/>
      <c r="B132" s="64"/>
      <c r="C132" s="544" t="s">
        <v>570</v>
      </c>
      <c r="D132" s="546"/>
      <c r="E132" s="12"/>
      <c r="F132" s="91"/>
      <c r="G132" s="91"/>
      <c r="H132" s="91"/>
      <c r="I132" s="91"/>
      <c r="O132" s="64"/>
      <c r="P132" s="64"/>
    </row>
    <row r="133" spans="1:16" hidden="1" outlineLevel="1" x14ac:dyDescent="0.2">
      <c r="A133" s="64"/>
      <c r="B133" s="64"/>
      <c r="C133" s="544" t="s">
        <v>883</v>
      </c>
      <c r="D133" s="546"/>
      <c r="E133" s="25" t="str">
        <f>IF(E130 &lt;&gt;"",E130 &amp; " ","") &amp; IF(E131&lt;&gt;"",E131 &amp; " ","") &amp; IF(E132&lt;&gt; "",E132,"")</f>
        <v/>
      </c>
      <c r="F133" s="91"/>
      <c r="G133" s="91"/>
      <c r="H133" s="91"/>
      <c r="I133" s="91"/>
      <c r="J133" s="91"/>
      <c r="K133" s="91"/>
      <c r="L133" s="90"/>
      <c r="M133" s="90"/>
      <c r="N133" s="64"/>
      <c r="O133" s="64"/>
      <c r="P133" s="64"/>
    </row>
    <row r="134" spans="1:16" hidden="1" outlineLevel="1" x14ac:dyDescent="0.2">
      <c r="A134" s="64"/>
      <c r="B134" s="64"/>
      <c r="C134" s="544" t="s">
        <v>571</v>
      </c>
      <c r="D134" s="546"/>
      <c r="E134" s="12"/>
      <c r="F134" s="91"/>
      <c r="G134" s="91"/>
      <c r="H134" s="91"/>
      <c r="I134" s="91"/>
      <c r="J134" s="91"/>
      <c r="K134" s="91"/>
      <c r="L134" s="90"/>
      <c r="M134" s="90"/>
      <c r="N134" s="64"/>
      <c r="O134" s="64"/>
      <c r="P134" s="64"/>
    </row>
    <row r="135" spans="1:16" hidden="1" outlineLevel="1" x14ac:dyDescent="0.2">
      <c r="A135" s="64"/>
      <c r="B135" s="64"/>
      <c r="C135" s="544" t="s">
        <v>572</v>
      </c>
      <c r="D135" s="546"/>
      <c r="E135" s="12"/>
      <c r="F135" s="91"/>
      <c r="G135" s="91"/>
      <c r="H135" s="91"/>
      <c r="I135" s="91"/>
      <c r="J135" s="91"/>
      <c r="K135" s="91"/>
      <c r="L135" s="90"/>
      <c r="M135" s="90"/>
      <c r="N135" s="64"/>
      <c r="O135" s="64"/>
      <c r="P135" s="64"/>
    </row>
    <row r="136" spans="1:16" hidden="1" outlineLevel="1" x14ac:dyDescent="0.2">
      <c r="A136" s="64"/>
      <c r="B136" s="64"/>
      <c r="C136" s="544" t="s">
        <v>573</v>
      </c>
      <c r="D136" s="546"/>
      <c r="E136" s="12"/>
      <c r="F136" s="91"/>
      <c r="G136" s="91"/>
      <c r="H136" s="91"/>
      <c r="I136" s="91"/>
      <c r="J136" s="91"/>
      <c r="K136" s="91"/>
      <c r="L136" s="90"/>
      <c r="M136" s="90"/>
      <c r="N136" s="64"/>
      <c r="O136" s="64"/>
      <c r="P136" s="64"/>
    </row>
    <row r="137" spans="1:16" hidden="1" outlineLevel="1" x14ac:dyDescent="0.2">
      <c r="A137" s="64"/>
      <c r="B137" s="64"/>
      <c r="C137" s="544" t="s">
        <v>574</v>
      </c>
      <c r="D137" s="546"/>
      <c r="E137" s="12"/>
      <c r="F137" s="91"/>
      <c r="G137" s="91"/>
      <c r="H137" s="91"/>
      <c r="I137" s="91"/>
      <c r="J137" s="91"/>
      <c r="K137" s="91"/>
      <c r="L137" s="90"/>
      <c r="M137" s="90"/>
      <c r="N137" s="64"/>
      <c r="O137" s="64"/>
      <c r="P137" s="64"/>
    </row>
    <row r="138" spans="1:16" hidden="1" outlineLevel="1" x14ac:dyDescent="0.2">
      <c r="A138" s="64"/>
      <c r="B138" s="64"/>
      <c r="C138" s="64"/>
      <c r="D138" s="64"/>
      <c r="E138" s="64"/>
      <c r="F138" s="91"/>
      <c r="G138" s="91"/>
      <c r="H138" s="91"/>
      <c r="I138" s="91"/>
      <c r="J138" s="91"/>
      <c r="K138" s="91"/>
      <c r="L138" s="90"/>
      <c r="M138" s="90"/>
      <c r="N138" s="64"/>
      <c r="O138" s="64"/>
      <c r="P138" s="64"/>
    </row>
    <row r="139" spans="1:16" hidden="1" outlineLevel="1" x14ac:dyDescent="0.2">
      <c r="A139" s="64"/>
      <c r="B139" s="64"/>
      <c r="C139" s="91"/>
      <c r="D139" s="91"/>
      <c r="E139" s="91"/>
      <c r="F139" s="85"/>
      <c r="G139" s="90"/>
      <c r="H139" s="90"/>
      <c r="I139" s="90"/>
      <c r="J139" s="90"/>
      <c r="K139" s="90"/>
      <c r="L139" s="90"/>
      <c r="M139" s="90"/>
      <c r="N139" s="64"/>
      <c r="O139" s="64"/>
      <c r="P139" s="64"/>
    </row>
    <row r="140" spans="1:16" ht="15.75" collapsed="1" x14ac:dyDescent="0.2">
      <c r="A140" s="64"/>
      <c r="B140" s="408">
        <v>6</v>
      </c>
      <c r="C140" s="547" t="str">
        <f xml:space="preserve"> IF(B140&lt;=$H$62,"Restriction " &amp; B140 &amp; " of " &amp; $H$62,MsgNotUsed)</f>
        <v>** NOT USED **</v>
      </c>
      <c r="D140" s="548"/>
      <c r="E140" s="549"/>
      <c r="F140" s="85"/>
      <c r="G140" s="90"/>
      <c r="H140" s="90"/>
      <c r="I140" s="90"/>
      <c r="J140" s="91"/>
      <c r="K140" s="91"/>
      <c r="L140" s="90"/>
      <c r="M140" s="90"/>
      <c r="N140" s="64"/>
      <c r="O140" s="64"/>
      <c r="P140" s="64"/>
    </row>
    <row r="141" spans="1:16" hidden="1" outlineLevel="1" x14ac:dyDescent="0.2">
      <c r="A141" s="64"/>
      <c r="B141" s="346">
        <f>IFERROR(VLOOKUP(D141,ProgrammeCode,3,FALSE),0)</f>
        <v>0</v>
      </c>
      <c r="C141" s="225" t="s">
        <v>565</v>
      </c>
      <c r="D141" s="70"/>
      <c r="E141" s="24" t="str">
        <f>IF(D141&lt;&gt;"",VLOOKUP(D141,ProgrammeCode,2,FALSE),"")</f>
        <v/>
      </c>
      <c r="F141" s="73"/>
      <c r="G141" s="84" t="s">
        <v>566</v>
      </c>
      <c r="H141" s="70"/>
      <c r="I141" s="90"/>
      <c r="J141" s="320" t="s">
        <v>704</v>
      </c>
      <c r="N141" s="346" t="str">
        <f>IF(AND(H141&lt;&gt;"",H141&lt;&gt;"New"),"E","")</f>
        <v/>
      </c>
      <c r="P141" s="64"/>
    </row>
    <row r="142" spans="1:16" hidden="1" outlineLevel="1" x14ac:dyDescent="0.2">
      <c r="A142" s="64"/>
      <c r="B142" s="64"/>
      <c r="C142" s="90"/>
      <c r="D142" s="90"/>
      <c r="E142" s="90"/>
      <c r="F142" s="90"/>
      <c r="G142" s="87" t="s">
        <v>685</v>
      </c>
      <c r="H142" s="13"/>
      <c r="I142" s="90"/>
      <c r="J142" s="368"/>
      <c r="L142" s="422"/>
      <c r="M142" s="346">
        <f>IF(J142&lt;&gt;"",VLOOKUP(J142,AuthorityCode,2,FALSE),0)</f>
        <v>0</v>
      </c>
      <c r="P142" s="64"/>
    </row>
    <row r="143" spans="1:16" hidden="1" outlineLevel="1" x14ac:dyDescent="0.2">
      <c r="A143" s="64"/>
      <c r="B143" s="64"/>
      <c r="C143" s="226" t="s">
        <v>56</v>
      </c>
      <c r="D143" s="192"/>
      <c r="E143" s="10"/>
      <c r="F143" s="92"/>
      <c r="G143" s="87" t="str">
        <f>VLOOKUP(B141,MaxQ,2,TRUE)</f>
        <v>Max quantity (units)</v>
      </c>
      <c r="H143" s="13"/>
      <c r="I143" s="90"/>
      <c r="J143" s="368"/>
      <c r="P143" s="64"/>
    </row>
    <row r="144" spans="1:16" hidden="1" outlineLevel="1" x14ac:dyDescent="0.2">
      <c r="A144" s="64"/>
      <c r="B144" s="64"/>
      <c r="C144" s="90"/>
      <c r="D144" s="90"/>
      <c r="E144" s="12"/>
      <c r="F144" s="90"/>
      <c r="G144" s="87" t="s">
        <v>567</v>
      </c>
      <c r="H144" s="13"/>
      <c r="I144" s="90"/>
      <c r="P144" s="64"/>
    </row>
    <row r="145" spans="1:16" hidden="1" outlineLevel="1" x14ac:dyDescent="0.2">
      <c r="A145" s="64"/>
      <c r="B145" s="64"/>
      <c r="C145" s="544" t="s">
        <v>568</v>
      </c>
      <c r="D145" s="546"/>
      <c r="E145" s="12"/>
      <c r="F145" s="90"/>
      <c r="G145" s="91"/>
      <c r="H145" s="91"/>
      <c r="I145" s="90"/>
      <c r="P145" s="64"/>
    </row>
    <row r="146" spans="1:16" hidden="1" outlineLevel="1" x14ac:dyDescent="0.2">
      <c r="A146" s="64"/>
      <c r="B146" s="64"/>
      <c r="C146" s="544" t="s">
        <v>569</v>
      </c>
      <c r="D146" s="546"/>
      <c r="E146" s="12"/>
      <c r="F146" s="91"/>
      <c r="G146" s="91"/>
      <c r="H146" s="91"/>
      <c r="I146" s="90"/>
      <c r="P146" s="64"/>
    </row>
    <row r="147" spans="1:16" hidden="1" outlineLevel="1" x14ac:dyDescent="0.2">
      <c r="A147" s="64"/>
      <c r="B147" s="64"/>
      <c r="C147" s="544" t="s">
        <v>570</v>
      </c>
      <c r="D147" s="546"/>
      <c r="E147" s="12"/>
      <c r="F147" s="91"/>
      <c r="G147" s="91"/>
      <c r="H147" s="91"/>
      <c r="I147" s="91"/>
      <c r="P147" s="64"/>
    </row>
    <row r="148" spans="1:16" hidden="1" outlineLevel="1" x14ac:dyDescent="0.2">
      <c r="A148" s="64"/>
      <c r="B148" s="64"/>
      <c r="C148" s="544" t="s">
        <v>883</v>
      </c>
      <c r="D148" s="546"/>
      <c r="E148" s="25" t="str">
        <f>IF(E145 &lt;&gt;"",E145 &amp; " ","") &amp; IF(E146&lt;&gt;"",E146 &amp; " ","") &amp; IF(E147&lt;&gt; "",E147,"")</f>
        <v/>
      </c>
      <c r="F148" s="91"/>
      <c r="G148" s="91"/>
      <c r="H148" s="91"/>
      <c r="I148" s="91"/>
      <c r="J148" s="91"/>
      <c r="K148" s="91"/>
      <c r="L148" s="90"/>
      <c r="M148" s="90"/>
      <c r="N148" s="64"/>
      <c r="O148" s="64"/>
      <c r="P148" s="64"/>
    </row>
    <row r="149" spans="1:16" hidden="1" outlineLevel="1" x14ac:dyDescent="0.2">
      <c r="A149" s="64"/>
      <c r="B149" s="64"/>
      <c r="C149" s="544" t="s">
        <v>571</v>
      </c>
      <c r="D149" s="546"/>
      <c r="E149" s="12"/>
      <c r="F149" s="91"/>
      <c r="G149" s="64"/>
      <c r="H149" s="64"/>
      <c r="I149" s="91"/>
      <c r="J149" s="91"/>
      <c r="K149" s="91"/>
      <c r="L149" s="90"/>
      <c r="M149" s="90"/>
      <c r="N149" s="64"/>
      <c r="O149" s="64"/>
      <c r="P149" s="64"/>
    </row>
    <row r="150" spans="1:16" hidden="1" outlineLevel="1" x14ac:dyDescent="0.2">
      <c r="A150" s="64"/>
      <c r="B150" s="64"/>
      <c r="C150" s="544" t="s">
        <v>572</v>
      </c>
      <c r="D150" s="546"/>
      <c r="E150" s="12"/>
      <c r="F150" s="91"/>
      <c r="G150" s="64"/>
      <c r="H150" s="64"/>
      <c r="I150" s="91"/>
      <c r="J150" s="91"/>
      <c r="K150" s="91"/>
      <c r="L150" s="90"/>
      <c r="M150" s="90"/>
      <c r="N150" s="64"/>
      <c r="O150" s="64"/>
      <c r="P150" s="64"/>
    </row>
    <row r="151" spans="1:16" hidden="1" outlineLevel="1" x14ac:dyDescent="0.2">
      <c r="A151" s="64"/>
      <c r="B151" s="64"/>
      <c r="C151" s="544" t="s">
        <v>573</v>
      </c>
      <c r="D151" s="546"/>
      <c r="E151" s="12"/>
      <c r="F151" s="91"/>
      <c r="G151" s="91"/>
      <c r="H151" s="91"/>
      <c r="I151" s="91"/>
      <c r="J151" s="91"/>
      <c r="K151" s="91"/>
      <c r="L151" s="90"/>
      <c r="M151" s="90"/>
      <c r="N151" s="64"/>
      <c r="O151" s="64"/>
      <c r="P151" s="64"/>
    </row>
    <row r="152" spans="1:16" hidden="1" outlineLevel="1" x14ac:dyDescent="0.2">
      <c r="A152" s="64"/>
      <c r="B152" s="64"/>
      <c r="C152" s="544" t="s">
        <v>574</v>
      </c>
      <c r="D152" s="546"/>
      <c r="E152" s="12"/>
      <c r="F152" s="91"/>
      <c r="G152" s="91"/>
      <c r="H152" s="91"/>
      <c r="I152" s="91"/>
      <c r="J152" s="91"/>
      <c r="K152" s="91"/>
      <c r="L152" s="90"/>
      <c r="M152" s="90"/>
      <c r="N152" s="64"/>
      <c r="O152" s="64"/>
      <c r="P152" s="64"/>
    </row>
    <row r="153" spans="1:16" hidden="1" outlineLevel="1" x14ac:dyDescent="0.2">
      <c r="A153" s="64"/>
      <c r="B153" s="64"/>
      <c r="C153" s="64"/>
      <c r="D153" s="64"/>
      <c r="E153" s="64"/>
      <c r="F153" s="91"/>
      <c r="G153" s="91"/>
      <c r="H153" s="91"/>
      <c r="I153" s="91"/>
      <c r="J153" s="91"/>
      <c r="K153" s="91"/>
      <c r="L153" s="90"/>
      <c r="M153" s="90"/>
      <c r="N153" s="64"/>
      <c r="O153" s="64"/>
      <c r="P153" s="64"/>
    </row>
    <row r="154" spans="1:16" hidden="1" outlineLevel="1" x14ac:dyDescent="0.2">
      <c r="A154" s="64"/>
      <c r="B154" s="64"/>
      <c r="C154" s="91"/>
      <c r="D154" s="91"/>
      <c r="E154" s="91"/>
      <c r="F154" s="85"/>
      <c r="G154" s="90"/>
      <c r="H154" s="90"/>
      <c r="I154" s="90"/>
      <c r="J154" s="90"/>
      <c r="K154" s="90"/>
      <c r="L154" s="90"/>
      <c r="M154" s="90"/>
      <c r="N154" s="64"/>
      <c r="O154" s="64"/>
      <c r="P154" s="64"/>
    </row>
    <row r="155" spans="1:16" ht="15.75" collapsed="1" x14ac:dyDescent="0.2">
      <c r="A155" s="64"/>
      <c r="B155" s="408">
        <v>7</v>
      </c>
      <c r="C155" s="547" t="str">
        <f xml:space="preserve"> IF(B155&lt;=$H$62,"Restriction " &amp; B155 &amp; " of " &amp; $H$62,MsgNotUsed)</f>
        <v>** NOT USED **</v>
      </c>
      <c r="D155" s="548"/>
      <c r="E155" s="549"/>
      <c r="F155" s="85"/>
      <c r="G155" s="90"/>
      <c r="H155" s="90"/>
      <c r="I155" s="90"/>
      <c r="J155" s="91"/>
      <c r="K155" s="91"/>
      <c r="L155" s="90"/>
      <c r="M155" s="90"/>
      <c r="N155" s="64"/>
      <c r="O155" s="64"/>
      <c r="P155" s="64"/>
    </row>
    <row r="156" spans="1:16" hidden="1" outlineLevel="1" x14ac:dyDescent="0.2">
      <c r="A156" s="64"/>
      <c r="B156" s="346">
        <f>IFERROR(VLOOKUP(D156,ProgrammeCode,3,FALSE),0)</f>
        <v>0</v>
      </c>
      <c r="C156" s="225" t="s">
        <v>565</v>
      </c>
      <c r="D156" s="70"/>
      <c r="E156" s="24" t="str">
        <f>IF(D156&lt;&gt;"",VLOOKUP(D156,ProgrammeCode,2,FALSE),"")</f>
        <v/>
      </c>
      <c r="F156" s="73"/>
      <c r="G156" s="84" t="s">
        <v>566</v>
      </c>
      <c r="H156" s="70"/>
      <c r="I156" s="90"/>
      <c r="J156" s="320" t="s">
        <v>704</v>
      </c>
      <c r="N156" s="346" t="str">
        <f>IF(AND(H156&lt;&gt;"",H156&lt;&gt;"New"),"E","")</f>
        <v/>
      </c>
      <c r="O156" s="64"/>
      <c r="P156" s="64"/>
    </row>
    <row r="157" spans="1:16" hidden="1" outlineLevel="1" x14ac:dyDescent="0.2">
      <c r="A157" s="64"/>
      <c r="B157" s="64"/>
      <c r="C157" s="90"/>
      <c r="D157" s="90"/>
      <c r="E157" s="90"/>
      <c r="F157" s="90"/>
      <c r="G157" s="87" t="s">
        <v>685</v>
      </c>
      <c r="H157" s="13"/>
      <c r="I157" s="90"/>
      <c r="J157" s="368"/>
      <c r="L157" s="422"/>
      <c r="M157" s="346">
        <f>IF(J157&lt;&gt;"",VLOOKUP(J157,AuthorityCode,2,FALSE),0)</f>
        <v>0</v>
      </c>
      <c r="O157" s="64"/>
      <c r="P157" s="64"/>
    </row>
    <row r="158" spans="1:16" hidden="1" outlineLevel="1" x14ac:dyDescent="0.2">
      <c r="A158" s="64"/>
      <c r="B158" s="64"/>
      <c r="C158" s="226" t="s">
        <v>56</v>
      </c>
      <c r="D158" s="192"/>
      <c r="E158" s="10"/>
      <c r="F158" s="92"/>
      <c r="G158" s="87" t="str">
        <f>VLOOKUP(B156,MaxQ,2,TRUE)</f>
        <v>Max quantity (units)</v>
      </c>
      <c r="H158" s="13"/>
      <c r="I158" s="90"/>
      <c r="J158" s="368"/>
      <c r="O158" s="64"/>
      <c r="P158" s="64"/>
    </row>
    <row r="159" spans="1:16" hidden="1" outlineLevel="1" x14ac:dyDescent="0.2">
      <c r="A159" s="64"/>
      <c r="B159" s="64"/>
      <c r="C159" s="90"/>
      <c r="D159" s="90"/>
      <c r="E159" s="12"/>
      <c r="F159" s="90"/>
      <c r="G159" s="87" t="s">
        <v>567</v>
      </c>
      <c r="H159" s="13"/>
      <c r="I159" s="90"/>
      <c r="O159" s="64"/>
      <c r="P159" s="64"/>
    </row>
    <row r="160" spans="1:16" hidden="1" outlineLevel="1" x14ac:dyDescent="0.2">
      <c r="A160" s="64"/>
      <c r="B160" s="64"/>
      <c r="C160" s="544" t="s">
        <v>568</v>
      </c>
      <c r="D160" s="546"/>
      <c r="E160" s="12"/>
      <c r="F160" s="90"/>
      <c r="G160" s="91"/>
      <c r="H160" s="91"/>
      <c r="I160" s="90"/>
      <c r="O160" s="91"/>
      <c r="P160" s="64"/>
    </row>
    <row r="161" spans="1:16" hidden="1" outlineLevel="1" x14ac:dyDescent="0.2">
      <c r="A161" s="64"/>
      <c r="B161" s="64"/>
      <c r="C161" s="544" t="s">
        <v>569</v>
      </c>
      <c r="D161" s="546"/>
      <c r="E161" s="12"/>
      <c r="F161" s="91"/>
      <c r="G161" s="91"/>
      <c r="H161" s="91"/>
      <c r="I161" s="90"/>
      <c r="O161" s="64"/>
      <c r="P161" s="64"/>
    </row>
    <row r="162" spans="1:16" hidden="1" outlineLevel="1" x14ac:dyDescent="0.2">
      <c r="A162" s="64"/>
      <c r="B162" s="64"/>
      <c r="C162" s="544" t="s">
        <v>570</v>
      </c>
      <c r="D162" s="546"/>
      <c r="E162" s="12"/>
      <c r="F162" s="91"/>
      <c r="G162" s="91"/>
      <c r="H162" s="91"/>
      <c r="I162" s="91"/>
      <c r="O162" s="64"/>
      <c r="P162" s="64"/>
    </row>
    <row r="163" spans="1:16" hidden="1" outlineLevel="1" x14ac:dyDescent="0.2">
      <c r="A163" s="64"/>
      <c r="B163" s="64"/>
      <c r="C163" s="544" t="s">
        <v>883</v>
      </c>
      <c r="D163" s="546"/>
      <c r="E163" s="25" t="str">
        <f>IF(E160 &lt;&gt;"",E160 &amp; " ","") &amp; IF(E161&lt;&gt;"",E161 &amp; " ","") &amp; IF(E162&lt;&gt; "",E162,"")</f>
        <v/>
      </c>
      <c r="F163" s="91"/>
      <c r="G163" s="91"/>
      <c r="H163" s="91"/>
      <c r="I163" s="91"/>
      <c r="J163" s="91"/>
      <c r="K163" s="91"/>
      <c r="L163" s="90"/>
      <c r="M163" s="90"/>
      <c r="N163" s="64"/>
      <c r="O163" s="64"/>
      <c r="P163" s="64"/>
    </row>
    <row r="164" spans="1:16" hidden="1" outlineLevel="1" x14ac:dyDescent="0.2">
      <c r="A164" s="64"/>
      <c r="B164" s="64"/>
      <c r="C164" s="544" t="s">
        <v>571</v>
      </c>
      <c r="D164" s="546"/>
      <c r="E164" s="12"/>
      <c r="F164" s="91"/>
      <c r="G164" s="91"/>
      <c r="H164" s="91"/>
      <c r="I164" s="91"/>
      <c r="J164" s="91"/>
      <c r="K164" s="91"/>
      <c r="L164" s="90"/>
      <c r="M164" s="90"/>
      <c r="N164" s="64"/>
      <c r="O164" s="64"/>
      <c r="P164" s="64"/>
    </row>
    <row r="165" spans="1:16" hidden="1" outlineLevel="1" x14ac:dyDescent="0.2">
      <c r="A165" s="64"/>
      <c r="B165" s="64"/>
      <c r="C165" s="544" t="s">
        <v>572</v>
      </c>
      <c r="D165" s="546"/>
      <c r="E165" s="12"/>
      <c r="F165" s="91"/>
      <c r="G165" s="91"/>
      <c r="H165" s="91"/>
      <c r="I165" s="91"/>
      <c r="J165" s="91"/>
      <c r="K165" s="91"/>
      <c r="L165" s="90"/>
      <c r="M165" s="90"/>
      <c r="N165" s="64"/>
      <c r="O165" s="64"/>
      <c r="P165" s="64"/>
    </row>
    <row r="166" spans="1:16" hidden="1" outlineLevel="1" x14ac:dyDescent="0.2">
      <c r="A166" s="64"/>
      <c r="B166" s="64"/>
      <c r="C166" s="544" t="s">
        <v>573</v>
      </c>
      <c r="D166" s="546"/>
      <c r="E166" s="12"/>
      <c r="F166" s="91"/>
      <c r="G166" s="91"/>
      <c r="H166" s="91"/>
      <c r="I166" s="91"/>
      <c r="J166" s="91"/>
      <c r="K166" s="91"/>
      <c r="L166" s="90"/>
      <c r="M166" s="90"/>
      <c r="N166" s="64"/>
      <c r="O166" s="64"/>
      <c r="P166" s="64"/>
    </row>
    <row r="167" spans="1:16" hidden="1" outlineLevel="1" x14ac:dyDescent="0.2">
      <c r="A167" s="64"/>
      <c r="B167" s="64"/>
      <c r="C167" s="544" t="s">
        <v>574</v>
      </c>
      <c r="D167" s="546"/>
      <c r="E167" s="12"/>
      <c r="F167" s="91"/>
      <c r="G167" s="91"/>
      <c r="H167" s="91"/>
      <c r="I167" s="91"/>
      <c r="J167" s="91"/>
      <c r="K167" s="91"/>
      <c r="L167" s="90"/>
      <c r="M167" s="90"/>
      <c r="N167" s="64"/>
      <c r="O167" s="64"/>
      <c r="P167" s="64"/>
    </row>
    <row r="168" spans="1:16" hidden="1" outlineLevel="1" x14ac:dyDescent="0.2">
      <c r="A168" s="64"/>
      <c r="B168" s="64"/>
      <c r="C168" s="441"/>
      <c r="D168" s="441"/>
      <c r="E168" s="64"/>
      <c r="F168" s="91"/>
      <c r="G168" s="91"/>
      <c r="H168" s="91"/>
      <c r="I168" s="91"/>
      <c r="J168" s="91"/>
      <c r="K168" s="91"/>
      <c r="L168" s="90"/>
      <c r="M168" s="90"/>
      <c r="N168" s="64"/>
      <c r="O168" s="64"/>
      <c r="P168" s="64"/>
    </row>
    <row r="169" spans="1:16" hidden="1" outlineLevel="1" x14ac:dyDescent="0.2">
      <c r="A169" s="64"/>
      <c r="B169" s="64"/>
      <c r="C169" s="90"/>
      <c r="D169" s="90"/>
      <c r="E169" s="90"/>
      <c r="F169" s="85"/>
      <c r="G169" s="90"/>
      <c r="H169" s="90"/>
      <c r="I169" s="90"/>
      <c r="J169" s="90"/>
      <c r="K169" s="90"/>
      <c r="L169" s="90"/>
      <c r="M169" s="90"/>
      <c r="N169" s="64"/>
      <c r="O169" s="64"/>
      <c r="P169" s="64"/>
    </row>
    <row r="170" spans="1:16" ht="15.75" collapsed="1" x14ac:dyDescent="0.2">
      <c r="A170" s="64"/>
      <c r="B170" s="408">
        <v>8</v>
      </c>
      <c r="C170" s="547" t="str">
        <f xml:space="preserve"> IF(B170&lt;=$H$62,"Restriction " &amp; B170 &amp; " of " &amp; $H$62,MsgNotUsed)</f>
        <v>** NOT USED **</v>
      </c>
      <c r="D170" s="548"/>
      <c r="E170" s="549"/>
      <c r="F170" s="85"/>
      <c r="G170" s="90"/>
      <c r="H170" s="90"/>
      <c r="I170" s="90"/>
      <c r="J170" s="91"/>
      <c r="K170" s="91"/>
      <c r="L170" s="90"/>
      <c r="M170" s="90"/>
      <c r="N170" s="64"/>
      <c r="O170" s="64"/>
      <c r="P170" s="64"/>
    </row>
    <row r="171" spans="1:16" hidden="1" outlineLevel="1" x14ac:dyDescent="0.2">
      <c r="A171" s="64"/>
      <c r="B171" s="346">
        <f>IFERROR(VLOOKUP(D171,ProgrammeCode,3,FALSE),0)</f>
        <v>0</v>
      </c>
      <c r="C171" s="225" t="s">
        <v>565</v>
      </c>
      <c r="D171" s="70"/>
      <c r="E171" s="24" t="str">
        <f>IF(D171&lt;&gt;"",VLOOKUP(D171,ProgrammeCode,2,FALSE),"")</f>
        <v/>
      </c>
      <c r="F171" s="73"/>
      <c r="G171" s="84" t="s">
        <v>566</v>
      </c>
      <c r="H171" s="70"/>
      <c r="I171" s="90"/>
      <c r="J171" s="320" t="s">
        <v>704</v>
      </c>
      <c r="N171" s="346" t="str">
        <f>IF(AND(H171&lt;&gt;"",H171&lt;&gt;"New"),"E","")</f>
        <v/>
      </c>
      <c r="O171" s="64"/>
      <c r="P171" s="64"/>
    </row>
    <row r="172" spans="1:16" hidden="1" outlineLevel="1" x14ac:dyDescent="0.2">
      <c r="A172" s="64"/>
      <c r="B172" s="64"/>
      <c r="C172" s="90"/>
      <c r="D172" s="90"/>
      <c r="E172" s="90"/>
      <c r="F172" s="90"/>
      <c r="G172" s="87" t="s">
        <v>685</v>
      </c>
      <c r="H172" s="13"/>
      <c r="I172" s="90"/>
      <c r="J172" s="368"/>
      <c r="L172" s="422"/>
      <c r="M172" s="346">
        <f>IF(J172&lt;&gt;"",VLOOKUP(J172,AuthorityCode,2,FALSE),0)</f>
        <v>0</v>
      </c>
      <c r="O172" s="64"/>
      <c r="P172" s="64"/>
    </row>
    <row r="173" spans="1:16" hidden="1" outlineLevel="1" x14ac:dyDescent="0.2">
      <c r="A173" s="64"/>
      <c r="B173" s="64"/>
      <c r="C173" s="226" t="s">
        <v>56</v>
      </c>
      <c r="D173" s="192"/>
      <c r="E173" s="10"/>
      <c r="F173" s="92"/>
      <c r="G173" s="87" t="str">
        <f>VLOOKUP(B171,MaxQ,2,TRUE)</f>
        <v>Max quantity (units)</v>
      </c>
      <c r="H173" s="13"/>
      <c r="I173" s="90"/>
      <c r="J173" s="368"/>
      <c r="O173" s="64"/>
      <c r="P173" s="64"/>
    </row>
    <row r="174" spans="1:16" hidden="1" outlineLevel="1" x14ac:dyDescent="0.2">
      <c r="A174" s="64"/>
      <c r="B174" s="64"/>
      <c r="C174" s="90"/>
      <c r="D174" s="90"/>
      <c r="E174" s="12"/>
      <c r="F174" s="90"/>
      <c r="G174" s="87" t="s">
        <v>567</v>
      </c>
      <c r="H174" s="13"/>
      <c r="I174" s="90"/>
      <c r="O174" s="64"/>
      <c r="P174" s="64"/>
    </row>
    <row r="175" spans="1:16" hidden="1" outlineLevel="1" x14ac:dyDescent="0.2">
      <c r="A175" s="64"/>
      <c r="B175" s="64"/>
      <c r="C175" s="544" t="s">
        <v>568</v>
      </c>
      <c r="D175" s="546"/>
      <c r="E175" s="12"/>
      <c r="F175" s="90"/>
      <c r="G175" s="91"/>
      <c r="H175" s="91"/>
      <c r="I175" s="90"/>
      <c r="O175" s="91"/>
      <c r="P175" s="64"/>
    </row>
    <row r="176" spans="1:16" hidden="1" outlineLevel="1" x14ac:dyDescent="0.2">
      <c r="A176" s="64"/>
      <c r="B176" s="64"/>
      <c r="C176" s="544" t="s">
        <v>569</v>
      </c>
      <c r="D176" s="546"/>
      <c r="E176" s="12"/>
      <c r="F176" s="91"/>
      <c r="G176" s="91"/>
      <c r="H176" s="91"/>
      <c r="I176" s="90"/>
      <c r="O176" s="64"/>
      <c r="P176" s="64"/>
    </row>
    <row r="177" spans="1:16" hidden="1" outlineLevel="1" x14ac:dyDescent="0.2">
      <c r="A177" s="64"/>
      <c r="B177" s="64"/>
      <c r="C177" s="544" t="s">
        <v>570</v>
      </c>
      <c r="D177" s="546"/>
      <c r="E177" s="12"/>
      <c r="F177" s="91"/>
      <c r="G177" s="91"/>
      <c r="H177" s="91"/>
      <c r="I177" s="91"/>
      <c r="O177" s="64"/>
      <c r="P177" s="64"/>
    </row>
    <row r="178" spans="1:16" hidden="1" outlineLevel="1" x14ac:dyDescent="0.2">
      <c r="A178" s="64"/>
      <c r="B178" s="64"/>
      <c r="C178" s="544" t="s">
        <v>883</v>
      </c>
      <c r="D178" s="546"/>
      <c r="E178" s="25" t="str">
        <f>IF(E175 &lt;&gt;"",E175 &amp; " ","") &amp; IF(E176&lt;&gt;"",E176 &amp; " ","") &amp; IF(E177&lt;&gt; "",E177,"")</f>
        <v/>
      </c>
      <c r="F178" s="91"/>
      <c r="G178" s="91"/>
      <c r="H178" s="91"/>
      <c r="I178" s="91"/>
      <c r="J178" s="91"/>
      <c r="K178" s="91"/>
      <c r="L178" s="90"/>
      <c r="M178" s="90"/>
      <c r="N178" s="64"/>
      <c r="O178" s="64"/>
      <c r="P178" s="64"/>
    </row>
    <row r="179" spans="1:16" hidden="1" outlineLevel="1" x14ac:dyDescent="0.2">
      <c r="A179" s="64"/>
      <c r="B179" s="64"/>
      <c r="C179" s="544" t="s">
        <v>571</v>
      </c>
      <c r="D179" s="546"/>
      <c r="E179" s="12"/>
      <c r="F179" s="91"/>
      <c r="G179" s="91"/>
      <c r="H179" s="91"/>
      <c r="I179" s="91"/>
      <c r="J179" s="91"/>
      <c r="K179" s="91"/>
      <c r="L179" s="90"/>
      <c r="M179" s="90"/>
      <c r="N179" s="64"/>
      <c r="O179" s="64"/>
      <c r="P179" s="64"/>
    </row>
    <row r="180" spans="1:16" hidden="1" outlineLevel="1" x14ac:dyDescent="0.2">
      <c r="A180" s="64"/>
      <c r="B180" s="64"/>
      <c r="C180" s="544" t="s">
        <v>572</v>
      </c>
      <c r="D180" s="546"/>
      <c r="E180" s="12"/>
      <c r="F180" s="91"/>
      <c r="G180" s="91"/>
      <c r="H180" s="91"/>
      <c r="I180" s="91"/>
      <c r="J180" s="91"/>
      <c r="K180" s="91"/>
      <c r="L180" s="90"/>
      <c r="M180" s="90"/>
      <c r="N180" s="64"/>
      <c r="O180" s="64"/>
      <c r="P180" s="64"/>
    </row>
    <row r="181" spans="1:16" hidden="1" outlineLevel="1" x14ac:dyDescent="0.2">
      <c r="A181" s="64"/>
      <c r="B181" s="64"/>
      <c r="C181" s="544" t="s">
        <v>573</v>
      </c>
      <c r="D181" s="546"/>
      <c r="E181" s="12"/>
      <c r="F181" s="91"/>
      <c r="G181" s="91"/>
      <c r="H181" s="91"/>
      <c r="I181" s="91"/>
      <c r="J181" s="91"/>
      <c r="K181" s="91"/>
      <c r="L181" s="90"/>
      <c r="M181" s="90"/>
      <c r="N181" s="64"/>
      <c r="O181" s="64"/>
      <c r="P181" s="64"/>
    </row>
    <row r="182" spans="1:16" hidden="1" outlineLevel="1" x14ac:dyDescent="0.2">
      <c r="A182" s="64"/>
      <c r="B182" s="64"/>
      <c r="C182" s="544" t="s">
        <v>574</v>
      </c>
      <c r="D182" s="546"/>
      <c r="E182" s="12"/>
      <c r="F182" s="91"/>
      <c r="G182" s="91"/>
      <c r="H182" s="91"/>
      <c r="I182" s="91"/>
      <c r="J182" s="91"/>
      <c r="K182" s="91"/>
      <c r="L182" s="90"/>
      <c r="M182" s="90"/>
      <c r="N182" s="64"/>
      <c r="O182" s="64"/>
      <c r="P182" s="64"/>
    </row>
    <row r="183" spans="1:16" hidden="1" outlineLevel="1" x14ac:dyDescent="0.2">
      <c r="A183" s="64"/>
      <c r="B183" s="64"/>
      <c r="C183" s="64"/>
      <c r="D183" s="64"/>
      <c r="E183" s="64"/>
      <c r="F183" s="91"/>
      <c r="G183" s="91"/>
      <c r="H183" s="91"/>
      <c r="I183" s="91"/>
      <c r="J183" s="91"/>
      <c r="K183" s="91"/>
      <c r="L183" s="90"/>
      <c r="M183" s="90"/>
      <c r="N183" s="64"/>
      <c r="O183" s="64"/>
      <c r="P183" s="64"/>
    </row>
    <row r="184" spans="1:16" hidden="1" outlineLevel="1" x14ac:dyDescent="0.2">
      <c r="A184" s="64"/>
      <c r="B184" s="64"/>
      <c r="C184" s="90"/>
      <c r="D184" s="90"/>
      <c r="E184" s="90"/>
      <c r="F184" s="85"/>
      <c r="G184" s="90"/>
      <c r="H184" s="90"/>
      <c r="I184" s="90"/>
      <c r="J184" s="90"/>
      <c r="K184" s="90"/>
      <c r="L184" s="90"/>
      <c r="M184" s="90"/>
      <c r="N184" s="64"/>
      <c r="O184" s="64"/>
      <c r="P184" s="64"/>
    </row>
    <row r="185" spans="1:16" ht="15.75" collapsed="1" x14ac:dyDescent="0.2">
      <c r="A185" s="64"/>
      <c r="B185" s="408">
        <v>9</v>
      </c>
      <c r="C185" s="547" t="str">
        <f xml:space="preserve"> IF(B185&lt;=$H$62,"Restriction " &amp; B185 &amp; " of " &amp; $H$62,MsgNotUsed)</f>
        <v>** NOT USED **</v>
      </c>
      <c r="D185" s="548"/>
      <c r="E185" s="549"/>
      <c r="F185" s="85"/>
      <c r="G185" s="90"/>
      <c r="H185" s="90"/>
      <c r="I185" s="90"/>
      <c r="J185" s="91"/>
      <c r="K185" s="91"/>
      <c r="L185" s="90"/>
      <c r="M185" s="90"/>
      <c r="N185" s="64"/>
      <c r="O185" s="64"/>
      <c r="P185" s="64"/>
    </row>
    <row r="186" spans="1:16" hidden="1" outlineLevel="1" x14ac:dyDescent="0.2">
      <c r="A186" s="64"/>
      <c r="B186" s="346">
        <f>IFERROR(VLOOKUP(D186,ProgrammeCode,3,FALSE),0)</f>
        <v>0</v>
      </c>
      <c r="C186" s="225" t="s">
        <v>565</v>
      </c>
      <c r="D186" s="70"/>
      <c r="E186" s="24" t="str">
        <f>IF(D186&lt;&gt;"",VLOOKUP(D186,ProgrammeCode,2,FALSE),"")</f>
        <v/>
      </c>
      <c r="F186" s="73"/>
      <c r="G186" s="84" t="s">
        <v>566</v>
      </c>
      <c r="H186" s="70"/>
      <c r="I186" s="90"/>
      <c r="J186" s="320" t="s">
        <v>704</v>
      </c>
      <c r="N186" s="346" t="str">
        <f>IF(AND(H186&lt;&gt;"",H186&lt;&gt;"New"),"E","")</f>
        <v/>
      </c>
      <c r="O186" s="64"/>
      <c r="P186" s="64"/>
    </row>
    <row r="187" spans="1:16" hidden="1" outlineLevel="1" x14ac:dyDescent="0.2">
      <c r="A187" s="64"/>
      <c r="B187" s="64"/>
      <c r="C187" s="90"/>
      <c r="D187" s="90"/>
      <c r="E187" s="90"/>
      <c r="F187" s="90"/>
      <c r="G187" s="87" t="s">
        <v>685</v>
      </c>
      <c r="H187" s="13"/>
      <c r="I187" s="90"/>
      <c r="J187" s="368"/>
      <c r="L187" s="422"/>
      <c r="M187" s="346">
        <f>IF(J187&lt;&gt;"",VLOOKUP(J187,AuthorityCode,2,FALSE),0)</f>
        <v>0</v>
      </c>
      <c r="O187" s="64"/>
      <c r="P187" s="64"/>
    </row>
    <row r="188" spans="1:16" hidden="1" outlineLevel="1" x14ac:dyDescent="0.2">
      <c r="A188" s="64"/>
      <c r="B188" s="64"/>
      <c r="C188" s="226" t="s">
        <v>56</v>
      </c>
      <c r="D188" s="192"/>
      <c r="E188" s="10"/>
      <c r="F188" s="92"/>
      <c r="G188" s="87" t="str">
        <f>VLOOKUP(B186,MaxQ,2,TRUE)</f>
        <v>Max quantity (units)</v>
      </c>
      <c r="H188" s="13"/>
      <c r="I188" s="90"/>
      <c r="J188" s="368"/>
      <c r="O188" s="64"/>
      <c r="P188" s="64"/>
    </row>
    <row r="189" spans="1:16" hidden="1" outlineLevel="1" x14ac:dyDescent="0.2">
      <c r="A189" s="64"/>
      <c r="B189" s="64"/>
      <c r="C189" s="90"/>
      <c r="D189" s="90"/>
      <c r="E189" s="12"/>
      <c r="F189" s="90"/>
      <c r="G189" s="87" t="s">
        <v>567</v>
      </c>
      <c r="H189" s="13"/>
      <c r="I189" s="90"/>
      <c r="O189" s="64"/>
      <c r="P189" s="64"/>
    </row>
    <row r="190" spans="1:16" hidden="1" outlineLevel="1" x14ac:dyDescent="0.2">
      <c r="A190" s="64"/>
      <c r="B190" s="64"/>
      <c r="C190" s="544" t="s">
        <v>568</v>
      </c>
      <c r="D190" s="546"/>
      <c r="E190" s="12"/>
      <c r="F190" s="90"/>
      <c r="G190" s="91"/>
      <c r="H190" s="91"/>
      <c r="I190" s="90"/>
      <c r="O190" s="91"/>
      <c r="P190" s="64"/>
    </row>
    <row r="191" spans="1:16" hidden="1" outlineLevel="1" x14ac:dyDescent="0.2">
      <c r="A191" s="64"/>
      <c r="B191" s="64"/>
      <c r="C191" s="544" t="s">
        <v>569</v>
      </c>
      <c r="D191" s="546"/>
      <c r="E191" s="12"/>
      <c r="F191" s="91"/>
      <c r="G191" s="91"/>
      <c r="H191" s="91"/>
      <c r="I191" s="90"/>
      <c r="O191" s="64"/>
      <c r="P191" s="64"/>
    </row>
    <row r="192" spans="1:16" hidden="1" outlineLevel="1" x14ac:dyDescent="0.2">
      <c r="A192" s="64"/>
      <c r="B192" s="64"/>
      <c r="C192" s="544" t="s">
        <v>570</v>
      </c>
      <c r="D192" s="546"/>
      <c r="E192" s="12"/>
      <c r="F192" s="91"/>
      <c r="G192" s="91"/>
      <c r="H192" s="91"/>
      <c r="I192" s="91"/>
      <c r="O192" s="64"/>
      <c r="P192" s="64"/>
    </row>
    <row r="193" spans="1:16" hidden="1" outlineLevel="1" x14ac:dyDescent="0.2">
      <c r="A193" s="64"/>
      <c r="B193" s="64"/>
      <c r="C193" s="544" t="s">
        <v>883</v>
      </c>
      <c r="D193" s="546"/>
      <c r="E193" s="25" t="str">
        <f>IF(E190 &lt;&gt;"",E190 &amp; " ","") &amp; IF(E191&lt;&gt;"",E191 &amp; " ","") &amp; IF(E192&lt;&gt; "",E192,"")</f>
        <v/>
      </c>
      <c r="F193" s="91"/>
      <c r="G193" s="91"/>
      <c r="H193" s="91"/>
      <c r="I193" s="91"/>
      <c r="J193" s="91"/>
      <c r="K193" s="91"/>
      <c r="L193" s="90"/>
      <c r="M193" s="90"/>
      <c r="N193" s="64"/>
      <c r="O193" s="64"/>
      <c r="P193" s="64"/>
    </row>
    <row r="194" spans="1:16" hidden="1" outlineLevel="1" x14ac:dyDescent="0.2">
      <c r="A194" s="64"/>
      <c r="B194" s="64"/>
      <c r="C194" s="544" t="s">
        <v>571</v>
      </c>
      <c r="D194" s="546"/>
      <c r="E194" s="12"/>
      <c r="F194" s="91"/>
      <c r="G194" s="91"/>
      <c r="H194" s="91"/>
      <c r="I194" s="91"/>
      <c r="J194" s="91"/>
      <c r="K194" s="91"/>
      <c r="L194" s="90"/>
      <c r="M194" s="90"/>
      <c r="N194" s="64"/>
      <c r="O194" s="64"/>
      <c r="P194" s="64"/>
    </row>
    <row r="195" spans="1:16" hidden="1" outlineLevel="1" x14ac:dyDescent="0.2">
      <c r="A195" s="64"/>
      <c r="B195" s="64"/>
      <c r="C195" s="544" t="s">
        <v>572</v>
      </c>
      <c r="D195" s="546"/>
      <c r="E195" s="12"/>
      <c r="F195" s="91"/>
      <c r="G195" s="91"/>
      <c r="H195" s="91"/>
      <c r="I195" s="91"/>
      <c r="J195" s="91"/>
      <c r="K195" s="91"/>
      <c r="L195" s="90"/>
      <c r="M195" s="90"/>
      <c r="N195" s="64"/>
      <c r="O195" s="64"/>
      <c r="P195" s="64"/>
    </row>
    <row r="196" spans="1:16" hidden="1" outlineLevel="1" x14ac:dyDescent="0.2">
      <c r="A196" s="64"/>
      <c r="B196" s="64"/>
      <c r="C196" s="544" t="s">
        <v>573</v>
      </c>
      <c r="D196" s="546"/>
      <c r="E196" s="12"/>
      <c r="F196" s="91"/>
      <c r="G196" s="91"/>
      <c r="H196" s="91"/>
      <c r="I196" s="91"/>
      <c r="J196" s="91"/>
      <c r="K196" s="91"/>
      <c r="L196" s="90"/>
      <c r="M196" s="90"/>
      <c r="N196" s="64"/>
      <c r="O196" s="64"/>
      <c r="P196" s="64"/>
    </row>
    <row r="197" spans="1:16" hidden="1" outlineLevel="1" x14ac:dyDescent="0.2">
      <c r="A197" s="64"/>
      <c r="B197" s="64"/>
      <c r="C197" s="544" t="s">
        <v>574</v>
      </c>
      <c r="D197" s="546"/>
      <c r="E197" s="12"/>
      <c r="F197" s="91"/>
      <c r="G197" s="91"/>
      <c r="H197" s="91"/>
      <c r="I197" s="91"/>
      <c r="J197" s="91"/>
      <c r="K197" s="91"/>
      <c r="L197" s="90"/>
      <c r="M197" s="90"/>
      <c r="N197" s="64"/>
      <c r="O197" s="64"/>
      <c r="P197" s="64"/>
    </row>
    <row r="198" spans="1:16" hidden="1" outlineLevel="1" x14ac:dyDescent="0.2">
      <c r="A198" s="64"/>
      <c r="B198" s="64"/>
      <c r="C198" s="64"/>
      <c r="D198" s="64"/>
      <c r="E198" s="64"/>
      <c r="F198" s="91"/>
      <c r="G198" s="91"/>
      <c r="H198" s="91"/>
      <c r="I198" s="91"/>
      <c r="J198" s="91"/>
      <c r="K198" s="91"/>
      <c r="L198" s="90"/>
      <c r="M198" s="90"/>
      <c r="N198" s="64"/>
      <c r="O198" s="64"/>
      <c r="P198" s="64"/>
    </row>
    <row r="199" spans="1:16" hidden="1" outlineLevel="1" x14ac:dyDescent="0.2">
      <c r="A199" s="64"/>
      <c r="B199" s="64"/>
      <c r="C199" s="90"/>
      <c r="D199" s="90"/>
      <c r="E199" s="90"/>
      <c r="F199" s="85"/>
      <c r="G199" s="90"/>
      <c r="H199" s="90"/>
      <c r="I199" s="90"/>
      <c r="J199" s="90"/>
      <c r="K199" s="90"/>
      <c r="L199" s="90"/>
      <c r="M199" s="90"/>
      <c r="N199" s="64"/>
      <c r="O199" s="64"/>
      <c r="P199" s="64"/>
    </row>
    <row r="200" spans="1:16" ht="15.75" collapsed="1" x14ac:dyDescent="0.2">
      <c r="A200" s="64"/>
      <c r="B200" s="408">
        <v>10</v>
      </c>
      <c r="C200" s="547" t="str">
        <f xml:space="preserve"> IF(B200&lt;=$H$62,"Restriction " &amp; B200 &amp; " of " &amp; $H$62,MsgNotUsed)</f>
        <v>** NOT USED **</v>
      </c>
      <c r="D200" s="548"/>
      <c r="E200" s="549"/>
      <c r="F200" s="85"/>
      <c r="G200" s="90"/>
      <c r="H200" s="90"/>
      <c r="I200" s="90"/>
      <c r="J200" s="91"/>
      <c r="K200" s="91"/>
      <c r="L200" s="90"/>
      <c r="M200" s="90"/>
      <c r="N200" s="64"/>
      <c r="O200" s="64"/>
      <c r="P200" s="64"/>
    </row>
    <row r="201" spans="1:16" hidden="1" outlineLevel="1" x14ac:dyDescent="0.2">
      <c r="A201" s="64"/>
      <c r="B201" s="346">
        <f>IFERROR(VLOOKUP(D201,ProgrammeCode,3,FALSE),0)</f>
        <v>0</v>
      </c>
      <c r="C201" s="225" t="s">
        <v>565</v>
      </c>
      <c r="D201" s="70"/>
      <c r="E201" s="24" t="str">
        <f>IF(D201&lt;&gt;"",VLOOKUP(D201,ProgrammeCode,2,FALSE),"")</f>
        <v/>
      </c>
      <c r="F201" s="73"/>
      <c r="G201" s="84" t="s">
        <v>566</v>
      </c>
      <c r="H201" s="70"/>
      <c r="I201" s="90"/>
      <c r="J201" s="320" t="s">
        <v>704</v>
      </c>
      <c r="N201" s="346" t="str">
        <f>IF(AND(H201&lt;&gt;"",H201&lt;&gt;"New"),"E","")</f>
        <v/>
      </c>
      <c r="O201" s="64"/>
      <c r="P201" s="64"/>
    </row>
    <row r="202" spans="1:16" hidden="1" outlineLevel="1" x14ac:dyDescent="0.2">
      <c r="A202" s="64"/>
      <c r="B202" s="64"/>
      <c r="C202" s="90"/>
      <c r="D202" s="90"/>
      <c r="E202" s="90"/>
      <c r="F202" s="90"/>
      <c r="G202" s="87" t="s">
        <v>685</v>
      </c>
      <c r="H202" s="13"/>
      <c r="I202" s="90"/>
      <c r="J202" s="368"/>
      <c r="L202" s="422"/>
      <c r="M202" s="346">
        <f>IF(J202&lt;&gt;"",VLOOKUP(J202,AuthorityCode,2,FALSE),0)</f>
        <v>0</v>
      </c>
      <c r="O202" s="64"/>
      <c r="P202" s="64"/>
    </row>
    <row r="203" spans="1:16" hidden="1" outlineLevel="1" x14ac:dyDescent="0.2">
      <c r="A203" s="64"/>
      <c r="B203" s="64"/>
      <c r="C203" s="226" t="s">
        <v>56</v>
      </c>
      <c r="D203" s="192"/>
      <c r="E203" s="10"/>
      <c r="F203" s="92"/>
      <c r="G203" s="87" t="str">
        <f>VLOOKUP(B201,MaxQ,2,TRUE)</f>
        <v>Max quantity (units)</v>
      </c>
      <c r="H203" s="13"/>
      <c r="I203" s="90"/>
      <c r="J203" s="368"/>
      <c r="O203" s="64"/>
      <c r="P203" s="64"/>
    </row>
    <row r="204" spans="1:16" hidden="1" outlineLevel="1" x14ac:dyDescent="0.2">
      <c r="A204" s="64"/>
      <c r="B204" s="64"/>
      <c r="C204" s="90"/>
      <c r="D204" s="90"/>
      <c r="E204" s="12"/>
      <c r="F204" s="90"/>
      <c r="G204" s="87" t="s">
        <v>567</v>
      </c>
      <c r="H204" s="13"/>
      <c r="I204" s="90"/>
      <c r="O204" s="64"/>
      <c r="P204" s="64"/>
    </row>
    <row r="205" spans="1:16" hidden="1" outlineLevel="1" x14ac:dyDescent="0.2">
      <c r="A205" s="64"/>
      <c r="B205" s="64"/>
      <c r="C205" s="544" t="s">
        <v>568</v>
      </c>
      <c r="D205" s="546"/>
      <c r="E205" s="12"/>
      <c r="F205" s="90"/>
      <c r="G205" s="91"/>
      <c r="H205" s="91"/>
      <c r="I205" s="90"/>
      <c r="O205" s="91"/>
      <c r="P205" s="64"/>
    </row>
    <row r="206" spans="1:16" hidden="1" outlineLevel="1" x14ac:dyDescent="0.2">
      <c r="A206" s="64"/>
      <c r="B206" s="64"/>
      <c r="C206" s="544" t="s">
        <v>569</v>
      </c>
      <c r="D206" s="546"/>
      <c r="E206" s="12"/>
      <c r="F206" s="91"/>
      <c r="G206" s="91"/>
      <c r="H206" s="91"/>
      <c r="I206" s="90"/>
      <c r="O206" s="64"/>
      <c r="P206" s="64"/>
    </row>
    <row r="207" spans="1:16" hidden="1" outlineLevel="1" x14ac:dyDescent="0.2">
      <c r="A207" s="64"/>
      <c r="B207" s="64"/>
      <c r="C207" s="544" t="s">
        <v>570</v>
      </c>
      <c r="D207" s="546"/>
      <c r="E207" s="12"/>
      <c r="F207" s="91"/>
      <c r="G207" s="91"/>
      <c r="H207" s="91"/>
      <c r="I207" s="91"/>
      <c r="O207" s="64"/>
      <c r="P207" s="64"/>
    </row>
    <row r="208" spans="1:16" hidden="1" outlineLevel="1" x14ac:dyDescent="0.2">
      <c r="A208" s="64"/>
      <c r="B208" s="64"/>
      <c r="C208" s="544" t="s">
        <v>883</v>
      </c>
      <c r="D208" s="546"/>
      <c r="E208" s="25" t="str">
        <f>IF(E205 &lt;&gt;"",E205 &amp; " ","") &amp; IF(E206&lt;&gt;"",E206 &amp; " ","") &amp; IF(E207&lt;&gt; "",E207,"")</f>
        <v/>
      </c>
      <c r="F208" s="91"/>
      <c r="G208" s="91"/>
      <c r="H208" s="91"/>
      <c r="I208" s="91"/>
      <c r="J208" s="91"/>
      <c r="K208" s="91"/>
      <c r="L208" s="90"/>
      <c r="M208" s="90"/>
      <c r="N208" s="64"/>
      <c r="O208" s="64"/>
      <c r="P208" s="64"/>
    </row>
    <row r="209" spans="1:16" hidden="1" outlineLevel="1" x14ac:dyDescent="0.2">
      <c r="A209" s="64"/>
      <c r="B209" s="64"/>
      <c r="C209" s="544" t="s">
        <v>571</v>
      </c>
      <c r="D209" s="546"/>
      <c r="E209" s="12"/>
      <c r="F209" s="91"/>
      <c r="G209" s="91"/>
      <c r="H209" s="91"/>
      <c r="I209" s="91"/>
      <c r="J209" s="91"/>
      <c r="K209" s="91"/>
      <c r="L209" s="90"/>
      <c r="M209" s="90"/>
      <c r="N209" s="64"/>
      <c r="O209" s="64"/>
      <c r="P209" s="64"/>
    </row>
    <row r="210" spans="1:16" hidden="1" outlineLevel="1" x14ac:dyDescent="0.2">
      <c r="A210" s="64"/>
      <c r="B210" s="64"/>
      <c r="C210" s="544" t="s">
        <v>572</v>
      </c>
      <c r="D210" s="546"/>
      <c r="E210" s="12"/>
      <c r="F210" s="91"/>
      <c r="G210" s="91"/>
      <c r="H210" s="91"/>
      <c r="I210" s="91"/>
      <c r="J210" s="91"/>
      <c r="K210" s="91"/>
      <c r="L210" s="90"/>
      <c r="M210" s="90"/>
      <c r="N210" s="64"/>
      <c r="O210" s="64"/>
      <c r="P210" s="64"/>
    </row>
    <row r="211" spans="1:16" hidden="1" outlineLevel="1" x14ac:dyDescent="0.2">
      <c r="A211" s="64"/>
      <c r="B211" s="64"/>
      <c r="C211" s="544" t="s">
        <v>573</v>
      </c>
      <c r="D211" s="546"/>
      <c r="E211" s="12"/>
      <c r="F211" s="91"/>
      <c r="G211" s="91"/>
      <c r="H211" s="91"/>
      <c r="I211" s="91"/>
      <c r="J211" s="91"/>
      <c r="K211" s="91"/>
      <c r="L211" s="90"/>
      <c r="M211" s="90"/>
      <c r="N211" s="64"/>
      <c r="O211" s="64"/>
      <c r="P211" s="64"/>
    </row>
    <row r="212" spans="1:16" hidden="1" outlineLevel="1" x14ac:dyDescent="0.2">
      <c r="A212" s="64"/>
      <c r="B212" s="64"/>
      <c r="C212" s="544" t="s">
        <v>574</v>
      </c>
      <c r="D212" s="546"/>
      <c r="E212" s="12"/>
      <c r="F212" s="91"/>
      <c r="G212" s="91"/>
      <c r="H212" s="91"/>
      <c r="I212" s="91"/>
      <c r="J212" s="91"/>
      <c r="K212" s="91"/>
      <c r="L212" s="90"/>
      <c r="M212" s="90"/>
      <c r="N212" s="64"/>
      <c r="O212" s="64"/>
      <c r="P212" s="64"/>
    </row>
    <row r="213" spans="1:16" hidden="1" outlineLevel="1" x14ac:dyDescent="0.2">
      <c r="A213" s="64"/>
      <c r="B213" s="64"/>
      <c r="C213" s="64"/>
      <c r="D213" s="64"/>
      <c r="E213" s="64"/>
      <c r="F213" s="91"/>
      <c r="G213" s="91"/>
      <c r="H213" s="91"/>
      <c r="I213" s="91"/>
      <c r="J213" s="91"/>
      <c r="K213" s="91"/>
      <c r="L213" s="90"/>
      <c r="M213" s="90"/>
      <c r="N213" s="64"/>
      <c r="O213" s="64"/>
      <c r="P213" s="64"/>
    </row>
    <row r="214" spans="1:16" hidden="1" outlineLevel="1" x14ac:dyDescent="0.2">
      <c r="A214" s="64"/>
      <c r="B214" s="64"/>
      <c r="C214" s="90"/>
      <c r="D214" s="90"/>
      <c r="E214" s="90"/>
      <c r="F214" s="85"/>
      <c r="G214" s="90"/>
      <c r="H214" s="90"/>
      <c r="I214" s="90"/>
      <c r="J214" s="90"/>
      <c r="K214" s="90"/>
      <c r="L214" s="90"/>
      <c r="M214" s="90"/>
      <c r="N214" s="64"/>
      <c r="O214" s="64"/>
      <c r="P214" s="64"/>
    </row>
    <row r="215" spans="1:16" ht="15.75" collapsed="1" x14ac:dyDescent="0.2">
      <c r="A215" s="64"/>
      <c r="B215" s="408">
        <v>11</v>
      </c>
      <c r="C215" s="547" t="str">
        <f xml:space="preserve"> IF(B215&lt;=$H$62,"Restriction " &amp; B215 &amp; " of " &amp; $H$62,MsgNotUsed)</f>
        <v>** NOT USED **</v>
      </c>
      <c r="D215" s="548"/>
      <c r="E215" s="549"/>
      <c r="F215" s="85"/>
      <c r="G215" s="90"/>
      <c r="H215" s="90"/>
      <c r="I215" s="90"/>
      <c r="J215" s="91"/>
      <c r="K215" s="91"/>
      <c r="L215" s="90"/>
      <c r="M215" s="90"/>
      <c r="N215" s="64"/>
      <c r="O215" s="64"/>
      <c r="P215" s="64"/>
    </row>
    <row r="216" spans="1:16" hidden="1" outlineLevel="1" x14ac:dyDescent="0.2">
      <c r="A216" s="64"/>
      <c r="B216" s="346">
        <f>IFERROR(VLOOKUP(D216,ProgrammeCode,3,FALSE),0)</f>
        <v>0</v>
      </c>
      <c r="C216" s="225" t="s">
        <v>565</v>
      </c>
      <c r="D216" s="70"/>
      <c r="E216" s="24" t="str">
        <f>IF(D216&lt;&gt;"",VLOOKUP(D216,ProgrammeCode,2,FALSE),"")</f>
        <v/>
      </c>
      <c r="F216" s="73"/>
      <c r="G216" s="84" t="s">
        <v>566</v>
      </c>
      <c r="H216" s="70"/>
      <c r="I216" s="90"/>
      <c r="J216" s="320" t="s">
        <v>704</v>
      </c>
      <c r="N216" s="346" t="str">
        <f>IF(AND(H216&lt;&gt;"",H216&lt;&gt;"New"),"E","")</f>
        <v/>
      </c>
      <c r="O216" s="64"/>
      <c r="P216" s="64"/>
    </row>
    <row r="217" spans="1:16" hidden="1" outlineLevel="1" x14ac:dyDescent="0.2">
      <c r="A217" s="64"/>
      <c r="B217" s="64"/>
      <c r="C217" s="90"/>
      <c r="D217" s="90"/>
      <c r="E217" s="90"/>
      <c r="F217" s="90"/>
      <c r="G217" s="87" t="s">
        <v>685</v>
      </c>
      <c r="H217" s="13"/>
      <c r="I217" s="90"/>
      <c r="J217" s="368"/>
      <c r="L217" s="422"/>
      <c r="M217" s="346">
        <f>IF(J217&lt;&gt;"",VLOOKUP(J217,AuthorityCode,2,FALSE),0)</f>
        <v>0</v>
      </c>
      <c r="O217" s="64"/>
      <c r="P217" s="64"/>
    </row>
    <row r="218" spans="1:16" hidden="1" outlineLevel="1" x14ac:dyDescent="0.2">
      <c r="A218" s="64"/>
      <c r="B218" s="64"/>
      <c r="C218" s="226" t="s">
        <v>56</v>
      </c>
      <c r="D218" s="192"/>
      <c r="E218" s="10"/>
      <c r="F218" s="92"/>
      <c r="G218" s="87" t="str">
        <f>VLOOKUP(B216,MaxQ,2,TRUE)</f>
        <v>Max quantity (units)</v>
      </c>
      <c r="H218" s="13"/>
      <c r="I218" s="90"/>
      <c r="J218" s="368"/>
      <c r="O218" s="64"/>
      <c r="P218" s="64"/>
    </row>
    <row r="219" spans="1:16" hidden="1" outlineLevel="1" x14ac:dyDescent="0.2">
      <c r="A219" s="64"/>
      <c r="B219" s="64"/>
      <c r="C219" s="90"/>
      <c r="D219" s="90"/>
      <c r="E219" s="12"/>
      <c r="F219" s="90"/>
      <c r="G219" s="87" t="s">
        <v>567</v>
      </c>
      <c r="H219" s="13"/>
      <c r="I219" s="90"/>
      <c r="O219" s="64"/>
      <c r="P219" s="64"/>
    </row>
    <row r="220" spans="1:16" hidden="1" outlineLevel="1" x14ac:dyDescent="0.2">
      <c r="A220" s="64"/>
      <c r="B220" s="64"/>
      <c r="C220" s="544" t="s">
        <v>568</v>
      </c>
      <c r="D220" s="546"/>
      <c r="E220" s="12"/>
      <c r="F220" s="90"/>
      <c r="G220" s="91"/>
      <c r="H220" s="91"/>
      <c r="I220" s="90"/>
      <c r="O220" s="91"/>
      <c r="P220" s="64"/>
    </row>
    <row r="221" spans="1:16" hidden="1" outlineLevel="1" x14ac:dyDescent="0.2">
      <c r="A221" s="64"/>
      <c r="B221" s="64"/>
      <c r="C221" s="544" t="s">
        <v>569</v>
      </c>
      <c r="D221" s="546"/>
      <c r="E221" s="12"/>
      <c r="F221" s="91"/>
      <c r="G221" s="91"/>
      <c r="H221" s="91"/>
      <c r="I221" s="90"/>
      <c r="O221" s="64"/>
      <c r="P221" s="64"/>
    </row>
    <row r="222" spans="1:16" hidden="1" outlineLevel="1" x14ac:dyDescent="0.2">
      <c r="A222" s="64"/>
      <c r="B222" s="64"/>
      <c r="C222" s="544" t="s">
        <v>570</v>
      </c>
      <c r="D222" s="546"/>
      <c r="E222" s="12"/>
      <c r="F222" s="91"/>
      <c r="G222" s="91"/>
      <c r="H222" s="91"/>
      <c r="I222" s="91"/>
      <c r="O222" s="64"/>
      <c r="P222" s="64"/>
    </row>
    <row r="223" spans="1:16" hidden="1" outlineLevel="1" x14ac:dyDescent="0.2">
      <c r="A223" s="64"/>
      <c r="B223" s="64"/>
      <c r="C223" s="544" t="s">
        <v>883</v>
      </c>
      <c r="D223" s="546"/>
      <c r="E223" s="25" t="str">
        <f>IF(E220 &lt;&gt;"",E220 &amp; " ","") &amp; IF(E221&lt;&gt;"",E221 &amp; " ","") &amp; IF(E222&lt;&gt; "",E222,"")</f>
        <v/>
      </c>
      <c r="F223" s="91"/>
      <c r="G223" s="91"/>
      <c r="H223" s="91"/>
      <c r="I223" s="91"/>
      <c r="J223" s="91"/>
      <c r="K223" s="91"/>
      <c r="L223" s="90"/>
      <c r="M223" s="90"/>
      <c r="N223" s="64"/>
      <c r="O223" s="64"/>
      <c r="P223" s="64"/>
    </row>
    <row r="224" spans="1:16" hidden="1" outlineLevel="1" x14ac:dyDescent="0.2">
      <c r="A224" s="64"/>
      <c r="B224" s="64"/>
      <c r="C224" s="544" t="s">
        <v>571</v>
      </c>
      <c r="D224" s="546"/>
      <c r="E224" s="12"/>
      <c r="F224" s="91"/>
      <c r="G224" s="91"/>
      <c r="H224" s="91"/>
      <c r="I224" s="91"/>
      <c r="J224" s="91"/>
      <c r="K224" s="91"/>
      <c r="L224" s="90"/>
      <c r="M224" s="90"/>
      <c r="N224" s="64"/>
      <c r="O224" s="64"/>
      <c r="P224" s="64"/>
    </row>
    <row r="225" spans="1:16" hidden="1" outlineLevel="1" x14ac:dyDescent="0.2">
      <c r="A225" s="64"/>
      <c r="B225" s="64"/>
      <c r="C225" s="544" t="s">
        <v>572</v>
      </c>
      <c r="D225" s="546"/>
      <c r="E225" s="12"/>
      <c r="F225" s="91"/>
      <c r="G225" s="91"/>
      <c r="H225" s="91"/>
      <c r="I225" s="91"/>
      <c r="J225" s="91"/>
      <c r="K225" s="91"/>
      <c r="L225" s="90"/>
      <c r="M225" s="90"/>
      <c r="N225" s="64"/>
      <c r="O225" s="64"/>
      <c r="P225" s="64"/>
    </row>
    <row r="226" spans="1:16" hidden="1" outlineLevel="1" x14ac:dyDescent="0.2">
      <c r="A226" s="64"/>
      <c r="B226" s="64"/>
      <c r="C226" s="544" t="s">
        <v>573</v>
      </c>
      <c r="D226" s="546"/>
      <c r="E226" s="12"/>
      <c r="F226" s="91"/>
      <c r="G226" s="91"/>
      <c r="H226" s="91"/>
      <c r="I226" s="91"/>
      <c r="J226" s="91"/>
      <c r="K226" s="91"/>
      <c r="L226" s="90"/>
      <c r="M226" s="90"/>
      <c r="N226" s="64"/>
      <c r="O226" s="64"/>
      <c r="P226" s="64"/>
    </row>
    <row r="227" spans="1:16" hidden="1" outlineLevel="1" x14ac:dyDescent="0.2">
      <c r="A227" s="64"/>
      <c r="B227" s="64"/>
      <c r="C227" s="544" t="s">
        <v>574</v>
      </c>
      <c r="D227" s="546"/>
      <c r="E227" s="12"/>
      <c r="F227" s="91"/>
      <c r="G227" s="91"/>
      <c r="H227" s="91"/>
      <c r="I227" s="91"/>
      <c r="J227" s="91"/>
      <c r="K227" s="91"/>
      <c r="L227" s="90"/>
      <c r="M227" s="90"/>
      <c r="N227" s="64"/>
      <c r="O227" s="64"/>
      <c r="P227" s="64"/>
    </row>
    <row r="228" spans="1:16" hidden="1" outlineLevel="1" x14ac:dyDescent="0.2">
      <c r="A228" s="64"/>
      <c r="B228" s="64"/>
      <c r="C228" s="64"/>
      <c r="D228" s="64"/>
      <c r="E228" s="64"/>
      <c r="F228" s="91"/>
      <c r="G228" s="91"/>
      <c r="H228" s="91"/>
      <c r="I228" s="91"/>
      <c r="J228" s="91"/>
      <c r="K228" s="91"/>
      <c r="L228" s="90"/>
      <c r="M228" s="90"/>
      <c r="N228" s="64"/>
      <c r="O228" s="64"/>
      <c r="P228" s="64"/>
    </row>
    <row r="229" spans="1:16" hidden="1" outlineLevel="1" x14ac:dyDescent="0.2">
      <c r="A229" s="64"/>
      <c r="B229" s="64"/>
      <c r="C229" s="90"/>
      <c r="D229" s="90"/>
      <c r="E229" s="90"/>
      <c r="F229" s="85"/>
      <c r="G229" s="90"/>
      <c r="H229" s="90"/>
      <c r="I229" s="90"/>
      <c r="J229" s="90"/>
      <c r="K229" s="90"/>
      <c r="L229" s="90"/>
      <c r="M229" s="90"/>
      <c r="N229" s="64"/>
      <c r="O229" s="64"/>
      <c r="P229" s="64"/>
    </row>
    <row r="230" spans="1:16" ht="15.75" collapsed="1" x14ac:dyDescent="0.2">
      <c r="A230" s="64"/>
      <c r="B230" s="408">
        <v>12</v>
      </c>
      <c r="C230" s="547" t="str">
        <f xml:space="preserve"> IF(B230&lt;=$H$62,"Restriction " &amp; B230 &amp; " of " &amp; $H$62,MsgNotUsed)</f>
        <v>** NOT USED **</v>
      </c>
      <c r="D230" s="548"/>
      <c r="E230" s="549"/>
      <c r="F230" s="85"/>
      <c r="G230" s="90"/>
      <c r="H230" s="90"/>
      <c r="I230" s="90"/>
      <c r="J230" s="91"/>
      <c r="K230" s="91"/>
      <c r="L230" s="90"/>
      <c r="M230" s="90"/>
      <c r="N230" s="64"/>
      <c r="O230" s="64"/>
      <c r="P230" s="64"/>
    </row>
    <row r="231" spans="1:16" hidden="1" outlineLevel="1" x14ac:dyDescent="0.2">
      <c r="A231" s="64"/>
      <c r="B231" s="346">
        <f>IFERROR(VLOOKUP(D231,ProgrammeCode,3,FALSE),0)</f>
        <v>0</v>
      </c>
      <c r="C231" s="225" t="s">
        <v>565</v>
      </c>
      <c r="D231" s="70"/>
      <c r="E231" s="24" t="str">
        <f>IF(D231&lt;&gt;"",VLOOKUP(D231,ProgrammeCode,2,FALSE),"")</f>
        <v/>
      </c>
      <c r="F231" s="73"/>
      <c r="G231" s="84" t="s">
        <v>566</v>
      </c>
      <c r="H231" s="70"/>
      <c r="I231" s="90"/>
      <c r="J231" s="320" t="s">
        <v>704</v>
      </c>
      <c r="N231" s="346" t="str">
        <f>IF(AND(H231&lt;&gt;"",H231&lt;&gt;"New"),"E","")</f>
        <v/>
      </c>
      <c r="O231" s="64"/>
      <c r="P231" s="64"/>
    </row>
    <row r="232" spans="1:16" hidden="1" outlineLevel="1" x14ac:dyDescent="0.2">
      <c r="A232" s="64"/>
      <c r="B232" s="64"/>
      <c r="C232" s="90"/>
      <c r="D232" s="90"/>
      <c r="E232" s="90"/>
      <c r="F232" s="90"/>
      <c r="G232" s="87" t="s">
        <v>685</v>
      </c>
      <c r="H232" s="13"/>
      <c r="I232" s="90"/>
      <c r="J232" s="368"/>
      <c r="L232" s="422"/>
      <c r="M232" s="346">
        <f>IF(J232&lt;&gt;"",VLOOKUP(J232,AuthorityCode,2,FALSE),0)</f>
        <v>0</v>
      </c>
      <c r="O232" s="64"/>
      <c r="P232" s="64"/>
    </row>
    <row r="233" spans="1:16" hidden="1" outlineLevel="1" x14ac:dyDescent="0.2">
      <c r="A233" s="64"/>
      <c r="B233" s="64"/>
      <c r="C233" s="226" t="s">
        <v>56</v>
      </c>
      <c r="D233" s="192"/>
      <c r="E233" s="10"/>
      <c r="F233" s="92"/>
      <c r="G233" s="87" t="str">
        <f>VLOOKUP(B231,MaxQ,2,TRUE)</f>
        <v>Max quantity (units)</v>
      </c>
      <c r="H233" s="13"/>
      <c r="I233" s="90"/>
      <c r="J233" s="368"/>
      <c r="O233" s="64"/>
      <c r="P233" s="64"/>
    </row>
    <row r="234" spans="1:16" hidden="1" outlineLevel="1" x14ac:dyDescent="0.2">
      <c r="A234" s="64"/>
      <c r="B234" s="64"/>
      <c r="C234" s="90"/>
      <c r="D234" s="90"/>
      <c r="E234" s="12"/>
      <c r="F234" s="90"/>
      <c r="G234" s="87" t="s">
        <v>567</v>
      </c>
      <c r="H234" s="13"/>
      <c r="I234" s="90"/>
      <c r="O234" s="64"/>
      <c r="P234" s="64"/>
    </row>
    <row r="235" spans="1:16" hidden="1" outlineLevel="1" x14ac:dyDescent="0.2">
      <c r="A235" s="64"/>
      <c r="B235" s="64"/>
      <c r="C235" s="544" t="s">
        <v>568</v>
      </c>
      <c r="D235" s="546"/>
      <c r="E235" s="12"/>
      <c r="F235" s="90"/>
      <c r="G235" s="91"/>
      <c r="H235" s="91"/>
      <c r="I235" s="90"/>
      <c r="O235" s="91"/>
      <c r="P235" s="64"/>
    </row>
    <row r="236" spans="1:16" hidden="1" outlineLevel="1" x14ac:dyDescent="0.2">
      <c r="A236" s="64"/>
      <c r="B236" s="64"/>
      <c r="C236" s="544" t="s">
        <v>569</v>
      </c>
      <c r="D236" s="546"/>
      <c r="E236" s="12"/>
      <c r="F236" s="91"/>
      <c r="G236" s="91"/>
      <c r="H236" s="91"/>
      <c r="I236" s="90"/>
      <c r="O236" s="64"/>
      <c r="P236" s="64"/>
    </row>
    <row r="237" spans="1:16" hidden="1" outlineLevel="1" x14ac:dyDescent="0.2">
      <c r="A237" s="64"/>
      <c r="B237" s="64"/>
      <c r="C237" s="544" t="s">
        <v>570</v>
      </c>
      <c r="D237" s="546"/>
      <c r="E237" s="12"/>
      <c r="F237" s="91"/>
      <c r="G237" s="91"/>
      <c r="H237" s="91"/>
      <c r="I237" s="91"/>
      <c r="O237" s="64"/>
      <c r="P237" s="64"/>
    </row>
    <row r="238" spans="1:16" hidden="1" outlineLevel="1" x14ac:dyDescent="0.2">
      <c r="A238" s="64"/>
      <c r="B238" s="64"/>
      <c r="C238" s="544" t="s">
        <v>883</v>
      </c>
      <c r="D238" s="546"/>
      <c r="E238" s="25" t="str">
        <f>IF(E235 &lt;&gt;"",E235 &amp; " ","") &amp; IF(E236&lt;&gt;"",E236 &amp; " ","") &amp; IF(E237&lt;&gt; "",E237,"")</f>
        <v/>
      </c>
      <c r="F238" s="91"/>
      <c r="G238" s="91"/>
      <c r="H238" s="91"/>
      <c r="I238" s="91"/>
      <c r="J238" s="91"/>
      <c r="K238" s="91"/>
      <c r="L238" s="90"/>
      <c r="M238" s="90"/>
      <c r="N238" s="64"/>
      <c r="O238" s="64"/>
      <c r="P238" s="64"/>
    </row>
    <row r="239" spans="1:16" hidden="1" outlineLevel="1" x14ac:dyDescent="0.2">
      <c r="A239" s="64"/>
      <c r="B239" s="64"/>
      <c r="C239" s="544" t="s">
        <v>571</v>
      </c>
      <c r="D239" s="546"/>
      <c r="E239" s="12"/>
      <c r="F239" s="91"/>
      <c r="G239" s="91"/>
      <c r="H239" s="91"/>
      <c r="I239" s="91"/>
      <c r="J239" s="91"/>
      <c r="K239" s="91"/>
      <c r="L239" s="90"/>
      <c r="M239" s="90"/>
      <c r="N239" s="64"/>
      <c r="O239" s="64"/>
      <c r="P239" s="64"/>
    </row>
    <row r="240" spans="1:16" hidden="1" outlineLevel="1" x14ac:dyDescent="0.2">
      <c r="A240" s="64"/>
      <c r="B240" s="64"/>
      <c r="C240" s="544" t="s">
        <v>572</v>
      </c>
      <c r="D240" s="546"/>
      <c r="E240" s="12"/>
      <c r="F240" s="91"/>
      <c r="G240" s="91"/>
      <c r="H240" s="91"/>
      <c r="I240" s="91"/>
      <c r="J240" s="91"/>
      <c r="K240" s="91"/>
      <c r="L240" s="90"/>
      <c r="M240" s="90"/>
      <c r="N240" s="64"/>
      <c r="O240" s="64"/>
      <c r="P240" s="64"/>
    </row>
    <row r="241" spans="1:16" hidden="1" outlineLevel="1" x14ac:dyDescent="0.2">
      <c r="A241" s="64"/>
      <c r="B241" s="64"/>
      <c r="C241" s="544" t="s">
        <v>573</v>
      </c>
      <c r="D241" s="546"/>
      <c r="E241" s="12"/>
      <c r="F241" s="91"/>
      <c r="G241" s="91"/>
      <c r="H241" s="91"/>
      <c r="I241" s="91"/>
      <c r="J241" s="91"/>
      <c r="K241" s="91"/>
      <c r="L241" s="90"/>
      <c r="M241" s="90"/>
      <c r="N241" s="64"/>
      <c r="O241" s="64"/>
      <c r="P241" s="64"/>
    </row>
    <row r="242" spans="1:16" hidden="1" outlineLevel="1" x14ac:dyDescent="0.2">
      <c r="A242" s="64"/>
      <c r="B242" s="64"/>
      <c r="C242" s="544" t="s">
        <v>574</v>
      </c>
      <c r="D242" s="546"/>
      <c r="E242" s="12"/>
      <c r="F242" s="91"/>
      <c r="G242" s="91"/>
      <c r="H242" s="91"/>
      <c r="I242" s="91"/>
      <c r="J242" s="91"/>
      <c r="K242" s="91"/>
      <c r="L242" s="90"/>
      <c r="M242" s="90"/>
      <c r="N242" s="64"/>
      <c r="O242" s="64"/>
      <c r="P242" s="64"/>
    </row>
    <row r="243" spans="1:16" hidden="1" outlineLevel="1" x14ac:dyDescent="0.2">
      <c r="A243" s="64"/>
      <c r="B243" s="64"/>
      <c r="C243" s="64"/>
      <c r="D243" s="64"/>
      <c r="E243" s="64"/>
      <c r="F243" s="91"/>
      <c r="G243" s="91"/>
      <c r="H243" s="91"/>
      <c r="I243" s="91"/>
      <c r="J243" s="91"/>
      <c r="K243" s="91"/>
      <c r="L243" s="90"/>
      <c r="M243" s="90"/>
      <c r="N243" s="64"/>
      <c r="O243" s="64"/>
      <c r="P243" s="64"/>
    </row>
    <row r="244" spans="1:16" hidden="1" outlineLevel="1" x14ac:dyDescent="0.2">
      <c r="A244" s="64"/>
      <c r="B244" s="64"/>
      <c r="C244" s="90"/>
      <c r="D244" s="90"/>
      <c r="E244" s="90"/>
      <c r="F244" s="85"/>
      <c r="G244" s="90"/>
      <c r="H244" s="90"/>
      <c r="I244" s="90"/>
      <c r="J244" s="90"/>
      <c r="K244" s="90"/>
      <c r="L244" s="90"/>
      <c r="M244" s="90"/>
      <c r="N244" s="64"/>
      <c r="O244" s="64"/>
      <c r="P244" s="64"/>
    </row>
    <row r="245" spans="1:16" ht="15.75" collapsed="1" x14ac:dyDescent="0.2">
      <c r="A245" s="64"/>
      <c r="B245" s="408">
        <v>13</v>
      </c>
      <c r="C245" s="547" t="str">
        <f xml:space="preserve"> IF(B245&lt;=$H$62,"Restriction " &amp; B245 &amp; " of " &amp; $H$62,MsgNotUsed)</f>
        <v>** NOT USED **</v>
      </c>
      <c r="D245" s="548"/>
      <c r="E245" s="549"/>
      <c r="F245" s="85"/>
      <c r="G245" s="90"/>
      <c r="H245" s="90"/>
      <c r="I245" s="90"/>
      <c r="J245" s="91"/>
      <c r="K245" s="91"/>
      <c r="L245" s="90"/>
      <c r="M245" s="90"/>
      <c r="N245" s="64"/>
      <c r="O245" s="64"/>
      <c r="P245" s="64"/>
    </row>
    <row r="246" spans="1:16" hidden="1" outlineLevel="1" x14ac:dyDescent="0.2">
      <c r="A246" s="64"/>
      <c r="B246" s="346">
        <f>IFERROR(VLOOKUP(D246,ProgrammeCode,3,FALSE),0)</f>
        <v>0</v>
      </c>
      <c r="C246" s="225" t="s">
        <v>565</v>
      </c>
      <c r="D246" s="70"/>
      <c r="E246" s="24" t="str">
        <f>IF(D246&lt;&gt;"",VLOOKUP(D246,ProgrammeCode,2,FALSE),"")</f>
        <v/>
      </c>
      <c r="F246" s="73"/>
      <c r="G246" s="84" t="s">
        <v>566</v>
      </c>
      <c r="H246" s="70"/>
      <c r="I246" s="90"/>
      <c r="J246" s="320" t="s">
        <v>704</v>
      </c>
      <c r="N246" s="346" t="str">
        <f>IF(AND(H246&lt;&gt;"",H246&lt;&gt;"New"),"E","")</f>
        <v/>
      </c>
      <c r="P246" s="64"/>
    </row>
    <row r="247" spans="1:16" hidden="1" outlineLevel="1" x14ac:dyDescent="0.2">
      <c r="A247" s="64"/>
      <c r="B247" s="64"/>
      <c r="C247" s="90"/>
      <c r="D247" s="90"/>
      <c r="E247" s="90"/>
      <c r="F247" s="90"/>
      <c r="G247" s="87" t="s">
        <v>685</v>
      </c>
      <c r="H247" s="13"/>
      <c r="I247" s="90"/>
      <c r="J247" s="368"/>
      <c r="L247" s="422"/>
      <c r="M247" s="346">
        <f>IF(J247&lt;&gt;"",VLOOKUP(J247,AuthorityCode,2,FALSE),0)</f>
        <v>0</v>
      </c>
      <c r="P247" s="64"/>
    </row>
    <row r="248" spans="1:16" hidden="1" outlineLevel="1" x14ac:dyDescent="0.2">
      <c r="A248" s="64"/>
      <c r="B248" s="64"/>
      <c r="C248" s="226" t="s">
        <v>56</v>
      </c>
      <c r="D248" s="192"/>
      <c r="E248" s="10"/>
      <c r="F248" s="92"/>
      <c r="G248" s="87" t="str">
        <f>VLOOKUP(B246,MaxQ,2,TRUE)</f>
        <v>Max quantity (units)</v>
      </c>
      <c r="H248" s="13"/>
      <c r="I248" s="90"/>
      <c r="J248" s="368"/>
      <c r="P248" s="64"/>
    </row>
    <row r="249" spans="1:16" hidden="1" outlineLevel="1" x14ac:dyDescent="0.2">
      <c r="A249" s="64"/>
      <c r="B249" s="64"/>
      <c r="C249" s="90"/>
      <c r="D249" s="90"/>
      <c r="E249" s="12"/>
      <c r="F249" s="90"/>
      <c r="G249" s="87" t="s">
        <v>567</v>
      </c>
      <c r="H249" s="13"/>
      <c r="I249" s="90"/>
      <c r="P249" s="64"/>
    </row>
    <row r="250" spans="1:16" hidden="1" outlineLevel="1" x14ac:dyDescent="0.2">
      <c r="A250" s="64"/>
      <c r="B250" s="64"/>
      <c r="C250" s="544" t="s">
        <v>568</v>
      </c>
      <c r="D250" s="546"/>
      <c r="E250" s="12"/>
      <c r="F250" s="90"/>
      <c r="G250" s="91"/>
      <c r="H250" s="91"/>
      <c r="I250" s="90"/>
      <c r="P250" s="64"/>
    </row>
    <row r="251" spans="1:16" hidden="1" outlineLevel="1" x14ac:dyDescent="0.2">
      <c r="A251" s="64"/>
      <c r="B251" s="64"/>
      <c r="C251" s="544" t="s">
        <v>569</v>
      </c>
      <c r="D251" s="546"/>
      <c r="E251" s="12"/>
      <c r="F251" s="91"/>
      <c r="G251" s="91"/>
      <c r="H251" s="91"/>
      <c r="I251" s="90"/>
      <c r="P251" s="64"/>
    </row>
    <row r="252" spans="1:16" hidden="1" outlineLevel="1" x14ac:dyDescent="0.2">
      <c r="A252" s="64"/>
      <c r="B252" s="64"/>
      <c r="C252" s="544" t="s">
        <v>570</v>
      </c>
      <c r="D252" s="546"/>
      <c r="E252" s="12"/>
      <c r="F252" s="91"/>
      <c r="G252" s="91"/>
      <c r="H252" s="91"/>
      <c r="I252" s="91"/>
      <c r="P252" s="64"/>
    </row>
    <row r="253" spans="1:16" hidden="1" outlineLevel="1" x14ac:dyDescent="0.2">
      <c r="A253" s="64"/>
      <c r="B253" s="64"/>
      <c r="C253" s="544" t="s">
        <v>883</v>
      </c>
      <c r="D253" s="546"/>
      <c r="E253" s="25" t="str">
        <f>IF(E250 &lt;&gt;"",E250 &amp; " ","") &amp; IF(E251&lt;&gt;"",E251 &amp; " ","") &amp; IF(E252&lt;&gt; "",E252,"")</f>
        <v/>
      </c>
      <c r="F253" s="91"/>
      <c r="G253" s="91"/>
      <c r="H253" s="91"/>
      <c r="I253" s="91"/>
      <c r="J253" s="91"/>
      <c r="K253" s="91"/>
      <c r="L253" s="90"/>
      <c r="M253" s="90"/>
      <c r="N253" s="64"/>
      <c r="O253" s="64"/>
      <c r="P253" s="64"/>
    </row>
    <row r="254" spans="1:16" hidden="1" outlineLevel="1" x14ac:dyDescent="0.2">
      <c r="A254" s="64"/>
      <c r="B254" s="64"/>
      <c r="C254" s="544" t="s">
        <v>571</v>
      </c>
      <c r="D254" s="546"/>
      <c r="E254" s="12"/>
      <c r="F254" s="91"/>
      <c r="G254" s="64"/>
      <c r="H254" s="64"/>
      <c r="I254" s="91"/>
      <c r="J254" s="91"/>
      <c r="K254" s="91"/>
      <c r="L254" s="90"/>
      <c r="M254" s="90"/>
      <c r="N254" s="64"/>
      <c r="O254" s="64"/>
      <c r="P254" s="64"/>
    </row>
    <row r="255" spans="1:16" hidden="1" outlineLevel="1" x14ac:dyDescent="0.2">
      <c r="A255" s="64"/>
      <c r="B255" s="64"/>
      <c r="C255" s="544" t="s">
        <v>572</v>
      </c>
      <c r="D255" s="546"/>
      <c r="E255" s="12"/>
      <c r="F255" s="91"/>
      <c r="G255" s="64"/>
      <c r="H255" s="64"/>
      <c r="I255" s="91"/>
      <c r="J255" s="91"/>
      <c r="K255" s="91"/>
      <c r="L255" s="90"/>
      <c r="M255" s="90"/>
      <c r="N255" s="64"/>
      <c r="O255" s="64"/>
      <c r="P255" s="64"/>
    </row>
    <row r="256" spans="1:16" hidden="1" outlineLevel="1" x14ac:dyDescent="0.2">
      <c r="A256" s="64"/>
      <c r="B256" s="64"/>
      <c r="C256" s="544" t="s">
        <v>573</v>
      </c>
      <c r="D256" s="546"/>
      <c r="E256" s="12"/>
      <c r="F256" s="91"/>
      <c r="G256" s="91"/>
      <c r="H256" s="91"/>
      <c r="I256" s="91"/>
      <c r="J256" s="91"/>
      <c r="K256" s="91"/>
      <c r="L256" s="90"/>
      <c r="M256" s="90"/>
      <c r="N256" s="64"/>
      <c r="O256" s="64"/>
      <c r="P256" s="64"/>
    </row>
    <row r="257" spans="1:16" hidden="1" outlineLevel="1" x14ac:dyDescent="0.2">
      <c r="A257" s="64"/>
      <c r="B257" s="64"/>
      <c r="C257" s="544" t="s">
        <v>574</v>
      </c>
      <c r="D257" s="546"/>
      <c r="E257" s="12"/>
      <c r="F257" s="91"/>
      <c r="G257" s="91"/>
      <c r="H257" s="91"/>
      <c r="I257" s="91"/>
      <c r="J257" s="91"/>
      <c r="K257" s="91"/>
      <c r="L257" s="90"/>
      <c r="M257" s="90"/>
      <c r="N257" s="64"/>
      <c r="O257" s="64"/>
      <c r="P257" s="64"/>
    </row>
    <row r="258" spans="1:16" hidden="1" outlineLevel="1" x14ac:dyDescent="0.2">
      <c r="A258" s="64"/>
      <c r="B258" s="64"/>
      <c r="C258" s="64"/>
      <c r="D258" s="64"/>
      <c r="E258" s="64"/>
      <c r="F258" s="91"/>
      <c r="G258" s="91"/>
      <c r="H258" s="91"/>
      <c r="I258" s="91"/>
      <c r="J258" s="91"/>
      <c r="K258" s="91"/>
      <c r="L258" s="90"/>
      <c r="M258" s="90"/>
      <c r="N258" s="64"/>
      <c r="O258" s="64"/>
      <c r="P258" s="64"/>
    </row>
    <row r="259" spans="1:16" hidden="1" outlineLevel="1" x14ac:dyDescent="0.2">
      <c r="A259" s="64"/>
      <c r="B259" s="64"/>
      <c r="C259" s="91"/>
      <c r="D259" s="91"/>
      <c r="E259" s="91"/>
      <c r="F259" s="85"/>
      <c r="G259" s="90"/>
      <c r="H259" s="90"/>
      <c r="I259" s="90"/>
      <c r="J259" s="90"/>
      <c r="K259" s="90"/>
      <c r="L259" s="90"/>
      <c r="M259" s="90"/>
      <c r="N259" s="64"/>
      <c r="O259" s="64"/>
      <c r="P259" s="64"/>
    </row>
    <row r="260" spans="1:16" ht="15.75" collapsed="1" x14ac:dyDescent="0.2">
      <c r="A260" s="64"/>
      <c r="B260" s="408">
        <v>14</v>
      </c>
      <c r="C260" s="547" t="str">
        <f xml:space="preserve"> IF(B260&lt;=$H$62,"Restriction " &amp; B260 &amp; " of " &amp; $H$62,MsgNotUsed)</f>
        <v>** NOT USED **</v>
      </c>
      <c r="D260" s="548"/>
      <c r="E260" s="549"/>
      <c r="F260" s="85"/>
      <c r="G260" s="90"/>
      <c r="H260" s="90"/>
      <c r="I260" s="90"/>
      <c r="J260" s="91"/>
      <c r="K260" s="91"/>
      <c r="L260" s="90"/>
      <c r="M260" s="90"/>
      <c r="N260" s="64"/>
      <c r="O260" s="64"/>
      <c r="P260" s="64"/>
    </row>
    <row r="261" spans="1:16" hidden="1" outlineLevel="1" x14ac:dyDescent="0.2">
      <c r="A261" s="64"/>
      <c r="B261" s="346">
        <f>IFERROR(VLOOKUP(D261,ProgrammeCode,3,FALSE),0)</f>
        <v>0</v>
      </c>
      <c r="C261" s="225" t="s">
        <v>565</v>
      </c>
      <c r="D261" s="70"/>
      <c r="E261" s="24" t="str">
        <f>IF(D261&lt;&gt;"",VLOOKUP(D261,ProgrammeCode,2,FALSE),"")</f>
        <v/>
      </c>
      <c r="F261" s="73"/>
      <c r="G261" s="84" t="s">
        <v>566</v>
      </c>
      <c r="H261" s="70"/>
      <c r="I261" s="90"/>
      <c r="J261" s="320" t="s">
        <v>704</v>
      </c>
      <c r="N261" s="346" t="str">
        <f>IF(AND(H261&lt;&gt;"",H261&lt;&gt;"New"),"E","")</f>
        <v/>
      </c>
      <c r="O261" s="64"/>
      <c r="P261" s="64"/>
    </row>
    <row r="262" spans="1:16" hidden="1" outlineLevel="1" x14ac:dyDescent="0.2">
      <c r="A262" s="64"/>
      <c r="B262" s="64"/>
      <c r="C262" s="90"/>
      <c r="D262" s="90"/>
      <c r="E262" s="90"/>
      <c r="F262" s="90"/>
      <c r="G262" s="87" t="s">
        <v>685</v>
      </c>
      <c r="H262" s="13"/>
      <c r="I262" s="90"/>
      <c r="J262" s="368"/>
      <c r="L262" s="422"/>
      <c r="M262" s="346">
        <f>IF(J262&lt;&gt;"",VLOOKUP(J262,AuthorityCode,2,FALSE),0)</f>
        <v>0</v>
      </c>
      <c r="O262" s="64"/>
      <c r="P262" s="64"/>
    </row>
    <row r="263" spans="1:16" hidden="1" outlineLevel="1" x14ac:dyDescent="0.2">
      <c r="A263" s="64"/>
      <c r="B263" s="64"/>
      <c r="C263" s="226" t="s">
        <v>56</v>
      </c>
      <c r="D263" s="192"/>
      <c r="E263" s="10"/>
      <c r="F263" s="92"/>
      <c r="G263" s="87" t="str">
        <f>VLOOKUP(B261,MaxQ,2,TRUE)</f>
        <v>Max quantity (units)</v>
      </c>
      <c r="H263" s="13"/>
      <c r="I263" s="90"/>
      <c r="J263" s="368"/>
      <c r="O263" s="64"/>
      <c r="P263" s="64"/>
    </row>
    <row r="264" spans="1:16" hidden="1" outlineLevel="1" x14ac:dyDescent="0.2">
      <c r="A264" s="64"/>
      <c r="B264" s="64"/>
      <c r="C264" s="90"/>
      <c r="D264" s="90"/>
      <c r="E264" s="12"/>
      <c r="F264" s="90"/>
      <c r="G264" s="87" t="s">
        <v>567</v>
      </c>
      <c r="H264" s="13"/>
      <c r="I264" s="90"/>
      <c r="O264" s="64"/>
      <c r="P264" s="64"/>
    </row>
    <row r="265" spans="1:16" hidden="1" outlineLevel="1" x14ac:dyDescent="0.2">
      <c r="A265" s="64"/>
      <c r="B265" s="64"/>
      <c r="C265" s="544" t="s">
        <v>568</v>
      </c>
      <c r="D265" s="546"/>
      <c r="E265" s="12"/>
      <c r="F265" s="90"/>
      <c r="G265" s="91"/>
      <c r="H265" s="91"/>
      <c r="I265" s="90"/>
      <c r="O265" s="91"/>
      <c r="P265" s="64"/>
    </row>
    <row r="266" spans="1:16" hidden="1" outlineLevel="1" x14ac:dyDescent="0.2">
      <c r="A266" s="64"/>
      <c r="B266" s="64"/>
      <c r="C266" s="544" t="s">
        <v>569</v>
      </c>
      <c r="D266" s="546"/>
      <c r="E266" s="12"/>
      <c r="F266" s="91"/>
      <c r="G266" s="91"/>
      <c r="H266" s="91"/>
      <c r="I266" s="90"/>
      <c r="O266" s="64"/>
      <c r="P266" s="64"/>
    </row>
    <row r="267" spans="1:16" hidden="1" outlineLevel="1" x14ac:dyDescent="0.2">
      <c r="A267" s="64"/>
      <c r="B267" s="64"/>
      <c r="C267" s="544" t="s">
        <v>570</v>
      </c>
      <c r="D267" s="546"/>
      <c r="E267" s="12"/>
      <c r="F267" s="91"/>
      <c r="G267" s="91"/>
      <c r="H267" s="91"/>
      <c r="I267" s="91"/>
      <c r="O267" s="64"/>
      <c r="P267" s="64"/>
    </row>
    <row r="268" spans="1:16" hidden="1" outlineLevel="1" x14ac:dyDescent="0.2">
      <c r="A268" s="64"/>
      <c r="B268" s="64"/>
      <c r="C268" s="544" t="s">
        <v>883</v>
      </c>
      <c r="D268" s="546"/>
      <c r="E268" s="25" t="str">
        <f>IF(E265 &lt;&gt;"",E265 &amp; " ","") &amp; IF(E266&lt;&gt;"",E266 &amp; " ","") &amp; IF(E267&lt;&gt; "",E267,"")</f>
        <v/>
      </c>
      <c r="F268" s="91"/>
      <c r="G268" s="91"/>
      <c r="H268" s="91"/>
      <c r="I268" s="91"/>
      <c r="J268" s="91"/>
      <c r="K268" s="91"/>
      <c r="L268" s="90"/>
      <c r="M268" s="90"/>
      <c r="N268" s="64"/>
      <c r="O268" s="64"/>
      <c r="P268" s="64"/>
    </row>
    <row r="269" spans="1:16" hidden="1" outlineLevel="1" x14ac:dyDescent="0.2">
      <c r="A269" s="64"/>
      <c r="B269" s="64"/>
      <c r="C269" s="544" t="s">
        <v>571</v>
      </c>
      <c r="D269" s="546"/>
      <c r="E269" s="12"/>
      <c r="F269" s="91"/>
      <c r="G269" s="91"/>
      <c r="H269" s="91"/>
      <c r="I269" s="91"/>
      <c r="J269" s="91"/>
      <c r="K269" s="91"/>
      <c r="L269" s="90"/>
      <c r="M269" s="90"/>
      <c r="N269" s="64"/>
      <c r="O269" s="64"/>
      <c r="P269" s="64"/>
    </row>
    <row r="270" spans="1:16" hidden="1" outlineLevel="1" x14ac:dyDescent="0.2">
      <c r="A270" s="64"/>
      <c r="B270" s="64"/>
      <c r="C270" s="544" t="s">
        <v>572</v>
      </c>
      <c r="D270" s="546"/>
      <c r="E270" s="12"/>
      <c r="F270" s="91"/>
      <c r="G270" s="91"/>
      <c r="H270" s="91"/>
      <c r="I270" s="91"/>
      <c r="J270" s="91"/>
      <c r="K270" s="91"/>
      <c r="L270" s="90"/>
      <c r="M270" s="90"/>
      <c r="N270" s="64"/>
      <c r="O270" s="64"/>
      <c r="P270" s="64"/>
    </row>
    <row r="271" spans="1:16" hidden="1" outlineLevel="1" x14ac:dyDescent="0.2">
      <c r="A271" s="64"/>
      <c r="B271" s="64"/>
      <c r="C271" s="544" t="s">
        <v>573</v>
      </c>
      <c r="D271" s="546"/>
      <c r="E271" s="12"/>
      <c r="F271" s="91"/>
      <c r="G271" s="91"/>
      <c r="H271" s="91"/>
      <c r="I271" s="91"/>
      <c r="J271" s="91"/>
      <c r="K271" s="91"/>
      <c r="L271" s="90"/>
      <c r="M271" s="90"/>
      <c r="N271" s="64"/>
      <c r="O271" s="64"/>
      <c r="P271" s="64"/>
    </row>
    <row r="272" spans="1:16" hidden="1" outlineLevel="1" x14ac:dyDescent="0.2">
      <c r="A272" s="64"/>
      <c r="B272" s="64"/>
      <c r="C272" s="544" t="s">
        <v>574</v>
      </c>
      <c r="D272" s="546"/>
      <c r="E272" s="12"/>
      <c r="F272" s="91"/>
      <c r="G272" s="91"/>
      <c r="H272" s="91"/>
      <c r="I272" s="91"/>
      <c r="J272" s="91"/>
      <c r="K272" s="91"/>
      <c r="L272" s="90"/>
      <c r="M272" s="90"/>
      <c r="N272" s="64"/>
      <c r="O272" s="64"/>
      <c r="P272" s="64"/>
    </row>
    <row r="273" spans="1:16" hidden="1" outlineLevel="1" x14ac:dyDescent="0.2">
      <c r="A273" s="64"/>
      <c r="B273" s="64"/>
      <c r="C273" s="441"/>
      <c r="D273" s="441"/>
      <c r="E273" s="64"/>
      <c r="F273" s="91"/>
      <c r="G273" s="91"/>
      <c r="H273" s="91"/>
      <c r="I273" s="91"/>
      <c r="J273" s="91"/>
      <c r="K273" s="91"/>
      <c r="L273" s="90"/>
      <c r="M273" s="90"/>
      <c r="N273" s="64"/>
      <c r="O273" s="64"/>
      <c r="P273" s="64"/>
    </row>
    <row r="274" spans="1:16" hidden="1" outlineLevel="1" x14ac:dyDescent="0.2">
      <c r="A274" s="64"/>
      <c r="B274" s="64"/>
      <c r="C274" s="90"/>
      <c r="D274" s="90"/>
      <c r="E274" s="90"/>
      <c r="F274" s="85"/>
      <c r="G274" s="90"/>
      <c r="H274" s="90"/>
      <c r="I274" s="90"/>
      <c r="J274" s="90"/>
      <c r="K274" s="90"/>
      <c r="L274" s="90"/>
      <c r="M274" s="90"/>
      <c r="N274" s="64"/>
      <c r="O274" s="64"/>
      <c r="P274" s="64"/>
    </row>
    <row r="275" spans="1:16" ht="15.75" collapsed="1" x14ac:dyDescent="0.2">
      <c r="A275" s="64"/>
      <c r="B275" s="408">
        <v>15</v>
      </c>
      <c r="C275" s="547" t="str">
        <f xml:space="preserve"> IF(B275&lt;=$H$62,"Restriction " &amp; B275 &amp; " of " &amp; $H$62,MsgNotUsed)</f>
        <v>** NOT USED **</v>
      </c>
      <c r="D275" s="548"/>
      <c r="E275" s="549"/>
      <c r="F275" s="85"/>
      <c r="G275" s="90"/>
      <c r="H275" s="90"/>
      <c r="I275" s="90"/>
      <c r="J275" s="91"/>
      <c r="K275" s="91"/>
      <c r="L275" s="90"/>
      <c r="M275" s="90"/>
      <c r="N275" s="64"/>
      <c r="O275" s="64"/>
      <c r="P275" s="64"/>
    </row>
    <row r="276" spans="1:16" hidden="1" outlineLevel="1" x14ac:dyDescent="0.2">
      <c r="A276" s="64"/>
      <c r="B276" s="346">
        <f>IFERROR(VLOOKUP(D276,ProgrammeCode,3,FALSE),0)</f>
        <v>0</v>
      </c>
      <c r="C276" s="225" t="s">
        <v>565</v>
      </c>
      <c r="D276" s="70"/>
      <c r="E276" s="24" t="str">
        <f>IF(D276&lt;&gt;"",VLOOKUP(D276,ProgrammeCode,2,FALSE),"")</f>
        <v/>
      </c>
      <c r="F276" s="73"/>
      <c r="G276" s="84" t="s">
        <v>566</v>
      </c>
      <c r="H276" s="70"/>
      <c r="I276" s="90"/>
      <c r="J276" s="320" t="s">
        <v>704</v>
      </c>
      <c r="N276" s="346" t="str">
        <f>IF(AND(H276&lt;&gt;"",H276&lt;&gt;"New"),"E","")</f>
        <v/>
      </c>
      <c r="O276" s="64"/>
      <c r="P276" s="64"/>
    </row>
    <row r="277" spans="1:16" hidden="1" outlineLevel="1" x14ac:dyDescent="0.2">
      <c r="A277" s="64"/>
      <c r="B277" s="64"/>
      <c r="C277" s="90"/>
      <c r="D277" s="90"/>
      <c r="E277" s="90"/>
      <c r="F277" s="90"/>
      <c r="G277" s="87" t="s">
        <v>685</v>
      </c>
      <c r="H277" s="13"/>
      <c r="I277" s="90"/>
      <c r="J277" s="368"/>
      <c r="L277" s="422"/>
      <c r="M277" s="346">
        <f>IF(J277&lt;&gt;"",VLOOKUP(J277,AuthorityCode,2,FALSE),0)</f>
        <v>0</v>
      </c>
      <c r="O277" s="64"/>
      <c r="P277" s="64"/>
    </row>
    <row r="278" spans="1:16" hidden="1" outlineLevel="1" x14ac:dyDescent="0.2">
      <c r="A278" s="64"/>
      <c r="B278" s="64"/>
      <c r="C278" s="226" t="s">
        <v>56</v>
      </c>
      <c r="D278" s="192"/>
      <c r="E278" s="10"/>
      <c r="F278" s="92"/>
      <c r="G278" s="87" t="str">
        <f>VLOOKUP(B276,MaxQ,2,TRUE)</f>
        <v>Max quantity (units)</v>
      </c>
      <c r="H278" s="13"/>
      <c r="I278" s="90"/>
      <c r="J278" s="368"/>
      <c r="O278" s="64"/>
      <c r="P278" s="64"/>
    </row>
    <row r="279" spans="1:16" hidden="1" outlineLevel="1" x14ac:dyDescent="0.2">
      <c r="A279" s="64"/>
      <c r="B279" s="64"/>
      <c r="C279" s="90"/>
      <c r="D279" s="90"/>
      <c r="E279" s="12"/>
      <c r="F279" s="90"/>
      <c r="G279" s="87" t="s">
        <v>567</v>
      </c>
      <c r="H279" s="13"/>
      <c r="I279" s="90"/>
      <c r="O279" s="64"/>
      <c r="P279" s="64"/>
    </row>
    <row r="280" spans="1:16" hidden="1" outlineLevel="1" x14ac:dyDescent="0.2">
      <c r="A280" s="64"/>
      <c r="B280" s="64"/>
      <c r="C280" s="544" t="s">
        <v>568</v>
      </c>
      <c r="D280" s="546"/>
      <c r="E280" s="12"/>
      <c r="F280" s="90"/>
      <c r="G280" s="91"/>
      <c r="H280" s="91"/>
      <c r="I280" s="90"/>
      <c r="O280" s="91"/>
      <c r="P280" s="64"/>
    </row>
    <row r="281" spans="1:16" hidden="1" outlineLevel="1" x14ac:dyDescent="0.2">
      <c r="A281" s="64"/>
      <c r="B281" s="64"/>
      <c r="C281" s="544" t="s">
        <v>569</v>
      </c>
      <c r="D281" s="546"/>
      <c r="E281" s="12"/>
      <c r="F281" s="91"/>
      <c r="G281" s="91"/>
      <c r="H281" s="91"/>
      <c r="I281" s="90"/>
      <c r="O281" s="64"/>
      <c r="P281" s="64"/>
    </row>
    <row r="282" spans="1:16" hidden="1" outlineLevel="1" x14ac:dyDescent="0.2">
      <c r="A282" s="64"/>
      <c r="B282" s="64"/>
      <c r="C282" s="544" t="s">
        <v>570</v>
      </c>
      <c r="D282" s="546"/>
      <c r="E282" s="12"/>
      <c r="F282" s="91"/>
      <c r="G282" s="91"/>
      <c r="H282" s="91"/>
      <c r="I282" s="91"/>
      <c r="O282" s="64"/>
      <c r="P282" s="64"/>
    </row>
    <row r="283" spans="1:16" hidden="1" outlineLevel="1" x14ac:dyDescent="0.2">
      <c r="A283" s="64"/>
      <c r="B283" s="64"/>
      <c r="C283" s="544" t="s">
        <v>883</v>
      </c>
      <c r="D283" s="546"/>
      <c r="E283" s="25" t="str">
        <f>IF(E280 &lt;&gt;"",E280 &amp; " ","") &amp; IF(E281&lt;&gt;"",E281 &amp; " ","") &amp; IF(E282&lt;&gt; "",E282,"")</f>
        <v/>
      </c>
      <c r="F283" s="91"/>
      <c r="G283" s="91"/>
      <c r="H283" s="91"/>
      <c r="I283" s="91"/>
      <c r="J283" s="91"/>
      <c r="K283" s="91"/>
      <c r="L283" s="90"/>
      <c r="M283" s="90"/>
      <c r="N283" s="64"/>
      <c r="O283" s="64"/>
      <c r="P283" s="64"/>
    </row>
    <row r="284" spans="1:16" hidden="1" outlineLevel="1" x14ac:dyDescent="0.2">
      <c r="A284" s="64"/>
      <c r="B284" s="64"/>
      <c r="C284" s="544" t="s">
        <v>571</v>
      </c>
      <c r="D284" s="546"/>
      <c r="E284" s="12"/>
      <c r="F284" s="91"/>
      <c r="G284" s="91"/>
      <c r="H284" s="91"/>
      <c r="I284" s="91"/>
      <c r="J284" s="91"/>
      <c r="K284" s="91"/>
      <c r="L284" s="90"/>
      <c r="M284" s="90"/>
      <c r="N284" s="64"/>
      <c r="O284" s="64"/>
      <c r="P284" s="64"/>
    </row>
    <row r="285" spans="1:16" hidden="1" outlineLevel="1" x14ac:dyDescent="0.2">
      <c r="A285" s="64"/>
      <c r="B285" s="64"/>
      <c r="C285" s="544" t="s">
        <v>572</v>
      </c>
      <c r="D285" s="546"/>
      <c r="E285" s="12"/>
      <c r="F285" s="91"/>
      <c r="G285" s="91"/>
      <c r="H285" s="91"/>
      <c r="I285" s="91"/>
      <c r="J285" s="91"/>
      <c r="K285" s="91"/>
      <c r="L285" s="90"/>
      <c r="M285" s="90"/>
      <c r="N285" s="64"/>
      <c r="O285" s="64"/>
      <c r="P285" s="64"/>
    </row>
    <row r="286" spans="1:16" hidden="1" outlineLevel="1" x14ac:dyDescent="0.2">
      <c r="A286" s="64"/>
      <c r="B286" s="64"/>
      <c r="C286" s="544" t="s">
        <v>573</v>
      </c>
      <c r="D286" s="546"/>
      <c r="E286" s="12"/>
      <c r="F286" s="91"/>
      <c r="G286" s="91"/>
      <c r="H286" s="91"/>
      <c r="I286" s="91"/>
      <c r="J286" s="91"/>
      <c r="K286" s="91"/>
      <c r="L286" s="90"/>
      <c r="M286" s="90"/>
      <c r="N286" s="64"/>
      <c r="O286" s="64"/>
      <c r="P286" s="64"/>
    </row>
    <row r="287" spans="1:16" hidden="1" outlineLevel="1" x14ac:dyDescent="0.2">
      <c r="A287" s="64"/>
      <c r="B287" s="64"/>
      <c r="C287" s="544" t="s">
        <v>574</v>
      </c>
      <c r="D287" s="546"/>
      <c r="E287" s="12"/>
      <c r="F287" s="91"/>
      <c r="G287" s="91"/>
      <c r="H287" s="91"/>
      <c r="I287" s="91"/>
      <c r="J287" s="91"/>
      <c r="K287" s="91"/>
      <c r="L287" s="90"/>
      <c r="M287" s="90"/>
      <c r="N287" s="64"/>
      <c r="O287" s="64"/>
      <c r="P287" s="64"/>
    </row>
    <row r="288" spans="1:16" hidden="1" outlineLevel="1" x14ac:dyDescent="0.2">
      <c r="A288" s="64"/>
      <c r="B288" s="64"/>
      <c r="C288" s="64"/>
      <c r="D288" s="64"/>
      <c r="E288" s="64"/>
      <c r="F288" s="91"/>
      <c r="G288" s="91"/>
      <c r="H288" s="91"/>
      <c r="I288" s="91"/>
      <c r="J288" s="91"/>
      <c r="K288" s="91"/>
      <c r="L288" s="90"/>
      <c r="M288" s="90"/>
      <c r="N288" s="64"/>
      <c r="O288" s="64"/>
      <c r="P288" s="64"/>
    </row>
    <row r="289" spans="1:16" hidden="1" outlineLevel="1" x14ac:dyDescent="0.2">
      <c r="A289" s="64"/>
      <c r="B289" s="64"/>
      <c r="C289" s="90"/>
      <c r="D289" s="90"/>
      <c r="E289" s="90"/>
      <c r="F289" s="85"/>
      <c r="G289" s="90"/>
      <c r="H289" s="90"/>
      <c r="I289" s="90"/>
      <c r="J289" s="90"/>
      <c r="K289" s="90"/>
      <c r="L289" s="90"/>
      <c r="M289" s="90"/>
      <c r="N289" s="64"/>
      <c r="O289" s="64"/>
      <c r="P289" s="64"/>
    </row>
    <row r="290" spans="1:16" ht="15.75" collapsed="1" x14ac:dyDescent="0.2">
      <c r="A290" s="64"/>
      <c r="B290" s="408">
        <v>16</v>
      </c>
      <c r="C290" s="547" t="str">
        <f xml:space="preserve"> IF(B290&lt;=$H$62,"Restriction " &amp; B290 &amp; " of " &amp; $H$62,MsgNotUsed)</f>
        <v>** NOT USED **</v>
      </c>
      <c r="D290" s="548"/>
      <c r="E290" s="549"/>
      <c r="F290" s="85"/>
      <c r="G290" s="90"/>
      <c r="H290" s="90"/>
      <c r="I290" s="90"/>
      <c r="J290" s="91"/>
      <c r="K290" s="91"/>
      <c r="L290" s="90"/>
      <c r="M290" s="90"/>
      <c r="N290" s="64"/>
      <c r="O290" s="64"/>
      <c r="P290" s="64"/>
    </row>
    <row r="291" spans="1:16" hidden="1" outlineLevel="1" x14ac:dyDescent="0.2">
      <c r="A291" s="64"/>
      <c r="B291" s="346">
        <f>IFERROR(VLOOKUP(D291,ProgrammeCode,3,FALSE),0)</f>
        <v>0</v>
      </c>
      <c r="C291" s="225" t="s">
        <v>565</v>
      </c>
      <c r="D291" s="70"/>
      <c r="E291" s="24" t="str">
        <f>IF(D291&lt;&gt;"",VLOOKUP(D291,ProgrammeCode,2,FALSE),"")</f>
        <v/>
      </c>
      <c r="F291" s="73"/>
      <c r="G291" s="84" t="s">
        <v>566</v>
      </c>
      <c r="H291" s="70"/>
      <c r="I291" s="90"/>
      <c r="J291" s="320" t="s">
        <v>704</v>
      </c>
      <c r="N291" s="346" t="str">
        <f>IF(AND(H291&lt;&gt;"",H291&lt;&gt;"New"),"E","")</f>
        <v/>
      </c>
      <c r="O291" s="64"/>
      <c r="P291" s="64"/>
    </row>
    <row r="292" spans="1:16" hidden="1" outlineLevel="1" x14ac:dyDescent="0.2">
      <c r="A292" s="64"/>
      <c r="B292" s="64"/>
      <c r="C292" s="90"/>
      <c r="D292" s="90"/>
      <c r="E292" s="90"/>
      <c r="F292" s="90"/>
      <c r="G292" s="87" t="s">
        <v>685</v>
      </c>
      <c r="H292" s="13"/>
      <c r="I292" s="90"/>
      <c r="J292" s="368"/>
      <c r="L292" s="422"/>
      <c r="M292" s="346">
        <f>IF(J292&lt;&gt;"",VLOOKUP(J292,AuthorityCode,2,FALSE),0)</f>
        <v>0</v>
      </c>
      <c r="O292" s="64"/>
      <c r="P292" s="64"/>
    </row>
    <row r="293" spans="1:16" hidden="1" outlineLevel="1" x14ac:dyDescent="0.2">
      <c r="A293" s="64"/>
      <c r="B293" s="64"/>
      <c r="C293" s="226" t="s">
        <v>56</v>
      </c>
      <c r="D293" s="192"/>
      <c r="E293" s="10"/>
      <c r="F293" s="92"/>
      <c r="G293" s="87" t="str">
        <f>VLOOKUP(B291,MaxQ,2,TRUE)</f>
        <v>Max quantity (units)</v>
      </c>
      <c r="H293" s="13"/>
      <c r="I293" s="90"/>
      <c r="J293" s="368"/>
      <c r="O293" s="64"/>
      <c r="P293" s="64"/>
    </row>
    <row r="294" spans="1:16" hidden="1" outlineLevel="1" x14ac:dyDescent="0.2">
      <c r="A294" s="64"/>
      <c r="B294" s="64"/>
      <c r="C294" s="90"/>
      <c r="D294" s="90"/>
      <c r="E294" s="12"/>
      <c r="F294" s="90"/>
      <c r="G294" s="87" t="s">
        <v>567</v>
      </c>
      <c r="H294" s="13"/>
      <c r="I294" s="90"/>
      <c r="O294" s="64"/>
      <c r="P294" s="64"/>
    </row>
    <row r="295" spans="1:16" hidden="1" outlineLevel="1" x14ac:dyDescent="0.2">
      <c r="A295" s="64"/>
      <c r="B295" s="64"/>
      <c r="C295" s="544" t="s">
        <v>568</v>
      </c>
      <c r="D295" s="546"/>
      <c r="E295" s="12"/>
      <c r="F295" s="90"/>
      <c r="G295" s="91"/>
      <c r="H295" s="91"/>
      <c r="I295" s="90"/>
      <c r="O295" s="91"/>
      <c r="P295" s="64"/>
    </row>
    <row r="296" spans="1:16" hidden="1" outlineLevel="1" x14ac:dyDescent="0.2">
      <c r="A296" s="64"/>
      <c r="B296" s="64"/>
      <c r="C296" s="544" t="s">
        <v>569</v>
      </c>
      <c r="D296" s="546"/>
      <c r="E296" s="12"/>
      <c r="F296" s="91"/>
      <c r="G296" s="91"/>
      <c r="H296" s="91"/>
      <c r="I296" s="90"/>
      <c r="O296" s="64"/>
      <c r="P296" s="64"/>
    </row>
    <row r="297" spans="1:16" hidden="1" outlineLevel="1" x14ac:dyDescent="0.2">
      <c r="A297" s="64"/>
      <c r="B297" s="64"/>
      <c r="C297" s="544" t="s">
        <v>570</v>
      </c>
      <c r="D297" s="546"/>
      <c r="E297" s="12"/>
      <c r="F297" s="91"/>
      <c r="G297" s="91"/>
      <c r="H297" s="91"/>
      <c r="I297" s="91"/>
      <c r="O297" s="64"/>
      <c r="P297" s="64"/>
    </row>
    <row r="298" spans="1:16" hidden="1" outlineLevel="1" x14ac:dyDescent="0.2">
      <c r="A298" s="64"/>
      <c r="B298" s="64"/>
      <c r="C298" s="544" t="s">
        <v>883</v>
      </c>
      <c r="D298" s="546"/>
      <c r="E298" s="25" t="str">
        <f>IF(E295 &lt;&gt;"",E295 &amp; " ","") &amp; IF(E296&lt;&gt;"",E296 &amp; " ","") &amp; IF(E297&lt;&gt; "",E297,"")</f>
        <v/>
      </c>
      <c r="F298" s="91"/>
      <c r="G298" s="91"/>
      <c r="H298" s="91"/>
      <c r="I298" s="91"/>
      <c r="J298" s="91"/>
      <c r="K298" s="91"/>
      <c r="L298" s="90"/>
      <c r="M298" s="90"/>
      <c r="N298" s="64"/>
      <c r="O298" s="64"/>
      <c r="P298" s="64"/>
    </row>
    <row r="299" spans="1:16" hidden="1" outlineLevel="1" x14ac:dyDescent="0.2">
      <c r="A299" s="64"/>
      <c r="B299" s="64"/>
      <c r="C299" s="544" t="s">
        <v>571</v>
      </c>
      <c r="D299" s="546"/>
      <c r="E299" s="12"/>
      <c r="F299" s="91"/>
      <c r="G299" s="91"/>
      <c r="H299" s="91"/>
      <c r="I299" s="91"/>
      <c r="J299" s="91"/>
      <c r="K299" s="91"/>
      <c r="L299" s="90"/>
      <c r="M299" s="90"/>
      <c r="N299" s="64"/>
      <c r="O299" s="64"/>
      <c r="P299" s="64"/>
    </row>
    <row r="300" spans="1:16" hidden="1" outlineLevel="1" x14ac:dyDescent="0.2">
      <c r="A300" s="64"/>
      <c r="B300" s="64"/>
      <c r="C300" s="544" t="s">
        <v>572</v>
      </c>
      <c r="D300" s="546"/>
      <c r="E300" s="12"/>
      <c r="F300" s="91"/>
      <c r="G300" s="91"/>
      <c r="H300" s="91"/>
      <c r="I300" s="91"/>
      <c r="J300" s="91"/>
      <c r="K300" s="91"/>
      <c r="L300" s="90"/>
      <c r="M300" s="90"/>
      <c r="N300" s="64"/>
      <c r="O300" s="64"/>
      <c r="P300" s="64"/>
    </row>
    <row r="301" spans="1:16" hidden="1" outlineLevel="1" x14ac:dyDescent="0.2">
      <c r="A301" s="64"/>
      <c r="B301" s="64"/>
      <c r="C301" s="544" t="s">
        <v>573</v>
      </c>
      <c r="D301" s="546"/>
      <c r="E301" s="12"/>
      <c r="F301" s="91"/>
      <c r="G301" s="91"/>
      <c r="H301" s="91"/>
      <c r="I301" s="91"/>
      <c r="J301" s="91"/>
      <c r="K301" s="91"/>
      <c r="L301" s="90"/>
      <c r="M301" s="90"/>
      <c r="N301" s="64"/>
      <c r="O301" s="64"/>
      <c r="P301" s="64"/>
    </row>
    <row r="302" spans="1:16" hidden="1" outlineLevel="1" x14ac:dyDescent="0.2">
      <c r="A302" s="64"/>
      <c r="B302" s="64"/>
      <c r="C302" s="544" t="s">
        <v>574</v>
      </c>
      <c r="D302" s="546"/>
      <c r="E302" s="12"/>
      <c r="F302" s="91"/>
      <c r="G302" s="91"/>
      <c r="H302" s="91"/>
      <c r="I302" s="91"/>
      <c r="J302" s="91"/>
      <c r="K302" s="91"/>
      <c r="L302" s="90"/>
      <c r="M302" s="90"/>
      <c r="N302" s="64"/>
      <c r="O302" s="64"/>
      <c r="P302" s="64"/>
    </row>
    <row r="303" spans="1:16" hidden="1" outlineLevel="1" x14ac:dyDescent="0.2">
      <c r="A303" s="64"/>
      <c r="B303" s="64"/>
      <c r="C303" s="64"/>
      <c r="D303" s="64"/>
      <c r="E303" s="64"/>
      <c r="F303" s="91"/>
      <c r="G303" s="91"/>
      <c r="H303" s="91"/>
      <c r="I303" s="91"/>
      <c r="J303" s="91"/>
      <c r="K303" s="91"/>
      <c r="L303" s="90"/>
      <c r="M303" s="90"/>
      <c r="N303" s="64"/>
      <c r="O303" s="64"/>
      <c r="P303" s="64"/>
    </row>
    <row r="304" spans="1:16" hidden="1" outlineLevel="1" x14ac:dyDescent="0.2">
      <c r="A304" s="64"/>
      <c r="B304" s="64"/>
      <c r="C304" s="90"/>
      <c r="D304" s="90"/>
      <c r="E304" s="90"/>
      <c r="F304" s="85"/>
      <c r="G304" s="90"/>
      <c r="H304" s="90"/>
      <c r="I304" s="90"/>
      <c r="J304" s="90"/>
      <c r="K304" s="90"/>
      <c r="L304" s="90"/>
      <c r="M304" s="90"/>
      <c r="N304" s="64"/>
      <c r="O304" s="64"/>
      <c r="P304" s="64"/>
    </row>
    <row r="305" spans="1:16" ht="15.75" collapsed="1" x14ac:dyDescent="0.2">
      <c r="A305" s="64"/>
      <c r="B305" s="408">
        <v>17</v>
      </c>
      <c r="C305" s="547" t="str">
        <f xml:space="preserve"> IF(B305&lt;=$H$62,"Restriction " &amp; B305 &amp; " of " &amp; $H$62,MsgNotUsed)</f>
        <v>** NOT USED **</v>
      </c>
      <c r="D305" s="548"/>
      <c r="E305" s="549"/>
      <c r="F305" s="85"/>
      <c r="G305" s="90"/>
      <c r="H305" s="90"/>
      <c r="I305" s="90"/>
      <c r="J305" s="91"/>
      <c r="K305" s="91"/>
      <c r="L305" s="90"/>
      <c r="M305" s="90"/>
      <c r="N305" s="64"/>
      <c r="O305" s="64"/>
      <c r="P305" s="64"/>
    </row>
    <row r="306" spans="1:16" hidden="1" outlineLevel="1" x14ac:dyDescent="0.2">
      <c r="A306" s="64"/>
      <c r="B306" s="346">
        <f>IF(D306&lt;&gt;"",VLOOKUP(D306,ProgrammeCode,3,FALSE),0)</f>
        <v>0</v>
      </c>
      <c r="C306" s="225" t="s">
        <v>565</v>
      </c>
      <c r="D306" s="70"/>
      <c r="E306" s="24" t="str">
        <f>IF(D306&lt;&gt;"",VLOOKUP(D306,ProgrammeCode,2,FALSE),"")</f>
        <v/>
      </c>
      <c r="F306" s="73"/>
      <c r="G306" s="84" t="s">
        <v>566</v>
      </c>
      <c r="H306" s="70"/>
      <c r="I306" s="90"/>
      <c r="J306" s="320" t="s">
        <v>704</v>
      </c>
      <c r="N306" s="346" t="str">
        <f>IF(AND(H306&lt;&gt;"",H306&lt;&gt;"New"),"E","")</f>
        <v/>
      </c>
      <c r="O306" s="64"/>
      <c r="P306" s="64"/>
    </row>
    <row r="307" spans="1:16" hidden="1" outlineLevel="1" x14ac:dyDescent="0.2">
      <c r="A307" s="64"/>
      <c r="B307" s="64"/>
      <c r="C307" s="90"/>
      <c r="D307" s="90"/>
      <c r="E307" s="90"/>
      <c r="F307" s="90"/>
      <c r="G307" s="87" t="s">
        <v>685</v>
      </c>
      <c r="H307" s="13"/>
      <c r="I307" s="90"/>
      <c r="J307" s="368"/>
      <c r="L307" s="422"/>
      <c r="M307" s="346">
        <f>IF(J307&lt;&gt;"",VLOOKUP(J307,AuthorityCode,2,FALSE),0)</f>
        <v>0</v>
      </c>
      <c r="O307" s="64"/>
      <c r="P307" s="64"/>
    </row>
    <row r="308" spans="1:16" hidden="1" outlineLevel="1" x14ac:dyDescent="0.2">
      <c r="A308" s="64"/>
      <c r="B308" s="64"/>
      <c r="C308" s="226" t="s">
        <v>56</v>
      </c>
      <c r="D308" s="192"/>
      <c r="E308" s="10"/>
      <c r="F308" s="92"/>
      <c r="G308" s="87" t="str">
        <f>VLOOKUP(B306,MaxQ,2,TRUE)</f>
        <v>Max quantity (units)</v>
      </c>
      <c r="H308" s="13"/>
      <c r="I308" s="90"/>
      <c r="J308" s="368"/>
      <c r="O308" s="64"/>
      <c r="P308" s="64"/>
    </row>
    <row r="309" spans="1:16" hidden="1" outlineLevel="1" x14ac:dyDescent="0.2">
      <c r="A309" s="64"/>
      <c r="B309" s="64"/>
      <c r="C309" s="90"/>
      <c r="D309" s="90"/>
      <c r="E309" s="12"/>
      <c r="F309" s="90"/>
      <c r="G309" s="87" t="s">
        <v>567</v>
      </c>
      <c r="H309" s="13"/>
      <c r="I309" s="90"/>
      <c r="O309" s="64"/>
      <c r="P309" s="64"/>
    </row>
    <row r="310" spans="1:16" hidden="1" outlineLevel="1" x14ac:dyDescent="0.2">
      <c r="A310" s="64"/>
      <c r="B310" s="64"/>
      <c r="C310" s="544" t="s">
        <v>568</v>
      </c>
      <c r="D310" s="546"/>
      <c r="E310" s="12"/>
      <c r="F310" s="90"/>
      <c r="G310" s="91"/>
      <c r="H310" s="91"/>
      <c r="I310" s="90"/>
      <c r="O310" s="91"/>
      <c r="P310" s="64"/>
    </row>
    <row r="311" spans="1:16" hidden="1" outlineLevel="1" x14ac:dyDescent="0.2">
      <c r="A311" s="64"/>
      <c r="B311" s="64"/>
      <c r="C311" s="544" t="s">
        <v>569</v>
      </c>
      <c r="D311" s="546"/>
      <c r="E311" s="12"/>
      <c r="F311" s="91"/>
      <c r="G311" s="91"/>
      <c r="H311" s="91"/>
      <c r="I311" s="90"/>
      <c r="O311" s="64"/>
      <c r="P311" s="64"/>
    </row>
    <row r="312" spans="1:16" hidden="1" outlineLevel="1" x14ac:dyDescent="0.2">
      <c r="A312" s="64"/>
      <c r="B312" s="64"/>
      <c r="C312" s="544" t="s">
        <v>570</v>
      </c>
      <c r="D312" s="546"/>
      <c r="E312" s="12"/>
      <c r="F312" s="91"/>
      <c r="G312" s="91"/>
      <c r="H312" s="91"/>
      <c r="I312" s="91"/>
      <c r="O312" s="64"/>
      <c r="P312" s="64"/>
    </row>
    <row r="313" spans="1:16" hidden="1" outlineLevel="1" x14ac:dyDescent="0.2">
      <c r="A313" s="64"/>
      <c r="B313" s="64"/>
      <c r="C313" s="544" t="s">
        <v>883</v>
      </c>
      <c r="D313" s="546"/>
      <c r="E313" s="25" t="str">
        <f>IF(E310 &lt;&gt;"",E310 &amp; " ","") &amp; IF(E311&lt;&gt;"",E311 &amp; " ","") &amp; IF(E312&lt;&gt; "",E312,"")</f>
        <v/>
      </c>
      <c r="F313" s="91"/>
      <c r="G313" s="91"/>
      <c r="H313" s="91"/>
      <c r="I313" s="91"/>
      <c r="J313" s="91"/>
      <c r="K313" s="91"/>
      <c r="L313" s="90"/>
      <c r="M313" s="90"/>
      <c r="N313" s="64"/>
      <c r="O313" s="64"/>
      <c r="P313" s="64"/>
    </row>
    <row r="314" spans="1:16" hidden="1" outlineLevel="1" x14ac:dyDescent="0.2">
      <c r="A314" s="64"/>
      <c r="B314" s="64"/>
      <c r="C314" s="544" t="s">
        <v>571</v>
      </c>
      <c r="D314" s="546"/>
      <c r="E314" s="12"/>
      <c r="F314" s="91"/>
      <c r="G314" s="91"/>
      <c r="H314" s="91"/>
      <c r="I314" s="91"/>
      <c r="J314" s="91"/>
      <c r="K314" s="91"/>
      <c r="L314" s="90"/>
      <c r="M314" s="90"/>
      <c r="N314" s="64"/>
      <c r="O314" s="64"/>
      <c r="P314" s="64"/>
    </row>
    <row r="315" spans="1:16" hidden="1" outlineLevel="1" x14ac:dyDescent="0.2">
      <c r="A315" s="64"/>
      <c r="B315" s="64"/>
      <c r="C315" s="544" t="s">
        <v>572</v>
      </c>
      <c r="D315" s="546"/>
      <c r="E315" s="12"/>
      <c r="F315" s="91"/>
      <c r="G315" s="91"/>
      <c r="H315" s="91"/>
      <c r="I315" s="91"/>
      <c r="J315" s="91"/>
      <c r="K315" s="91"/>
      <c r="L315" s="90"/>
      <c r="M315" s="90"/>
      <c r="N315" s="64"/>
      <c r="O315" s="64"/>
      <c r="P315" s="64"/>
    </row>
    <row r="316" spans="1:16" hidden="1" outlineLevel="1" x14ac:dyDescent="0.2">
      <c r="A316" s="64"/>
      <c r="B316" s="64"/>
      <c r="C316" s="544" t="s">
        <v>573</v>
      </c>
      <c r="D316" s="546"/>
      <c r="E316" s="12"/>
      <c r="F316" s="91"/>
      <c r="G316" s="91"/>
      <c r="H316" s="91"/>
      <c r="I316" s="91"/>
      <c r="J316" s="91"/>
      <c r="K316" s="91"/>
      <c r="L316" s="90"/>
      <c r="M316" s="90"/>
      <c r="N316" s="64"/>
      <c r="O316" s="64"/>
      <c r="P316" s="64"/>
    </row>
    <row r="317" spans="1:16" hidden="1" outlineLevel="1" x14ac:dyDescent="0.2">
      <c r="A317" s="64"/>
      <c r="B317" s="64"/>
      <c r="C317" s="544" t="s">
        <v>574</v>
      </c>
      <c r="D317" s="546"/>
      <c r="E317" s="12"/>
      <c r="F317" s="91"/>
      <c r="G317" s="91"/>
      <c r="H317" s="91"/>
      <c r="I317" s="91"/>
      <c r="J317" s="91"/>
      <c r="K317" s="91"/>
      <c r="L317" s="90"/>
      <c r="M317" s="90"/>
      <c r="N317" s="64"/>
      <c r="O317" s="64"/>
      <c r="P317" s="64"/>
    </row>
    <row r="318" spans="1:16" hidden="1" outlineLevel="1" x14ac:dyDescent="0.2">
      <c r="A318" s="64"/>
      <c r="B318" s="64"/>
      <c r="C318" s="64"/>
      <c r="D318" s="64"/>
      <c r="E318" s="64"/>
      <c r="F318" s="91"/>
      <c r="G318" s="91"/>
      <c r="H318" s="91"/>
      <c r="I318" s="91"/>
      <c r="J318" s="91"/>
      <c r="K318" s="91"/>
      <c r="L318" s="90"/>
      <c r="M318" s="90"/>
      <c r="N318" s="64"/>
      <c r="O318" s="64"/>
      <c r="P318" s="64"/>
    </row>
    <row r="319" spans="1:16" hidden="1" outlineLevel="1" x14ac:dyDescent="0.2">
      <c r="A319" s="64"/>
      <c r="B319" s="64"/>
      <c r="C319" s="90"/>
      <c r="D319" s="90"/>
      <c r="E319" s="90"/>
      <c r="F319" s="85"/>
      <c r="G319" s="90"/>
      <c r="H319" s="90"/>
      <c r="I319" s="90"/>
      <c r="J319" s="90"/>
      <c r="K319" s="90"/>
      <c r="L319" s="90"/>
      <c r="M319" s="90"/>
      <c r="N319" s="64"/>
      <c r="O319" s="64"/>
      <c r="P319" s="64"/>
    </row>
    <row r="320" spans="1:16" ht="15.75" collapsed="1" x14ac:dyDescent="0.2">
      <c r="A320" s="64"/>
      <c r="B320" s="408">
        <v>18</v>
      </c>
      <c r="C320" s="547" t="str">
        <f xml:space="preserve"> IF(B320&lt;=$H$62,"Restriction " &amp; B320 &amp; " of " &amp; $H$62,MsgNotUsed)</f>
        <v>** NOT USED **</v>
      </c>
      <c r="D320" s="548"/>
      <c r="E320" s="549"/>
      <c r="F320" s="85"/>
      <c r="G320" s="90"/>
      <c r="H320" s="90"/>
      <c r="I320" s="90"/>
      <c r="J320" s="91"/>
      <c r="K320" s="91"/>
      <c r="L320" s="90"/>
      <c r="M320" s="90"/>
      <c r="N320" s="64"/>
      <c r="O320" s="64"/>
      <c r="P320" s="64"/>
    </row>
    <row r="321" spans="1:16" hidden="1" outlineLevel="1" x14ac:dyDescent="0.2">
      <c r="A321" s="64"/>
      <c r="B321" s="346">
        <f>IFERROR(VLOOKUP(D321,ProgrammeCode,3,FALSE),0)</f>
        <v>0</v>
      </c>
      <c r="C321" s="225" t="s">
        <v>565</v>
      </c>
      <c r="D321" s="70"/>
      <c r="E321" s="24" t="str">
        <f>IF(D321&lt;&gt;"",VLOOKUP(D321,ProgrammeCode,2,FALSE),"")</f>
        <v/>
      </c>
      <c r="F321" s="73"/>
      <c r="G321" s="84" t="s">
        <v>566</v>
      </c>
      <c r="H321" s="70"/>
      <c r="I321" s="90"/>
      <c r="J321" s="320" t="s">
        <v>704</v>
      </c>
      <c r="N321" s="346" t="str">
        <f>IF(AND(H321&lt;&gt;"",H321&lt;&gt;"New"),"E","")</f>
        <v/>
      </c>
      <c r="O321" s="64"/>
      <c r="P321" s="64"/>
    </row>
    <row r="322" spans="1:16" hidden="1" outlineLevel="1" x14ac:dyDescent="0.2">
      <c r="A322" s="64"/>
      <c r="B322" s="64"/>
      <c r="C322" s="90"/>
      <c r="D322" s="90"/>
      <c r="E322" s="90"/>
      <c r="F322" s="90"/>
      <c r="G322" s="87" t="s">
        <v>685</v>
      </c>
      <c r="H322" s="13"/>
      <c r="I322" s="90"/>
      <c r="J322" s="368"/>
      <c r="L322" s="422"/>
      <c r="M322" s="346">
        <f>IF(J322&lt;&gt;"",VLOOKUP(J322,AuthorityCode,2,FALSE),0)</f>
        <v>0</v>
      </c>
      <c r="O322" s="64"/>
      <c r="P322" s="64"/>
    </row>
    <row r="323" spans="1:16" hidden="1" outlineLevel="1" x14ac:dyDescent="0.2">
      <c r="A323" s="64"/>
      <c r="B323" s="64"/>
      <c r="C323" s="226" t="s">
        <v>56</v>
      </c>
      <c r="D323" s="192"/>
      <c r="E323" s="10"/>
      <c r="F323" s="92"/>
      <c r="G323" s="87" t="str">
        <f>VLOOKUP(B321,MaxQ,2,TRUE)</f>
        <v>Max quantity (units)</v>
      </c>
      <c r="H323" s="13"/>
      <c r="I323" s="90"/>
      <c r="J323" s="368"/>
      <c r="O323" s="64"/>
      <c r="P323" s="64"/>
    </row>
    <row r="324" spans="1:16" hidden="1" outlineLevel="1" x14ac:dyDescent="0.2">
      <c r="A324" s="64"/>
      <c r="B324" s="64"/>
      <c r="C324" s="90"/>
      <c r="D324" s="90"/>
      <c r="E324" s="12"/>
      <c r="F324" s="90"/>
      <c r="G324" s="87" t="s">
        <v>567</v>
      </c>
      <c r="H324" s="13"/>
      <c r="I324" s="90"/>
      <c r="O324" s="64"/>
      <c r="P324" s="64"/>
    </row>
    <row r="325" spans="1:16" hidden="1" outlineLevel="1" x14ac:dyDescent="0.2">
      <c r="A325" s="64"/>
      <c r="B325" s="64"/>
      <c r="C325" s="544" t="s">
        <v>568</v>
      </c>
      <c r="D325" s="546"/>
      <c r="E325" s="12"/>
      <c r="F325" s="90"/>
      <c r="G325" s="91"/>
      <c r="H325" s="91"/>
      <c r="I325" s="90"/>
      <c r="O325" s="91"/>
      <c r="P325" s="64"/>
    </row>
    <row r="326" spans="1:16" hidden="1" outlineLevel="1" x14ac:dyDescent="0.2">
      <c r="A326" s="64"/>
      <c r="B326" s="64"/>
      <c r="C326" s="544" t="s">
        <v>569</v>
      </c>
      <c r="D326" s="546"/>
      <c r="E326" s="12"/>
      <c r="F326" s="91"/>
      <c r="G326" s="91"/>
      <c r="H326" s="91"/>
      <c r="I326" s="90"/>
      <c r="O326" s="64"/>
      <c r="P326" s="64"/>
    </row>
    <row r="327" spans="1:16" hidden="1" outlineLevel="1" x14ac:dyDescent="0.2">
      <c r="A327" s="64"/>
      <c r="B327" s="64"/>
      <c r="C327" s="544" t="s">
        <v>570</v>
      </c>
      <c r="D327" s="546"/>
      <c r="E327" s="12"/>
      <c r="F327" s="91"/>
      <c r="G327" s="91"/>
      <c r="H327" s="91"/>
      <c r="I327" s="91"/>
      <c r="O327" s="64"/>
      <c r="P327" s="64"/>
    </row>
    <row r="328" spans="1:16" hidden="1" outlineLevel="1" x14ac:dyDescent="0.2">
      <c r="A328" s="64"/>
      <c r="B328" s="64"/>
      <c r="C328" s="544" t="s">
        <v>883</v>
      </c>
      <c r="D328" s="546"/>
      <c r="E328" s="25" t="str">
        <f>IF(E325 &lt;&gt;"",E325 &amp; " ","") &amp; IF(E326&lt;&gt;"",E326 &amp; " ","") &amp; IF(E327&lt;&gt; "",E327,"")</f>
        <v/>
      </c>
      <c r="F328" s="91"/>
      <c r="G328" s="91"/>
      <c r="H328" s="91"/>
      <c r="I328" s="91"/>
      <c r="J328" s="91"/>
      <c r="K328" s="91"/>
      <c r="L328" s="90"/>
      <c r="M328" s="90"/>
      <c r="N328" s="64"/>
      <c r="O328" s="64"/>
      <c r="P328" s="64"/>
    </row>
    <row r="329" spans="1:16" hidden="1" outlineLevel="1" x14ac:dyDescent="0.2">
      <c r="A329" s="64"/>
      <c r="B329" s="64"/>
      <c r="C329" s="544" t="s">
        <v>571</v>
      </c>
      <c r="D329" s="546"/>
      <c r="E329" s="12"/>
      <c r="F329" s="91"/>
      <c r="G329" s="91"/>
      <c r="H329" s="91"/>
      <c r="I329" s="91"/>
      <c r="J329" s="91"/>
      <c r="K329" s="91"/>
      <c r="L329" s="90"/>
      <c r="M329" s="90"/>
      <c r="N329" s="64"/>
      <c r="O329" s="64"/>
      <c r="P329" s="64"/>
    </row>
    <row r="330" spans="1:16" hidden="1" outlineLevel="1" x14ac:dyDescent="0.2">
      <c r="A330" s="64"/>
      <c r="B330" s="64"/>
      <c r="C330" s="544" t="s">
        <v>572</v>
      </c>
      <c r="D330" s="546"/>
      <c r="E330" s="12"/>
      <c r="F330" s="91"/>
      <c r="G330" s="91"/>
      <c r="H330" s="91"/>
      <c r="I330" s="91"/>
      <c r="J330" s="91"/>
      <c r="K330" s="91"/>
      <c r="L330" s="90"/>
      <c r="M330" s="90"/>
      <c r="N330" s="64"/>
      <c r="O330" s="64"/>
      <c r="P330" s="64"/>
    </row>
    <row r="331" spans="1:16" hidden="1" outlineLevel="1" x14ac:dyDescent="0.2">
      <c r="A331" s="64"/>
      <c r="B331" s="64"/>
      <c r="C331" s="544" t="s">
        <v>573</v>
      </c>
      <c r="D331" s="546"/>
      <c r="E331" s="12"/>
      <c r="F331" s="91"/>
      <c r="G331" s="91"/>
      <c r="H331" s="91"/>
      <c r="I331" s="91"/>
      <c r="J331" s="91"/>
      <c r="K331" s="91"/>
      <c r="L331" s="90"/>
      <c r="M331" s="90"/>
      <c r="N331" s="64"/>
      <c r="O331" s="64"/>
      <c r="P331" s="64"/>
    </row>
    <row r="332" spans="1:16" hidden="1" outlineLevel="1" x14ac:dyDescent="0.2">
      <c r="A332" s="64"/>
      <c r="B332" s="64"/>
      <c r="C332" s="544" t="s">
        <v>574</v>
      </c>
      <c r="D332" s="546"/>
      <c r="E332" s="12"/>
      <c r="F332" s="91"/>
      <c r="G332" s="91"/>
      <c r="H332" s="91"/>
      <c r="I332" s="91"/>
      <c r="J332" s="91"/>
      <c r="K332" s="91"/>
      <c r="L332" s="90"/>
      <c r="M332" s="90"/>
      <c r="N332" s="64"/>
      <c r="O332" s="64"/>
      <c r="P332" s="64"/>
    </row>
    <row r="333" spans="1:16" hidden="1" outlineLevel="1" x14ac:dyDescent="0.2">
      <c r="A333" s="64"/>
      <c r="B333" s="64"/>
      <c r="C333" s="64"/>
      <c r="D333" s="64"/>
      <c r="E333" s="64"/>
      <c r="F333" s="91"/>
      <c r="G333" s="91"/>
      <c r="H333" s="91"/>
      <c r="I333" s="91"/>
      <c r="J333" s="91"/>
      <c r="K333" s="91"/>
      <c r="L333" s="90"/>
      <c r="M333" s="90"/>
      <c r="N333" s="64"/>
      <c r="O333" s="64"/>
      <c r="P333" s="64"/>
    </row>
    <row r="334" spans="1:16" hidden="1" outlineLevel="1" x14ac:dyDescent="0.2">
      <c r="A334" s="64"/>
      <c r="B334" s="64"/>
      <c r="C334" s="90"/>
      <c r="D334" s="90"/>
      <c r="E334" s="90"/>
      <c r="F334" s="85"/>
      <c r="G334" s="90"/>
      <c r="H334" s="90"/>
      <c r="I334" s="90"/>
      <c r="J334" s="90"/>
      <c r="K334" s="90"/>
      <c r="L334" s="90"/>
      <c r="M334" s="90"/>
      <c r="N334" s="64"/>
      <c r="O334" s="64"/>
      <c r="P334" s="64"/>
    </row>
    <row r="335" spans="1:16" ht="15.75" collapsed="1" x14ac:dyDescent="0.2">
      <c r="A335" s="64"/>
      <c r="B335" s="408">
        <v>19</v>
      </c>
      <c r="C335" s="547" t="str">
        <f xml:space="preserve"> IF(B335&lt;=$H$62,"Restriction " &amp; B335 &amp; " of " &amp; $H$62,MsgNotUsed)</f>
        <v>** NOT USED **</v>
      </c>
      <c r="D335" s="548"/>
      <c r="E335" s="549"/>
      <c r="F335" s="85"/>
      <c r="G335" s="90"/>
      <c r="H335" s="90"/>
      <c r="I335" s="90"/>
      <c r="J335" s="91"/>
      <c r="K335" s="91"/>
      <c r="L335" s="90"/>
      <c r="M335" s="90"/>
      <c r="N335" s="64"/>
      <c r="O335" s="64"/>
      <c r="P335" s="64"/>
    </row>
    <row r="336" spans="1:16" hidden="1" outlineLevel="1" x14ac:dyDescent="0.2">
      <c r="A336" s="64"/>
      <c r="B336" s="346">
        <f>IFERROR(VLOOKUP(D336,ProgrammeCode,3,FALSE),0)</f>
        <v>0</v>
      </c>
      <c r="C336" s="225" t="s">
        <v>565</v>
      </c>
      <c r="D336" s="70"/>
      <c r="E336" s="24" t="str">
        <f>IF(D336&lt;&gt;"",VLOOKUP(D336,ProgrammeCode,2,FALSE),"")</f>
        <v/>
      </c>
      <c r="F336" s="73"/>
      <c r="G336" s="84" t="s">
        <v>566</v>
      </c>
      <c r="H336" s="70"/>
      <c r="I336" s="90"/>
      <c r="J336" s="320" t="s">
        <v>704</v>
      </c>
      <c r="N336" s="346" t="str">
        <f>IF(AND(H336&lt;&gt;"",H336&lt;&gt;"New"),"E","")</f>
        <v/>
      </c>
      <c r="O336" s="64"/>
      <c r="P336" s="64"/>
    </row>
    <row r="337" spans="1:16" hidden="1" outlineLevel="1" x14ac:dyDescent="0.2">
      <c r="A337" s="64"/>
      <c r="B337" s="64"/>
      <c r="C337" s="90"/>
      <c r="D337" s="90"/>
      <c r="E337" s="90"/>
      <c r="F337" s="90"/>
      <c r="G337" s="87" t="s">
        <v>685</v>
      </c>
      <c r="H337" s="13"/>
      <c r="I337" s="90"/>
      <c r="J337" s="368"/>
      <c r="L337" s="422"/>
      <c r="M337" s="346">
        <f>IF(J337&lt;&gt;"",VLOOKUP(J337,AuthorityCode,2,FALSE),0)</f>
        <v>0</v>
      </c>
      <c r="O337" s="64"/>
      <c r="P337" s="64"/>
    </row>
    <row r="338" spans="1:16" hidden="1" outlineLevel="1" x14ac:dyDescent="0.2">
      <c r="A338" s="64"/>
      <c r="B338" s="64"/>
      <c r="C338" s="226" t="s">
        <v>56</v>
      </c>
      <c r="D338" s="192"/>
      <c r="E338" s="10"/>
      <c r="F338" s="92"/>
      <c r="G338" s="87" t="str">
        <f>VLOOKUP(B336,MaxQ,2,TRUE)</f>
        <v>Max quantity (units)</v>
      </c>
      <c r="H338" s="13"/>
      <c r="I338" s="90"/>
      <c r="J338" s="368"/>
      <c r="O338" s="64"/>
      <c r="P338" s="64"/>
    </row>
    <row r="339" spans="1:16" hidden="1" outlineLevel="1" x14ac:dyDescent="0.2">
      <c r="A339" s="64"/>
      <c r="B339" s="64"/>
      <c r="C339" s="90"/>
      <c r="D339" s="90"/>
      <c r="E339" s="12"/>
      <c r="F339" s="90"/>
      <c r="G339" s="87" t="s">
        <v>567</v>
      </c>
      <c r="H339" s="13"/>
      <c r="I339" s="90"/>
      <c r="O339" s="64"/>
      <c r="P339" s="64"/>
    </row>
    <row r="340" spans="1:16" hidden="1" outlineLevel="1" x14ac:dyDescent="0.2">
      <c r="A340" s="64"/>
      <c r="B340" s="64"/>
      <c r="C340" s="544" t="s">
        <v>568</v>
      </c>
      <c r="D340" s="546"/>
      <c r="E340" s="12"/>
      <c r="F340" s="90"/>
      <c r="G340" s="91"/>
      <c r="H340" s="91"/>
      <c r="I340" s="90"/>
      <c r="O340" s="91"/>
      <c r="P340" s="64"/>
    </row>
    <row r="341" spans="1:16" hidden="1" outlineLevel="1" x14ac:dyDescent="0.2">
      <c r="A341" s="64"/>
      <c r="B341" s="64"/>
      <c r="C341" s="544" t="s">
        <v>569</v>
      </c>
      <c r="D341" s="546"/>
      <c r="E341" s="12"/>
      <c r="F341" s="91"/>
      <c r="G341" s="91"/>
      <c r="H341" s="91"/>
      <c r="I341" s="90"/>
      <c r="O341" s="64"/>
      <c r="P341" s="64"/>
    </row>
    <row r="342" spans="1:16" hidden="1" outlineLevel="1" x14ac:dyDescent="0.2">
      <c r="A342" s="64"/>
      <c r="B342" s="64"/>
      <c r="C342" s="544" t="s">
        <v>570</v>
      </c>
      <c r="D342" s="546"/>
      <c r="E342" s="12"/>
      <c r="F342" s="91"/>
      <c r="G342" s="91"/>
      <c r="H342" s="91"/>
      <c r="I342" s="91"/>
      <c r="O342" s="64"/>
      <c r="P342" s="64"/>
    </row>
    <row r="343" spans="1:16" hidden="1" outlineLevel="1" x14ac:dyDescent="0.2">
      <c r="A343" s="64"/>
      <c r="B343" s="64"/>
      <c r="C343" s="544" t="s">
        <v>883</v>
      </c>
      <c r="D343" s="546"/>
      <c r="E343" s="25" t="str">
        <f>IF(E340 &lt;&gt;"",E340 &amp; " ","") &amp; IF(E341&lt;&gt;"",E341 &amp; " ","") &amp; IF(E342&lt;&gt; "",E342,"")</f>
        <v/>
      </c>
      <c r="F343" s="91"/>
      <c r="G343" s="91"/>
      <c r="H343" s="91"/>
      <c r="I343" s="91"/>
      <c r="J343" s="91"/>
      <c r="K343" s="91"/>
      <c r="L343" s="90"/>
      <c r="M343" s="90"/>
      <c r="N343" s="64"/>
      <c r="O343" s="64"/>
      <c r="P343" s="64"/>
    </row>
    <row r="344" spans="1:16" hidden="1" outlineLevel="1" x14ac:dyDescent="0.2">
      <c r="A344" s="64"/>
      <c r="B344" s="64"/>
      <c r="C344" s="544" t="s">
        <v>571</v>
      </c>
      <c r="D344" s="546"/>
      <c r="E344" s="12"/>
      <c r="F344" s="91"/>
      <c r="G344" s="91"/>
      <c r="H344" s="91"/>
      <c r="I344" s="91"/>
      <c r="J344" s="91"/>
      <c r="K344" s="91"/>
      <c r="L344" s="90"/>
      <c r="M344" s="90"/>
      <c r="N344" s="64"/>
      <c r="O344" s="64"/>
      <c r="P344" s="64"/>
    </row>
    <row r="345" spans="1:16" hidden="1" outlineLevel="1" x14ac:dyDescent="0.2">
      <c r="A345" s="64"/>
      <c r="B345" s="64"/>
      <c r="C345" s="544" t="s">
        <v>572</v>
      </c>
      <c r="D345" s="546"/>
      <c r="E345" s="12"/>
      <c r="F345" s="91"/>
      <c r="G345" s="91"/>
      <c r="H345" s="91"/>
      <c r="I345" s="91"/>
      <c r="J345" s="91"/>
      <c r="K345" s="91"/>
      <c r="L345" s="90"/>
      <c r="M345" s="90"/>
      <c r="N345" s="64"/>
      <c r="O345" s="64"/>
      <c r="P345" s="64"/>
    </row>
    <row r="346" spans="1:16" hidden="1" outlineLevel="1" x14ac:dyDescent="0.2">
      <c r="A346" s="64"/>
      <c r="B346" s="64"/>
      <c r="C346" s="544" t="s">
        <v>573</v>
      </c>
      <c r="D346" s="546"/>
      <c r="E346" s="12"/>
      <c r="F346" s="91"/>
      <c r="G346" s="91"/>
      <c r="H346" s="91"/>
      <c r="I346" s="91"/>
      <c r="J346" s="91"/>
      <c r="K346" s="91"/>
      <c r="L346" s="90"/>
      <c r="M346" s="90"/>
      <c r="N346" s="64"/>
      <c r="O346" s="64"/>
      <c r="P346" s="64"/>
    </row>
    <row r="347" spans="1:16" hidden="1" outlineLevel="1" x14ac:dyDescent="0.2">
      <c r="A347" s="64"/>
      <c r="B347" s="64"/>
      <c r="C347" s="544" t="s">
        <v>574</v>
      </c>
      <c r="D347" s="546"/>
      <c r="E347" s="12"/>
      <c r="F347" s="91"/>
      <c r="G347" s="91"/>
      <c r="H347" s="91"/>
      <c r="I347" s="91"/>
      <c r="J347" s="91"/>
      <c r="K347" s="91"/>
      <c r="L347" s="90"/>
      <c r="M347" s="90"/>
      <c r="N347" s="64"/>
      <c r="O347" s="64"/>
      <c r="P347" s="64"/>
    </row>
    <row r="348" spans="1:16" hidden="1" outlineLevel="1" x14ac:dyDescent="0.2">
      <c r="A348" s="64"/>
      <c r="B348" s="64"/>
      <c r="C348" s="64"/>
      <c r="D348" s="64"/>
      <c r="E348" s="64"/>
      <c r="F348" s="91"/>
      <c r="G348" s="91"/>
      <c r="H348" s="91"/>
      <c r="I348" s="91"/>
      <c r="J348" s="91"/>
      <c r="K348" s="91"/>
      <c r="L348" s="90"/>
      <c r="M348" s="90"/>
      <c r="N348" s="64"/>
      <c r="O348" s="64"/>
      <c r="P348" s="64"/>
    </row>
    <row r="349" spans="1:16" hidden="1" outlineLevel="1" x14ac:dyDescent="0.2">
      <c r="A349" s="64"/>
      <c r="B349" s="64"/>
      <c r="C349" s="90"/>
      <c r="D349" s="90"/>
      <c r="E349" s="90"/>
      <c r="F349" s="85"/>
      <c r="G349" s="90"/>
      <c r="H349" s="90"/>
      <c r="I349" s="90"/>
      <c r="J349" s="90"/>
      <c r="K349" s="90"/>
      <c r="L349" s="90"/>
      <c r="M349" s="90"/>
      <c r="N349" s="64"/>
      <c r="O349" s="64"/>
      <c r="P349" s="64"/>
    </row>
    <row r="350" spans="1:16" ht="15.75" collapsed="1" x14ac:dyDescent="0.2">
      <c r="A350" s="64"/>
      <c r="B350" s="408">
        <v>20</v>
      </c>
      <c r="C350" s="547" t="str">
        <f xml:space="preserve"> IF(B350&lt;=$H$62,"Restriction " &amp; B350 &amp; " of " &amp; $H$62,MsgNotUsed)</f>
        <v>** NOT USED **</v>
      </c>
      <c r="D350" s="573"/>
      <c r="E350" s="574"/>
      <c r="F350" s="85"/>
      <c r="G350" s="90"/>
      <c r="H350" s="90"/>
      <c r="I350" s="90"/>
      <c r="J350" s="91"/>
      <c r="K350" s="91"/>
      <c r="L350" s="90"/>
      <c r="M350" s="90"/>
      <c r="N350" s="64"/>
      <c r="O350" s="64"/>
      <c r="P350" s="64"/>
    </row>
    <row r="351" spans="1:16" hidden="1" outlineLevel="1" x14ac:dyDescent="0.2">
      <c r="A351" s="64"/>
      <c r="B351" s="346">
        <f>IFERROR(VLOOKUP(D351,ProgrammeCode,3,FALSE),0)</f>
        <v>0</v>
      </c>
      <c r="C351" s="225" t="s">
        <v>565</v>
      </c>
      <c r="D351" s="70"/>
      <c r="E351" s="24" t="str">
        <f>IF(D351&lt;&gt;"",VLOOKUP(D351,ProgrammeCode,2,FALSE),"")</f>
        <v/>
      </c>
      <c r="F351" s="73"/>
      <c r="G351" s="84" t="s">
        <v>566</v>
      </c>
      <c r="H351" s="70"/>
      <c r="I351" s="90"/>
      <c r="J351" s="320" t="s">
        <v>704</v>
      </c>
      <c r="N351" s="346" t="str">
        <f>IF(AND(H351&lt;&gt;"",H351&lt;&gt;"New"),"E","")</f>
        <v/>
      </c>
      <c r="O351" s="64"/>
      <c r="P351" s="64"/>
    </row>
    <row r="352" spans="1:16" hidden="1" outlineLevel="1" x14ac:dyDescent="0.2">
      <c r="A352" s="64"/>
      <c r="B352" s="64"/>
      <c r="C352" s="90"/>
      <c r="D352" s="90"/>
      <c r="E352" s="90"/>
      <c r="F352" s="90"/>
      <c r="G352" s="87" t="s">
        <v>685</v>
      </c>
      <c r="H352" s="13"/>
      <c r="I352" s="90"/>
      <c r="J352" s="368"/>
      <c r="L352" s="422"/>
      <c r="M352" s="346">
        <f>IF(J352&lt;&gt;"",VLOOKUP(J352,AuthorityCode,2,FALSE),0)</f>
        <v>0</v>
      </c>
      <c r="O352" s="64"/>
      <c r="P352" s="64"/>
    </row>
    <row r="353" spans="1:16" hidden="1" outlineLevel="1" x14ac:dyDescent="0.2">
      <c r="A353" s="64"/>
      <c r="B353" s="64"/>
      <c r="C353" s="226" t="s">
        <v>56</v>
      </c>
      <c r="D353" s="192"/>
      <c r="E353" s="10"/>
      <c r="F353" s="92"/>
      <c r="G353" s="87" t="str">
        <f>VLOOKUP(B351,MaxQ,2,TRUE)</f>
        <v>Max quantity (units)</v>
      </c>
      <c r="H353" s="13"/>
      <c r="I353" s="90"/>
      <c r="J353" s="368"/>
      <c r="O353" s="64"/>
      <c r="P353" s="64"/>
    </row>
    <row r="354" spans="1:16" hidden="1" outlineLevel="1" x14ac:dyDescent="0.2">
      <c r="A354" s="64"/>
      <c r="B354" s="64"/>
      <c r="C354" s="90"/>
      <c r="D354" s="90"/>
      <c r="E354" s="12"/>
      <c r="F354" s="90"/>
      <c r="G354" s="87" t="s">
        <v>567</v>
      </c>
      <c r="H354" s="13"/>
      <c r="I354" s="90"/>
      <c r="O354" s="64"/>
      <c r="P354" s="64"/>
    </row>
    <row r="355" spans="1:16" hidden="1" outlineLevel="1" x14ac:dyDescent="0.2">
      <c r="A355" s="64"/>
      <c r="B355" s="64"/>
      <c r="C355" s="544" t="s">
        <v>568</v>
      </c>
      <c r="D355" s="560"/>
      <c r="E355" s="12"/>
      <c r="F355" s="90"/>
      <c r="G355" s="91"/>
      <c r="H355" s="91"/>
      <c r="I355" s="90"/>
      <c r="O355" s="91"/>
      <c r="P355" s="64"/>
    </row>
    <row r="356" spans="1:16" hidden="1" outlineLevel="1" x14ac:dyDescent="0.2">
      <c r="A356" s="64"/>
      <c r="B356" s="64"/>
      <c r="C356" s="544" t="s">
        <v>569</v>
      </c>
      <c r="D356" s="560"/>
      <c r="E356" s="12"/>
      <c r="F356" s="91"/>
      <c r="G356" s="91"/>
      <c r="H356" s="91"/>
      <c r="I356" s="90"/>
      <c r="O356" s="64"/>
      <c r="P356" s="64"/>
    </row>
    <row r="357" spans="1:16" hidden="1" outlineLevel="1" x14ac:dyDescent="0.2">
      <c r="A357" s="64"/>
      <c r="B357" s="64"/>
      <c r="C357" s="544" t="s">
        <v>570</v>
      </c>
      <c r="D357" s="560"/>
      <c r="E357" s="12"/>
      <c r="F357" s="91"/>
      <c r="G357" s="64"/>
      <c r="H357" s="64"/>
      <c r="I357" s="91"/>
      <c r="O357" s="64"/>
      <c r="P357" s="64"/>
    </row>
    <row r="358" spans="1:16" hidden="1" outlineLevel="1" x14ac:dyDescent="0.2">
      <c r="A358" s="64"/>
      <c r="B358" s="64"/>
      <c r="C358" s="544" t="s">
        <v>883</v>
      </c>
      <c r="D358" s="560"/>
      <c r="E358" s="25" t="str">
        <f>IF(E355 &lt;&gt;"",E355 &amp; " ","") &amp; IF(E356&lt;&gt;"",E356 &amp; " ","") &amp; IF(E357&lt;&gt; "",E357,"")</f>
        <v/>
      </c>
      <c r="F358" s="91"/>
      <c r="G358" s="64"/>
      <c r="H358" s="64"/>
      <c r="I358" s="91"/>
      <c r="J358" s="91"/>
      <c r="K358" s="91"/>
      <c r="L358" s="90"/>
      <c r="M358" s="90"/>
      <c r="N358" s="64"/>
      <c r="O358" s="64"/>
      <c r="P358" s="64"/>
    </row>
    <row r="359" spans="1:16" hidden="1" outlineLevel="1" x14ac:dyDescent="0.2">
      <c r="A359" s="64"/>
      <c r="B359" s="64"/>
      <c r="C359" s="544" t="s">
        <v>571</v>
      </c>
      <c r="D359" s="560"/>
      <c r="E359" s="12"/>
      <c r="F359" s="91"/>
      <c r="G359" s="91"/>
      <c r="H359" s="91"/>
      <c r="I359" s="91"/>
      <c r="J359" s="91"/>
      <c r="K359" s="91"/>
      <c r="L359" s="90"/>
      <c r="M359" s="90"/>
      <c r="N359" s="64"/>
      <c r="O359" s="64"/>
      <c r="P359" s="64"/>
    </row>
    <row r="360" spans="1:16" hidden="1" outlineLevel="1" x14ac:dyDescent="0.2">
      <c r="A360" s="64"/>
      <c r="B360" s="64"/>
      <c r="C360" s="544" t="s">
        <v>572</v>
      </c>
      <c r="D360" s="560"/>
      <c r="E360" s="12"/>
      <c r="F360" s="91"/>
      <c r="G360" s="91"/>
      <c r="H360" s="91"/>
      <c r="I360" s="91"/>
      <c r="J360" s="91"/>
      <c r="K360" s="91"/>
      <c r="L360" s="90"/>
      <c r="M360" s="90"/>
      <c r="N360" s="64"/>
      <c r="O360" s="64"/>
      <c r="P360" s="64"/>
    </row>
    <row r="361" spans="1:16" hidden="1" outlineLevel="1" x14ac:dyDescent="0.2">
      <c r="A361" s="64"/>
      <c r="B361" s="64"/>
      <c r="C361" s="544" t="s">
        <v>573</v>
      </c>
      <c r="D361" s="560"/>
      <c r="E361" s="12"/>
      <c r="F361" s="91"/>
      <c r="I361" s="91"/>
      <c r="K361" s="91"/>
      <c r="L361" s="91"/>
      <c r="M361" s="91"/>
      <c r="N361" s="91"/>
      <c r="O361" s="91"/>
      <c r="P361" s="64"/>
    </row>
    <row r="362" spans="1:16" ht="12.75" hidden="1" customHeight="1" outlineLevel="1" x14ac:dyDescent="0.2">
      <c r="A362" s="64"/>
      <c r="B362" s="64"/>
      <c r="C362" s="544" t="s">
        <v>574</v>
      </c>
      <c r="D362" s="560"/>
      <c r="E362" s="12"/>
      <c r="F362" s="91"/>
      <c r="I362" s="91"/>
      <c r="K362" s="91"/>
      <c r="L362" s="91"/>
      <c r="M362" s="91"/>
      <c r="N362" s="91"/>
      <c r="O362" s="91"/>
      <c r="P362" s="64"/>
    </row>
    <row r="363" spans="1:16" collapsed="1" x14ac:dyDescent="0.2">
      <c r="A363" s="64"/>
      <c r="B363" s="64"/>
      <c r="C363" s="64"/>
      <c r="D363" s="64"/>
      <c r="E363" s="64"/>
      <c r="F363" s="91"/>
      <c r="G363" s="91"/>
      <c r="H363" s="91"/>
      <c r="I363" s="91"/>
      <c r="J363" s="91"/>
      <c r="K363" s="91"/>
      <c r="L363" s="90"/>
      <c r="M363" s="90"/>
      <c r="N363" s="64"/>
      <c r="O363" s="64"/>
      <c r="P363" s="64"/>
    </row>
    <row r="364" spans="1:16" x14ac:dyDescent="0.2">
      <c r="A364" s="64"/>
      <c r="B364" s="64"/>
      <c r="C364" s="91"/>
      <c r="D364" s="91"/>
      <c r="E364" s="91"/>
      <c r="F364" s="85"/>
      <c r="G364" s="90"/>
      <c r="H364" s="90"/>
      <c r="I364" s="90"/>
      <c r="J364" s="90"/>
      <c r="K364" s="90"/>
      <c r="L364" s="90"/>
      <c r="M364" s="90"/>
      <c r="N364" s="64"/>
      <c r="O364" s="64"/>
      <c r="P364" s="64"/>
    </row>
    <row r="365" spans="1:16" ht="15.75" x14ac:dyDescent="0.2">
      <c r="A365" s="64"/>
      <c r="B365" s="64"/>
      <c r="C365" s="88" t="s">
        <v>286</v>
      </c>
      <c r="D365" s="95"/>
      <c r="E365" s="95"/>
      <c r="F365" s="95"/>
      <c r="G365" s="95"/>
      <c r="H365" s="95"/>
      <c r="I365" s="95"/>
      <c r="J365" s="95"/>
      <c r="K365" s="95"/>
      <c r="L365" s="95"/>
      <c r="M365" s="95"/>
      <c r="N365" s="95"/>
      <c r="O365" s="95"/>
      <c r="P365" s="95"/>
    </row>
    <row r="366" spans="1:16" x14ac:dyDescent="0.2">
      <c r="A366" s="91"/>
      <c r="B366" s="91"/>
      <c r="C366" s="91"/>
      <c r="D366" s="91"/>
      <c r="E366" s="91"/>
      <c r="F366" s="85"/>
      <c r="G366" s="85"/>
      <c r="H366" s="85"/>
      <c r="I366" s="85"/>
      <c r="J366" s="64"/>
      <c r="K366" s="64"/>
      <c r="L366" s="64"/>
      <c r="M366" s="64"/>
      <c r="N366" s="64"/>
      <c r="O366" s="64"/>
      <c r="P366" s="64"/>
    </row>
    <row r="367" spans="1:16" x14ac:dyDescent="0.2">
      <c r="A367" s="64"/>
      <c r="B367" s="64"/>
      <c r="C367" s="544" t="s">
        <v>575</v>
      </c>
      <c r="D367" s="546"/>
      <c r="E367" s="10"/>
      <c r="F367" s="85"/>
      <c r="G367" s="551" t="str">
        <f>IF(N367=0,MsgNote &amp; VLOOKUP("NoExist",WarningMessages,2,FALSE),"")</f>
        <v>Note: no exiting PBS listings of this medicine</v>
      </c>
      <c r="H367" s="551"/>
      <c r="I367" s="85"/>
      <c r="J367" s="85"/>
      <c r="K367" s="85"/>
      <c r="L367" s="85"/>
      <c r="M367" s="85"/>
      <c r="N367" s="346">
        <f>COUNTIF(N66:N351,"E")</f>
        <v>0</v>
      </c>
      <c r="O367" s="64"/>
      <c r="P367" s="64"/>
    </row>
    <row r="368" spans="1:16" x14ac:dyDescent="0.2">
      <c r="A368" s="64"/>
      <c r="B368" s="64"/>
      <c r="C368" s="91"/>
      <c r="D368" s="91"/>
      <c r="E368" s="91"/>
      <c r="F368" s="85"/>
      <c r="G368" s="85"/>
      <c r="H368" s="85"/>
      <c r="I368" s="85"/>
      <c r="J368" s="85"/>
      <c r="K368" s="85"/>
      <c r="L368" s="85"/>
      <c r="M368" s="85"/>
      <c r="N368" s="64"/>
      <c r="O368" s="64"/>
      <c r="P368" s="64"/>
    </row>
    <row r="369" spans="1:16" x14ac:dyDescent="0.2">
      <c r="A369" s="64"/>
      <c r="B369" s="64"/>
      <c r="C369" s="91"/>
      <c r="D369" s="91"/>
      <c r="E369" s="64"/>
      <c r="F369" s="64"/>
      <c r="G369" s="64"/>
      <c r="H369" s="64"/>
      <c r="I369" s="64"/>
      <c r="J369" s="64"/>
      <c r="K369" s="64"/>
      <c r="L369" s="64"/>
      <c r="M369" s="64"/>
      <c r="N369" s="64"/>
      <c r="O369" s="64"/>
      <c r="P369" s="64"/>
    </row>
    <row r="370" spans="1:16" ht="15.75" x14ac:dyDescent="0.2">
      <c r="A370" s="64"/>
      <c r="B370" s="64"/>
      <c r="C370" s="88" t="s">
        <v>283</v>
      </c>
      <c r="D370" s="95"/>
      <c r="E370" s="95"/>
      <c r="F370" s="95"/>
      <c r="G370" s="95"/>
      <c r="H370" s="95"/>
      <c r="I370" s="95"/>
      <c r="J370" s="95"/>
      <c r="K370" s="95"/>
      <c r="L370" s="95"/>
      <c r="M370" s="95"/>
      <c r="N370" s="95"/>
      <c r="O370" s="95"/>
      <c r="P370" s="95"/>
    </row>
    <row r="371" spans="1:16" x14ac:dyDescent="0.2">
      <c r="A371" s="64"/>
      <c r="B371" s="64"/>
      <c r="C371" s="91"/>
      <c r="D371" s="91"/>
      <c r="E371" s="91"/>
      <c r="F371" s="85"/>
      <c r="G371" s="85"/>
      <c r="H371" s="85"/>
      <c r="I371" s="85"/>
      <c r="J371" s="64"/>
      <c r="K371" s="64"/>
      <c r="L371" s="64"/>
      <c r="M371" s="64"/>
      <c r="N371" s="64"/>
      <c r="O371" s="64"/>
      <c r="P371" s="64"/>
    </row>
    <row r="372" spans="1:16" ht="14.25" customHeight="1" x14ac:dyDescent="0.2">
      <c r="A372" s="64"/>
      <c r="B372" s="64"/>
      <c r="C372" s="91"/>
      <c r="D372" s="91"/>
      <c r="E372" s="91"/>
      <c r="F372" s="85"/>
      <c r="G372" s="551" t="str">
        <f>IF(N372=2,MsgError &amp; VLOOKUP("NoFlow",ErrorMessages,2,FALSE),IF(N372=1,MsgNote &amp; VLOOKUP("NoFlow",WarningMessages,2,FALSE),""))</f>
        <v>Note: no flow-ons to other medicines</v>
      </c>
      <c r="H372" s="551"/>
      <c r="I372" s="85"/>
      <c r="J372" s="64"/>
      <c r="K372" s="64"/>
      <c r="L372" s="64"/>
      <c r="M372" s="64"/>
      <c r="N372" s="346">
        <f>IF(AND(M63=1,B386=0),2,IF(M63=0,1,0))</f>
        <v>1</v>
      </c>
      <c r="O372" s="64"/>
      <c r="P372" s="64"/>
    </row>
    <row r="373" spans="1:16" x14ac:dyDescent="0.2">
      <c r="A373" s="64"/>
      <c r="B373" s="64"/>
      <c r="C373" s="91"/>
      <c r="D373" s="91"/>
      <c r="E373" s="91"/>
      <c r="F373" s="85"/>
      <c r="G373" s="85"/>
      <c r="H373" s="85"/>
      <c r="I373" s="85"/>
      <c r="J373" s="64"/>
      <c r="K373" s="64"/>
      <c r="L373" s="64"/>
      <c r="M373" s="64"/>
      <c r="N373" s="64"/>
      <c r="O373" s="64"/>
      <c r="P373" s="64"/>
    </row>
    <row r="374" spans="1:16" ht="15" x14ac:dyDescent="0.2">
      <c r="A374" s="64"/>
      <c r="B374" s="64"/>
      <c r="C374" s="91"/>
      <c r="D374" s="91"/>
      <c r="E374" s="561" t="s">
        <v>284</v>
      </c>
      <c r="F374" s="562"/>
      <c r="G374" s="562"/>
      <c r="H374" s="562"/>
      <c r="I374" s="562"/>
      <c r="J374" s="562"/>
      <c r="K374" s="563"/>
      <c r="L374" s="64"/>
      <c r="M374" s="64"/>
      <c r="N374" s="64"/>
      <c r="O374" s="64"/>
      <c r="P374" s="64"/>
    </row>
    <row r="375" spans="1:16" x14ac:dyDescent="0.2">
      <c r="A375" s="64"/>
      <c r="B375" s="64"/>
      <c r="C375" s="569" t="s">
        <v>285</v>
      </c>
      <c r="D375" s="570"/>
      <c r="E375" s="86" t="s">
        <v>308</v>
      </c>
      <c r="F375" s="571" t="s">
        <v>309</v>
      </c>
      <c r="G375" s="572"/>
      <c r="H375" s="572"/>
      <c r="I375" s="572"/>
      <c r="J375" s="572"/>
      <c r="K375" s="572"/>
      <c r="L375" s="85"/>
      <c r="M375" s="85"/>
      <c r="N375" s="64"/>
      <c r="O375" s="64"/>
      <c r="P375" s="64"/>
    </row>
    <row r="376" spans="1:16" x14ac:dyDescent="0.2">
      <c r="A376" s="64"/>
      <c r="B376" s="64"/>
      <c r="C376" s="558"/>
      <c r="D376" s="576"/>
      <c r="E376" s="96"/>
      <c r="F376" s="564"/>
      <c r="G376" s="565"/>
      <c r="H376" s="565"/>
      <c r="I376" s="565"/>
      <c r="J376" s="565"/>
      <c r="K376" s="565"/>
      <c r="L376" s="85"/>
      <c r="M376" s="85"/>
      <c r="N376" s="64"/>
      <c r="O376" s="64"/>
      <c r="P376" s="64"/>
    </row>
    <row r="377" spans="1:16" x14ac:dyDescent="0.2">
      <c r="A377" s="64"/>
      <c r="B377" s="64"/>
      <c r="C377" s="558"/>
      <c r="D377" s="559"/>
      <c r="E377" s="96"/>
      <c r="F377" s="564"/>
      <c r="G377" s="565"/>
      <c r="H377" s="565"/>
      <c r="I377" s="565"/>
      <c r="J377" s="565"/>
      <c r="K377" s="565"/>
      <c r="L377" s="85"/>
      <c r="M377" s="85"/>
      <c r="N377" s="64"/>
      <c r="O377" s="64"/>
      <c r="P377" s="64"/>
    </row>
    <row r="378" spans="1:16" x14ac:dyDescent="0.2">
      <c r="A378" s="64"/>
      <c r="B378" s="64"/>
      <c r="C378" s="558"/>
      <c r="D378" s="559"/>
      <c r="E378" s="96"/>
      <c r="F378" s="564"/>
      <c r="G378" s="565"/>
      <c r="H378" s="565"/>
      <c r="I378" s="565"/>
      <c r="J378" s="565"/>
      <c r="K378" s="565"/>
      <c r="L378" s="85"/>
      <c r="M378" s="85"/>
      <c r="N378" s="64"/>
      <c r="O378" s="64"/>
      <c r="P378" s="64"/>
    </row>
    <row r="379" spans="1:16" x14ac:dyDescent="0.2">
      <c r="A379" s="64"/>
      <c r="B379" s="64"/>
      <c r="C379" s="558"/>
      <c r="D379" s="559"/>
      <c r="E379" s="96"/>
      <c r="F379" s="564"/>
      <c r="G379" s="565"/>
      <c r="H379" s="565"/>
      <c r="I379" s="565"/>
      <c r="J379" s="565"/>
      <c r="K379" s="565"/>
      <c r="L379" s="85"/>
      <c r="M379" s="85"/>
      <c r="N379" s="64"/>
      <c r="O379" s="64"/>
      <c r="P379" s="64"/>
    </row>
    <row r="380" spans="1:16" x14ac:dyDescent="0.2">
      <c r="A380" s="64"/>
      <c r="B380" s="64"/>
      <c r="C380" s="558"/>
      <c r="D380" s="559"/>
      <c r="E380" s="96"/>
      <c r="F380" s="564"/>
      <c r="G380" s="565"/>
      <c r="H380" s="565"/>
      <c r="I380" s="565"/>
      <c r="J380" s="565"/>
      <c r="K380" s="565"/>
      <c r="L380" s="85"/>
      <c r="M380" s="85"/>
      <c r="N380" s="64"/>
      <c r="O380" s="64"/>
      <c r="P380" s="64"/>
    </row>
    <row r="381" spans="1:16" x14ac:dyDescent="0.2">
      <c r="A381" s="64"/>
      <c r="B381" s="64"/>
      <c r="C381" s="558"/>
      <c r="D381" s="559"/>
      <c r="E381" s="96"/>
      <c r="F381" s="564"/>
      <c r="G381" s="565"/>
      <c r="H381" s="565"/>
      <c r="I381" s="565"/>
      <c r="J381" s="565"/>
      <c r="K381" s="565"/>
      <c r="L381" s="85"/>
      <c r="M381" s="85"/>
      <c r="N381" s="64"/>
      <c r="O381" s="64"/>
      <c r="P381" s="64"/>
    </row>
    <row r="382" spans="1:16" x14ac:dyDescent="0.2">
      <c r="A382" s="64"/>
      <c r="B382" s="64"/>
      <c r="C382" s="567"/>
      <c r="D382" s="568"/>
      <c r="E382" s="96"/>
      <c r="F382" s="564"/>
      <c r="G382" s="565"/>
      <c r="H382" s="565"/>
      <c r="I382" s="565"/>
      <c r="J382" s="565"/>
      <c r="K382" s="565"/>
      <c r="L382" s="85"/>
      <c r="M382" s="85"/>
      <c r="N382" s="64"/>
      <c r="O382" s="64"/>
      <c r="P382" s="64"/>
    </row>
    <row r="383" spans="1:16" x14ac:dyDescent="0.2">
      <c r="A383" s="64"/>
      <c r="B383" s="64"/>
      <c r="C383" s="567"/>
      <c r="D383" s="568"/>
      <c r="E383" s="96"/>
      <c r="F383" s="564"/>
      <c r="G383" s="565"/>
      <c r="H383" s="565"/>
      <c r="I383" s="565"/>
      <c r="J383" s="565"/>
      <c r="K383" s="565"/>
      <c r="L383" s="85"/>
      <c r="M383" s="85"/>
      <c r="N383" s="64"/>
      <c r="O383" s="64"/>
      <c r="P383" s="64"/>
    </row>
    <row r="384" spans="1:16" x14ac:dyDescent="0.2">
      <c r="A384" s="64"/>
      <c r="B384" s="64"/>
      <c r="C384" s="567"/>
      <c r="D384" s="568"/>
      <c r="E384" s="96"/>
      <c r="F384" s="564"/>
      <c r="G384" s="565"/>
      <c r="H384" s="565"/>
      <c r="I384" s="565"/>
      <c r="J384" s="565"/>
      <c r="K384" s="565"/>
      <c r="L384" s="85"/>
      <c r="M384" s="85"/>
      <c r="N384" s="64"/>
      <c r="O384" s="64"/>
      <c r="P384" s="64"/>
    </row>
    <row r="385" spans="1:16" x14ac:dyDescent="0.2">
      <c r="A385" s="64"/>
      <c r="B385" s="64"/>
      <c r="C385" s="567"/>
      <c r="D385" s="568"/>
      <c r="E385" s="96"/>
      <c r="F385" s="564"/>
      <c r="G385" s="565"/>
      <c r="H385" s="565"/>
      <c r="I385" s="565"/>
      <c r="J385" s="565"/>
      <c r="K385" s="565"/>
      <c r="L385" s="85"/>
      <c r="M385" s="85"/>
      <c r="N385" s="64"/>
      <c r="O385" s="64"/>
      <c r="P385" s="64"/>
    </row>
    <row r="386" spans="1:16" x14ac:dyDescent="0.2">
      <c r="A386" s="64"/>
      <c r="B386" s="408">
        <f>COUNTA(C376:D385)</f>
        <v>0</v>
      </c>
      <c r="C386" s="91"/>
      <c r="D386" s="91"/>
      <c r="E386" s="91"/>
      <c r="F386" s="85"/>
      <c r="G386" s="85"/>
      <c r="H386" s="85"/>
      <c r="I386" s="85"/>
      <c r="J386" s="85"/>
      <c r="K386" s="85"/>
      <c r="L386" s="85"/>
      <c r="M386" s="85"/>
      <c r="N386" s="64"/>
      <c r="O386" s="64"/>
      <c r="P386" s="64"/>
    </row>
    <row r="387" spans="1:16" x14ac:dyDescent="0.2">
      <c r="A387" s="64"/>
      <c r="B387" s="64"/>
      <c r="C387" s="91"/>
      <c r="D387" s="91"/>
      <c r="E387" s="91"/>
      <c r="F387" s="85"/>
      <c r="G387" s="85"/>
      <c r="H387" s="85"/>
      <c r="I387" s="85"/>
      <c r="J387" s="85"/>
      <c r="K387" s="85"/>
      <c r="L387" s="85"/>
      <c r="M387" s="85"/>
      <c r="N387" s="64"/>
      <c r="O387" s="64"/>
      <c r="P387" s="64"/>
    </row>
    <row r="388" spans="1:16" ht="15.75" x14ac:dyDescent="0.2">
      <c r="A388" s="64"/>
      <c r="B388" s="64"/>
      <c r="C388" s="88" t="s">
        <v>205</v>
      </c>
      <c r="D388" s="95"/>
      <c r="E388" s="95"/>
      <c r="F388" s="95"/>
      <c r="G388" s="95"/>
      <c r="H388" s="95"/>
      <c r="I388" s="95"/>
      <c r="J388" s="95"/>
      <c r="K388" s="95"/>
      <c r="L388" s="95"/>
      <c r="M388" s="95"/>
      <c r="N388" s="95"/>
      <c r="O388" s="95"/>
      <c r="P388" s="95"/>
    </row>
    <row r="389" spans="1:16" x14ac:dyDescent="0.2">
      <c r="A389" s="91"/>
      <c r="B389" s="91"/>
      <c r="C389" s="91"/>
      <c r="D389" s="91"/>
      <c r="E389" s="91"/>
      <c r="F389" s="90"/>
      <c r="G389" s="90"/>
      <c r="H389" s="90"/>
      <c r="I389" s="90"/>
      <c r="J389" s="64"/>
      <c r="K389" s="64"/>
      <c r="L389" s="64"/>
      <c r="M389" s="64"/>
      <c r="N389" s="64"/>
      <c r="O389" s="64"/>
      <c r="P389" s="64"/>
    </row>
    <row r="390" spans="1:16" x14ac:dyDescent="0.2">
      <c r="A390" s="64"/>
      <c r="B390" s="64"/>
      <c r="C390" s="544" t="s">
        <v>833</v>
      </c>
      <c r="D390" s="546"/>
      <c r="E390" s="15"/>
      <c r="F390" s="90"/>
      <c r="G390" s="90"/>
      <c r="H390" s="90"/>
      <c r="I390" s="90"/>
      <c r="J390" s="90"/>
      <c r="K390" s="90"/>
      <c r="L390" s="90"/>
      <c r="M390" s="90"/>
      <c r="N390" s="64"/>
      <c r="O390" s="346">
        <f>IF(E390&lt;&gt;"",1,0)</f>
        <v>0</v>
      </c>
      <c r="P390" s="64"/>
    </row>
    <row r="391" spans="1:16" x14ac:dyDescent="0.2">
      <c r="A391" s="64"/>
      <c r="B391" s="64"/>
      <c r="C391" s="544" t="s">
        <v>576</v>
      </c>
      <c r="D391" s="546"/>
      <c r="E391" s="15"/>
      <c r="F391" s="90"/>
      <c r="G391" s="542" t="str">
        <f>IF(H9="Minor",MsgNote &amp; VLOOKUP(H9,WarningMessages,2,FALSE),"")</f>
        <v/>
      </c>
      <c r="H391" s="542"/>
      <c r="I391" s="90"/>
      <c r="J391" s="90"/>
      <c r="K391" s="90"/>
      <c r="L391" s="90"/>
      <c r="M391" s="90"/>
      <c r="N391" s="64"/>
      <c r="O391" s="346">
        <f>IF(E391&lt;&gt;"",1,IF(G391&lt;&gt;"",1,0))</f>
        <v>0</v>
      </c>
      <c r="P391" s="64"/>
    </row>
    <row r="392" spans="1:16" x14ac:dyDescent="0.2">
      <c r="A392" s="64"/>
      <c r="B392" s="64"/>
      <c r="C392" s="91"/>
      <c r="D392" s="91"/>
      <c r="E392" s="91"/>
      <c r="F392" s="90"/>
      <c r="G392" s="90"/>
      <c r="H392" s="90"/>
      <c r="I392" s="90"/>
      <c r="J392" s="90"/>
      <c r="K392" s="90"/>
      <c r="L392" s="90"/>
      <c r="M392" s="90"/>
      <c r="N392" s="64"/>
      <c r="O392" s="64"/>
      <c r="P392" s="64"/>
    </row>
    <row r="393" spans="1:16" x14ac:dyDescent="0.2">
      <c r="A393" s="64"/>
      <c r="B393" s="64"/>
      <c r="C393" s="91"/>
      <c r="D393" s="91"/>
      <c r="E393" s="91"/>
      <c r="F393" s="90"/>
      <c r="G393" s="90"/>
      <c r="H393" s="90"/>
      <c r="I393" s="90"/>
      <c r="J393" s="90"/>
      <c r="K393" s="90"/>
      <c r="L393" s="90"/>
      <c r="M393" s="90"/>
      <c r="N393" s="64"/>
      <c r="O393" s="64"/>
      <c r="P393" s="64"/>
    </row>
    <row r="394" spans="1:16" ht="15.75" x14ac:dyDescent="0.2">
      <c r="A394" s="64"/>
      <c r="B394" s="64"/>
      <c r="C394" s="88" t="s">
        <v>206</v>
      </c>
      <c r="D394" s="95"/>
      <c r="E394" s="95"/>
      <c r="F394" s="95"/>
      <c r="G394" s="95"/>
      <c r="H394" s="95"/>
      <c r="I394" s="95"/>
      <c r="J394" s="95"/>
      <c r="K394" s="95"/>
      <c r="L394" s="95"/>
      <c r="M394" s="95"/>
      <c r="N394" s="95"/>
      <c r="O394" s="95"/>
      <c r="P394" s="95"/>
    </row>
    <row r="395" spans="1:16" x14ac:dyDescent="0.2">
      <c r="A395" s="91"/>
      <c r="B395" s="91"/>
      <c r="C395" s="91"/>
      <c r="D395" s="91"/>
      <c r="E395" s="91"/>
      <c r="F395" s="90"/>
      <c r="G395" s="90"/>
      <c r="H395" s="90"/>
      <c r="I395" s="90"/>
      <c r="J395" s="64"/>
      <c r="K395" s="64"/>
      <c r="L395" s="64"/>
      <c r="M395" s="64"/>
      <c r="N395" s="64"/>
      <c r="O395" s="64"/>
      <c r="P395" s="64"/>
    </row>
    <row r="396" spans="1:16" x14ac:dyDescent="0.2">
      <c r="A396" s="64"/>
      <c r="B396" s="64"/>
      <c r="C396" s="544" t="s">
        <v>577</v>
      </c>
      <c r="D396" s="546"/>
      <c r="E396" s="14"/>
      <c r="F396" s="90"/>
      <c r="G396" s="84" t="s">
        <v>410</v>
      </c>
      <c r="H396" s="23" t="str">
        <f>IF('0. Title'!E39&lt;&gt;"",'0. Title'!E39,"")</f>
        <v/>
      </c>
      <c r="I396" s="90"/>
      <c r="J396" s="84" t="s">
        <v>880</v>
      </c>
      <c r="K396" s="70"/>
      <c r="L396" s="90"/>
      <c r="M396" s="90"/>
      <c r="N396" s="346">
        <f>IF(K396="Yes",1,0)</f>
        <v>0</v>
      </c>
      <c r="O396" s="346">
        <f>IF(OR(H397&lt;&gt;"Cost-minimisation",AND(E396&lt;&gt;"",H397="Cost-minimisation")),1,0)</f>
        <v>1</v>
      </c>
      <c r="P396" s="64"/>
    </row>
    <row r="397" spans="1:16" x14ac:dyDescent="0.2">
      <c r="A397" s="64"/>
      <c r="B397" s="64"/>
      <c r="C397" s="91"/>
      <c r="D397" s="91"/>
      <c r="E397" s="91"/>
      <c r="F397" s="90"/>
      <c r="G397" s="84" t="s">
        <v>882</v>
      </c>
      <c r="H397" s="70"/>
      <c r="I397" s="90"/>
      <c r="J397" s="84" t="s">
        <v>881</v>
      </c>
      <c r="K397" s="70"/>
      <c r="L397" s="90"/>
      <c r="M397" s="90"/>
      <c r="N397" s="346">
        <f>IF(K397="Yes",1,0)</f>
        <v>0</v>
      </c>
      <c r="O397" s="346">
        <f>IF(K396&lt;&gt;"",1,0)</f>
        <v>0</v>
      </c>
      <c r="P397" s="64"/>
    </row>
    <row r="398" spans="1:16" x14ac:dyDescent="0.2">
      <c r="A398" s="64"/>
      <c r="B398" s="64"/>
      <c r="C398" s="91"/>
      <c r="D398" s="91"/>
      <c r="E398" s="91"/>
      <c r="F398" s="90"/>
      <c r="G398" s="90"/>
      <c r="H398" s="90"/>
      <c r="I398" s="90"/>
      <c r="J398" s="84" t="s">
        <v>578</v>
      </c>
      <c r="K398" s="521"/>
      <c r="L398" s="90"/>
      <c r="M398" s="90"/>
      <c r="N398" s="346">
        <f>IF(K398="Yes",1,0)</f>
        <v>0</v>
      </c>
      <c r="O398" s="346">
        <f>IF(OR(AND(K397="No",K398=""),AND(K397&lt;&gt;"",K398&lt;&gt;"")),1,0)</f>
        <v>0</v>
      </c>
      <c r="P398" s="64"/>
    </row>
    <row r="399" spans="1:16" x14ac:dyDescent="0.2">
      <c r="A399" s="64"/>
      <c r="B399" s="64"/>
      <c r="C399" s="91"/>
      <c r="D399" s="91"/>
      <c r="E399" s="91"/>
      <c r="F399" s="90"/>
      <c r="G399" s="90"/>
      <c r="H399" s="90"/>
      <c r="I399" s="90"/>
      <c r="J399" s="520" t="s">
        <v>1298</v>
      </c>
      <c r="K399" s="577"/>
      <c r="L399" s="577"/>
      <c r="M399" s="90"/>
      <c r="N399" s="64"/>
      <c r="O399" s="64"/>
      <c r="P399" s="64"/>
    </row>
    <row r="400" spans="1:16" x14ac:dyDescent="0.2">
      <c r="A400" s="64"/>
      <c r="B400" s="64"/>
      <c r="C400" s="91"/>
      <c r="D400" s="91"/>
      <c r="E400" s="91"/>
      <c r="F400" s="90"/>
      <c r="G400" s="90"/>
      <c r="H400" s="90"/>
      <c r="I400" s="90"/>
      <c r="J400" s="90"/>
      <c r="K400" s="90"/>
      <c r="L400" s="90"/>
      <c r="M400" s="90"/>
      <c r="N400" s="64"/>
      <c r="O400" s="64"/>
      <c r="P400" s="64"/>
    </row>
    <row r="401" spans="1:16" ht="15.75" hidden="1" x14ac:dyDescent="0.2">
      <c r="A401" s="64"/>
      <c r="B401" s="64"/>
      <c r="C401" s="88" t="s">
        <v>207</v>
      </c>
      <c r="D401" s="95"/>
      <c r="E401" s="95"/>
      <c r="F401" s="95"/>
      <c r="G401" s="95"/>
      <c r="H401" s="95"/>
      <c r="I401" s="95"/>
      <c r="J401" s="95"/>
      <c r="K401" s="95"/>
      <c r="L401" s="95"/>
      <c r="M401" s="95"/>
      <c r="N401" s="95"/>
      <c r="O401" s="95"/>
      <c r="P401" s="95"/>
    </row>
    <row r="402" spans="1:16" hidden="1" x14ac:dyDescent="0.2">
      <c r="A402" s="91"/>
      <c r="B402" s="91"/>
      <c r="C402" s="91"/>
      <c r="D402" s="91"/>
      <c r="E402" s="91"/>
      <c r="F402" s="90"/>
      <c r="G402" s="90"/>
      <c r="H402" s="90"/>
      <c r="I402" s="90"/>
      <c r="J402" s="64"/>
      <c r="K402" s="64"/>
      <c r="L402" s="64"/>
      <c r="M402" s="64"/>
      <c r="N402" s="64"/>
      <c r="O402" s="64"/>
      <c r="P402" s="64"/>
    </row>
    <row r="403" spans="1:16" hidden="1" x14ac:dyDescent="0.2">
      <c r="A403" s="64"/>
      <c r="B403" s="64"/>
      <c r="C403" s="544" t="s">
        <v>720</v>
      </c>
      <c r="D403" s="546"/>
      <c r="E403" s="366"/>
      <c r="F403" s="90"/>
      <c r="G403" s="84" t="s">
        <v>719</v>
      </c>
      <c r="H403" s="16"/>
      <c r="I403" s="90"/>
      <c r="J403" s="579" t="str">
        <f>IF(N403=1,MsgNote &amp; VLOOKUP("PxPop",WarningMessages,2,FALSE),"")</f>
        <v>Note: patient number derived from population</v>
      </c>
      <c r="K403" s="579"/>
      <c r="L403" s="90"/>
      <c r="M403" s="90"/>
      <c r="N403" s="346">
        <f>IF(AND(H396&lt;&gt;"Epidemiology",H397&lt;&gt;"Price change"),1,0)</f>
        <v>1</v>
      </c>
      <c r="O403" s="91"/>
      <c r="P403" s="64"/>
    </row>
    <row r="404" spans="1:16" hidden="1" x14ac:dyDescent="0.2">
      <c r="A404" s="64"/>
      <c r="B404" s="64"/>
      <c r="C404" s="91"/>
      <c r="D404" s="91"/>
      <c r="E404" s="91"/>
      <c r="F404" s="90"/>
      <c r="G404" s="90"/>
      <c r="H404" s="90"/>
      <c r="I404" s="90"/>
      <c r="J404" s="90"/>
      <c r="K404" s="90"/>
      <c r="L404" s="90"/>
      <c r="M404" s="90"/>
      <c r="N404" s="64"/>
      <c r="O404" s="64"/>
      <c r="P404" s="64"/>
    </row>
    <row r="405" spans="1:16" hidden="1" x14ac:dyDescent="0.2">
      <c r="A405" s="64"/>
      <c r="B405" s="64"/>
      <c r="C405" s="544" t="s">
        <v>581</v>
      </c>
      <c r="D405" s="546"/>
      <c r="E405" s="366"/>
      <c r="F405" s="90"/>
      <c r="G405" s="84" t="s">
        <v>579</v>
      </c>
      <c r="H405" s="70"/>
      <c r="I405" s="90"/>
      <c r="J405" s="84" t="s">
        <v>580</v>
      </c>
      <c r="K405" s="245">
        <f>IF(N409=0,'3b. Impact - proposed (pub)'!J274,K417)</f>
        <v>0</v>
      </c>
      <c r="L405" s="90"/>
      <c r="M405" s="90"/>
      <c r="N405" s="346" t="str">
        <f>IFERROR(VLOOKUP(H405,CalculationMethodCode,2,FALSE),"")</f>
        <v/>
      </c>
      <c r="O405" s="346">
        <f>IF(H405&lt;&gt;"",1,0)</f>
        <v>0</v>
      </c>
      <c r="P405" s="64"/>
    </row>
    <row r="406" spans="1:16" hidden="1" x14ac:dyDescent="0.2">
      <c r="A406" s="64"/>
      <c r="B406" s="64"/>
      <c r="C406" s="91"/>
      <c r="D406" s="91"/>
      <c r="E406" s="91"/>
      <c r="F406" s="90"/>
      <c r="G406" s="90"/>
      <c r="H406" s="90"/>
      <c r="I406" s="90"/>
      <c r="J406" s="90"/>
      <c r="K406" s="90"/>
      <c r="L406" s="90"/>
      <c r="M406" s="90"/>
      <c r="N406" s="64"/>
      <c r="O406" s="64"/>
      <c r="P406" s="64"/>
    </row>
    <row r="407" spans="1:16" hidden="1" x14ac:dyDescent="0.2">
      <c r="A407" s="64"/>
      <c r="B407" s="64"/>
      <c r="C407" s="91"/>
      <c r="D407" s="91"/>
      <c r="E407" s="91"/>
      <c r="F407" s="90"/>
      <c r="G407" s="84" t="str">
        <f>"Scripts / " &amp; IF(N405=1,"year","course")</f>
        <v>Scripts / course</v>
      </c>
      <c r="H407" s="16"/>
      <c r="I407" s="90"/>
      <c r="J407" s="84" t="s">
        <v>582</v>
      </c>
      <c r="K407" s="245">
        <f>IF(N409=0,'3c. Impact - proposed (eff)'!J274,L417)</f>
        <v>0</v>
      </c>
      <c r="L407" s="90"/>
      <c r="M407" s="90"/>
      <c r="N407" s="64"/>
      <c r="O407" s="346">
        <f>IF(AND(E405&lt;&gt;"",H407&lt;&gt;""),1,0)</f>
        <v>0</v>
      </c>
      <c r="P407" s="64"/>
    </row>
    <row r="408" spans="1:16" hidden="1" x14ac:dyDescent="0.2">
      <c r="A408" s="64"/>
      <c r="B408" s="64"/>
      <c r="C408" s="91"/>
      <c r="D408" s="91"/>
      <c r="E408" s="91"/>
      <c r="F408" s="90"/>
      <c r="G408" s="90"/>
      <c r="H408" s="529" t="s">
        <v>1302</v>
      </c>
      <c r="I408" s="90"/>
      <c r="J408" s="90"/>
      <c r="K408" s="90"/>
      <c r="L408" s="90"/>
      <c r="M408" s="90"/>
      <c r="N408" s="64"/>
      <c r="O408" s="532">
        <f>SUM(O405:O407)+SUM(O396:O398)+SUM(O390:O391)+O62+SUM(O51:O57)+O45+SUM(O7:O9)</f>
        <v>1</v>
      </c>
      <c r="P408" s="64"/>
    </row>
    <row r="409" spans="1:16" hidden="1" x14ac:dyDescent="0.2">
      <c r="A409" s="64"/>
      <c r="B409" s="64"/>
      <c r="C409" s="91"/>
      <c r="D409" s="91"/>
      <c r="E409" s="91"/>
      <c r="F409" s="90"/>
      <c r="I409" s="90"/>
      <c r="J409" s="427" t="s">
        <v>1168</v>
      </c>
      <c r="K409" s="70"/>
      <c r="L409" s="90"/>
      <c r="M409" s="90"/>
      <c r="N409" s="346">
        <f>IF(K409="Yes",1,0)</f>
        <v>0</v>
      </c>
      <c r="O409" s="422"/>
      <c r="P409" s="64"/>
    </row>
    <row r="410" spans="1:16" hidden="1" x14ac:dyDescent="0.2">
      <c r="A410" s="64"/>
      <c r="B410" s="64"/>
      <c r="C410" s="91"/>
      <c r="D410" s="91"/>
      <c r="E410" s="91"/>
      <c r="F410" s="90"/>
      <c r="G410" s="90"/>
      <c r="H410" s="90"/>
      <c r="I410" s="90"/>
      <c r="J410" s="90"/>
      <c r="K410" s="90"/>
      <c r="L410" s="90"/>
      <c r="M410" s="90"/>
      <c r="N410" s="64"/>
      <c r="O410" s="422"/>
      <c r="P410" s="64"/>
    </row>
    <row r="411" spans="1:16" hidden="1" x14ac:dyDescent="0.2">
      <c r="A411" s="64"/>
      <c r="B411" s="64"/>
      <c r="C411" s="91"/>
      <c r="D411" s="91"/>
      <c r="E411" s="91"/>
      <c r="F411" s="90"/>
      <c r="G411" s="578" t="s">
        <v>802</v>
      </c>
      <c r="H411" s="578"/>
      <c r="I411" s="578"/>
      <c r="J411" s="429" t="str">
        <f>"Scripts / " &amp; IF(N405=1,"year","course")</f>
        <v>Scripts / course</v>
      </c>
      <c r="K411" s="428" t="s">
        <v>580</v>
      </c>
      <c r="L411" s="428" t="s">
        <v>582</v>
      </c>
      <c r="M411" s="90"/>
      <c r="N411" s="64"/>
      <c r="O411" s="64"/>
      <c r="P411" s="64"/>
    </row>
    <row r="412" spans="1:16" hidden="1" x14ac:dyDescent="0.2">
      <c r="A412" s="64"/>
      <c r="B412" s="64"/>
      <c r="C412" s="91"/>
      <c r="D412" s="91"/>
      <c r="E412" s="91"/>
      <c r="F412" s="90"/>
      <c r="G412" s="575"/>
      <c r="H412" s="575"/>
      <c r="I412" s="575"/>
      <c r="J412" s="217"/>
      <c r="K412" s="432"/>
      <c r="L412" s="431"/>
      <c r="M412" s="90"/>
      <c r="N412" s="64"/>
      <c r="O412" s="64"/>
      <c r="P412" s="64"/>
    </row>
    <row r="413" spans="1:16" hidden="1" x14ac:dyDescent="0.2">
      <c r="A413" s="64"/>
      <c r="B413" s="64"/>
      <c r="C413" s="91"/>
      <c r="D413" s="91"/>
      <c r="E413" s="91"/>
      <c r="F413" s="90"/>
      <c r="G413" s="575"/>
      <c r="H413" s="575"/>
      <c r="I413" s="575"/>
      <c r="J413" s="217"/>
      <c r="K413" s="432"/>
      <c r="L413" s="431"/>
      <c r="M413" s="90"/>
      <c r="N413" s="64"/>
      <c r="O413" s="64"/>
      <c r="P413" s="64"/>
    </row>
    <row r="414" spans="1:16" hidden="1" x14ac:dyDescent="0.2">
      <c r="A414" s="64"/>
      <c r="B414" s="64"/>
      <c r="C414" s="91"/>
      <c r="D414" s="91"/>
      <c r="E414" s="91"/>
      <c r="F414" s="90"/>
      <c r="G414" s="575"/>
      <c r="H414" s="575"/>
      <c r="I414" s="575"/>
      <c r="J414" s="217"/>
      <c r="K414" s="432"/>
      <c r="L414" s="431"/>
      <c r="M414" s="90"/>
      <c r="N414" s="64"/>
      <c r="O414" s="64"/>
      <c r="P414" s="64"/>
    </row>
    <row r="415" spans="1:16" hidden="1" x14ac:dyDescent="0.2">
      <c r="A415" s="64"/>
      <c r="B415" s="64"/>
      <c r="C415" s="91"/>
      <c r="D415" s="91"/>
      <c r="E415" s="91"/>
      <c r="F415" s="90"/>
      <c r="G415" s="575"/>
      <c r="H415" s="575"/>
      <c r="I415" s="575"/>
      <c r="J415" s="217"/>
      <c r="K415" s="432"/>
      <c r="L415" s="431"/>
      <c r="M415" s="90"/>
      <c r="N415" s="64"/>
      <c r="O415" s="64"/>
      <c r="P415" s="64"/>
    </row>
    <row r="416" spans="1:16" hidden="1" x14ac:dyDescent="0.2">
      <c r="A416" s="64"/>
      <c r="B416" s="64"/>
      <c r="C416" s="91"/>
      <c r="D416" s="91"/>
      <c r="E416" s="91"/>
      <c r="F416" s="90"/>
      <c r="G416" s="575"/>
      <c r="H416" s="575"/>
      <c r="I416" s="575"/>
      <c r="J416" s="217"/>
      <c r="K416" s="432"/>
      <c r="L416" s="431"/>
      <c r="M416" s="90"/>
      <c r="N416" s="64"/>
      <c r="O416" s="64"/>
      <c r="P416" s="64"/>
    </row>
    <row r="417" spans="1:16" hidden="1" x14ac:dyDescent="0.2">
      <c r="A417" s="64"/>
      <c r="B417" s="64"/>
      <c r="C417" s="91"/>
      <c r="D417" s="91"/>
      <c r="E417" s="91"/>
      <c r="F417" s="90"/>
      <c r="G417" s="90"/>
      <c r="H417" s="90"/>
      <c r="I417" s="90"/>
      <c r="J417" s="430" t="s">
        <v>73</v>
      </c>
      <c r="K417" s="433">
        <f>SUMPRODUCT(J412:J416,K412:K416)</f>
        <v>0</v>
      </c>
      <c r="L417" s="433">
        <f>SUMPRODUCT(J412:J416,L412:L416)</f>
        <v>0</v>
      </c>
      <c r="M417" s="90"/>
      <c r="N417" s="64"/>
      <c r="O417" s="64"/>
      <c r="P417" s="64"/>
    </row>
    <row r="418" spans="1:16" hidden="1" x14ac:dyDescent="0.2">
      <c r="A418" s="64"/>
      <c r="B418" s="64"/>
      <c r="C418" s="91"/>
      <c r="D418" s="91"/>
      <c r="E418" s="91"/>
      <c r="F418" s="90"/>
      <c r="G418" s="90"/>
      <c r="H418" s="90"/>
      <c r="I418" s="90"/>
      <c r="J418" s="90"/>
      <c r="K418" s="90"/>
      <c r="L418" s="90"/>
      <c r="M418" s="90"/>
      <c r="N418" s="64"/>
      <c r="O418" s="64"/>
      <c r="P418" s="64"/>
    </row>
    <row r="419" spans="1:16" ht="15.75" hidden="1" x14ac:dyDescent="0.2">
      <c r="A419" s="64"/>
      <c r="B419" s="64"/>
      <c r="C419" s="88"/>
      <c r="D419" s="95"/>
      <c r="E419" s="95"/>
      <c r="F419" s="95"/>
      <c r="G419" s="95"/>
      <c r="H419" s="95"/>
      <c r="I419" s="95"/>
      <c r="J419" s="95"/>
      <c r="K419" s="95"/>
      <c r="L419" s="95"/>
      <c r="M419" s="95"/>
      <c r="N419" s="95"/>
      <c r="O419" s="95"/>
      <c r="P419" s="95"/>
    </row>
    <row r="420" spans="1:16" x14ac:dyDescent="0.2">
      <c r="A420" s="64"/>
      <c r="B420" s="64"/>
      <c r="C420" s="64"/>
      <c r="D420" s="64"/>
      <c r="E420" s="64"/>
      <c r="F420" s="64"/>
      <c r="G420" s="64"/>
      <c r="H420" s="64"/>
      <c r="I420" s="64"/>
      <c r="J420" s="64"/>
      <c r="K420" s="64"/>
      <c r="L420" s="64"/>
      <c r="M420" s="64"/>
      <c r="N420" s="64"/>
      <c r="O420" s="64"/>
      <c r="P420" s="64"/>
    </row>
    <row r="421" spans="1:16" x14ac:dyDescent="0.2">
      <c r="A421" s="64"/>
      <c r="B421" s="64"/>
      <c r="C421" s="441"/>
      <c r="D421" s="441"/>
      <c r="E421" s="64"/>
      <c r="F421" s="64"/>
      <c r="I421" s="64"/>
      <c r="J421" s="64"/>
      <c r="K421" s="64"/>
      <c r="L421" s="64"/>
      <c r="M421" s="64"/>
      <c r="N421" s="64"/>
      <c r="O421" s="64"/>
      <c r="P421" s="64"/>
    </row>
    <row r="422" spans="1:16" x14ac:dyDescent="0.2">
      <c r="A422" s="64"/>
      <c r="B422" s="64"/>
      <c r="C422" s="441"/>
      <c r="D422" s="441"/>
      <c r="E422" s="64"/>
      <c r="F422" s="64"/>
      <c r="I422" s="64"/>
      <c r="J422" s="64"/>
      <c r="K422" s="64"/>
      <c r="L422" s="64"/>
      <c r="M422" s="64"/>
      <c r="N422" s="64"/>
      <c r="O422" s="64"/>
      <c r="P422" s="64"/>
    </row>
  </sheetData>
  <sheetProtection selectLockedCells="1"/>
  <mergeCells count="246">
    <mergeCell ref="G416:I416"/>
    <mergeCell ref="G411:I411"/>
    <mergeCell ref="G412:I412"/>
    <mergeCell ref="G413:I413"/>
    <mergeCell ref="G414:I414"/>
    <mergeCell ref="C325:D325"/>
    <mergeCell ref="C341:D341"/>
    <mergeCell ref="C342:D342"/>
    <mergeCell ref="C343:D343"/>
    <mergeCell ref="C344:D344"/>
    <mergeCell ref="C345:D345"/>
    <mergeCell ref="C346:D346"/>
    <mergeCell ref="C347:D347"/>
    <mergeCell ref="C326:D326"/>
    <mergeCell ref="C327:D327"/>
    <mergeCell ref="C328:D328"/>
    <mergeCell ref="C329:D329"/>
    <mergeCell ref="C330:D330"/>
    <mergeCell ref="C331:D331"/>
    <mergeCell ref="C332:D332"/>
    <mergeCell ref="C335:E335"/>
    <mergeCell ref="C340:D340"/>
    <mergeCell ref="F376:K376"/>
    <mergeCell ref="J403:K403"/>
    <mergeCell ref="C314:D314"/>
    <mergeCell ref="C315:D315"/>
    <mergeCell ref="C316:D316"/>
    <mergeCell ref="C317:D317"/>
    <mergeCell ref="C320:E320"/>
    <mergeCell ref="G415:I415"/>
    <mergeCell ref="C391:D391"/>
    <mergeCell ref="G391:H391"/>
    <mergeCell ref="C357:D357"/>
    <mergeCell ref="C358:D358"/>
    <mergeCell ref="C359:D359"/>
    <mergeCell ref="C396:D396"/>
    <mergeCell ref="C403:D403"/>
    <mergeCell ref="F378:K378"/>
    <mergeCell ref="F379:K379"/>
    <mergeCell ref="C376:D376"/>
    <mergeCell ref="K399:L399"/>
    <mergeCell ref="C299:D299"/>
    <mergeCell ref="C300:D300"/>
    <mergeCell ref="C301:D301"/>
    <mergeCell ref="C302:D302"/>
    <mergeCell ref="C305:E305"/>
    <mergeCell ref="C310:D310"/>
    <mergeCell ref="C311:D311"/>
    <mergeCell ref="C312:D312"/>
    <mergeCell ref="C313:D313"/>
    <mergeCell ref="C284:D284"/>
    <mergeCell ref="C285:D285"/>
    <mergeCell ref="C286:D286"/>
    <mergeCell ref="C287:D287"/>
    <mergeCell ref="C290:E290"/>
    <mergeCell ref="C295:D295"/>
    <mergeCell ref="C296:D296"/>
    <mergeCell ref="C297:D297"/>
    <mergeCell ref="C298:D298"/>
    <mergeCell ref="J15:K15"/>
    <mergeCell ref="C362:D362"/>
    <mergeCell ref="C367:D367"/>
    <mergeCell ref="G367:H367"/>
    <mergeCell ref="C390:D390"/>
    <mergeCell ref="C382:D382"/>
    <mergeCell ref="C383:D383"/>
    <mergeCell ref="C384:D384"/>
    <mergeCell ref="C385:D385"/>
    <mergeCell ref="C360:D360"/>
    <mergeCell ref="C361:D361"/>
    <mergeCell ref="C375:D375"/>
    <mergeCell ref="F381:K381"/>
    <mergeCell ref="F382:K382"/>
    <mergeCell ref="F383:K383"/>
    <mergeCell ref="F375:K375"/>
    <mergeCell ref="F380:K380"/>
    <mergeCell ref="F384:K384"/>
    <mergeCell ref="F385:K385"/>
    <mergeCell ref="C236:D236"/>
    <mergeCell ref="C237:D237"/>
    <mergeCell ref="C227:D227"/>
    <mergeCell ref="C350:E350"/>
    <mergeCell ref="C356:D356"/>
    <mergeCell ref="C238:D238"/>
    <mergeCell ref="C239:D239"/>
    <mergeCell ref="C240:D240"/>
    <mergeCell ref="C241:D241"/>
    <mergeCell ref="C242:D242"/>
    <mergeCell ref="C245:E245"/>
    <mergeCell ref="C250:D250"/>
    <mergeCell ref="C251:D251"/>
    <mergeCell ref="C252:D252"/>
    <mergeCell ref="C255:D255"/>
    <mergeCell ref="C256:D256"/>
    <mergeCell ref="C257:D257"/>
    <mergeCell ref="C260:E260"/>
    <mergeCell ref="C265:D265"/>
    <mergeCell ref="C380:D380"/>
    <mergeCell ref="C381:D381"/>
    <mergeCell ref="C379:D379"/>
    <mergeCell ref="C355:D355"/>
    <mergeCell ref="E374:K374"/>
    <mergeCell ref="G372:H372"/>
    <mergeCell ref="F377:K377"/>
    <mergeCell ref="C266:D266"/>
    <mergeCell ref="C267:D267"/>
    <mergeCell ref="C268:D268"/>
    <mergeCell ref="C269:D269"/>
    <mergeCell ref="C270:D270"/>
    <mergeCell ref="C271:D271"/>
    <mergeCell ref="C272:D272"/>
    <mergeCell ref="C275:E275"/>
    <mergeCell ref="C280:D280"/>
    <mergeCell ref="C281:D281"/>
    <mergeCell ref="C282:D282"/>
    <mergeCell ref="C283:D283"/>
    <mergeCell ref="C191:D191"/>
    <mergeCell ref="C192:D192"/>
    <mergeCell ref="C193:D193"/>
    <mergeCell ref="C194:D194"/>
    <mergeCell ref="C212:D212"/>
    <mergeCell ref="C215:E215"/>
    <mergeCell ref="C197:D197"/>
    <mergeCell ref="C200:E200"/>
    <mergeCell ref="C205:D205"/>
    <mergeCell ref="C206:D206"/>
    <mergeCell ref="C207:D207"/>
    <mergeCell ref="C209:D209"/>
    <mergeCell ref="C210:D210"/>
    <mergeCell ref="C211:D211"/>
    <mergeCell ref="C195:D195"/>
    <mergeCell ref="C196:D196"/>
    <mergeCell ref="C226:D226"/>
    <mergeCell ref="C377:D377"/>
    <mergeCell ref="C378:D378"/>
    <mergeCell ref="C253:D253"/>
    <mergeCell ref="C254:D254"/>
    <mergeCell ref="C235:D235"/>
    <mergeCell ref="C190:D190"/>
    <mergeCell ref="C175:D175"/>
    <mergeCell ref="C176:D176"/>
    <mergeCell ref="C177:D177"/>
    <mergeCell ref="C178:D178"/>
    <mergeCell ref="C179:D179"/>
    <mergeCell ref="C180:D180"/>
    <mergeCell ref="C181:D181"/>
    <mergeCell ref="C182:D182"/>
    <mergeCell ref="C185:E185"/>
    <mergeCell ref="C220:D220"/>
    <mergeCell ref="C221:D221"/>
    <mergeCell ref="C222:D222"/>
    <mergeCell ref="C223:D223"/>
    <mergeCell ref="C224:D224"/>
    <mergeCell ref="C225:D225"/>
    <mergeCell ref="C230:E230"/>
    <mergeCell ref="C208:D208"/>
    <mergeCell ref="C160:D160"/>
    <mergeCell ref="C161:D161"/>
    <mergeCell ref="C162:D162"/>
    <mergeCell ref="C146:D146"/>
    <mergeCell ref="C147:D147"/>
    <mergeCell ref="C148:D148"/>
    <mergeCell ref="C149:D149"/>
    <mergeCell ref="C150:D150"/>
    <mergeCell ref="C151:D151"/>
    <mergeCell ref="C152:D152"/>
    <mergeCell ref="C155:E155"/>
    <mergeCell ref="C98:D98"/>
    <mergeCell ref="C85:D85"/>
    <mergeCell ref="C86:D86"/>
    <mergeCell ref="C87:D87"/>
    <mergeCell ref="C88:D88"/>
    <mergeCell ref="C91:D91"/>
    <mergeCell ref="C92:D92"/>
    <mergeCell ref="C95:E95"/>
    <mergeCell ref="C65:E65"/>
    <mergeCell ref="C68:D68"/>
    <mergeCell ref="C70:D70"/>
    <mergeCell ref="C71:D71"/>
    <mergeCell ref="C72:D72"/>
    <mergeCell ref="C76:D76"/>
    <mergeCell ref="C77:D77"/>
    <mergeCell ref="C83:D83"/>
    <mergeCell ref="C74:D74"/>
    <mergeCell ref="C75:D75"/>
    <mergeCell ref="C80:E80"/>
    <mergeCell ref="C7:D7"/>
    <mergeCell ref="C9:D9"/>
    <mergeCell ref="C30:D30"/>
    <mergeCell ref="C31:D31"/>
    <mergeCell ref="C32:D32"/>
    <mergeCell ref="C33:D33"/>
    <mergeCell ref="C8:D8"/>
    <mergeCell ref="G15:H15"/>
    <mergeCell ref="C45:D45"/>
    <mergeCell ref="G45:H45"/>
    <mergeCell ref="C145:D145"/>
    <mergeCell ref="C115:D115"/>
    <mergeCell ref="C116:D116"/>
    <mergeCell ref="C117:D117"/>
    <mergeCell ref="C135:D135"/>
    <mergeCell ref="C136:D136"/>
    <mergeCell ref="C137:D137"/>
    <mergeCell ref="C140:E140"/>
    <mergeCell ref="C130:D130"/>
    <mergeCell ref="C131:D131"/>
    <mergeCell ref="C132:D132"/>
    <mergeCell ref="C133:D133"/>
    <mergeCell ref="C134:D134"/>
    <mergeCell ref="J20:K20"/>
    <mergeCell ref="C57:D57"/>
    <mergeCell ref="C73:D73"/>
    <mergeCell ref="C51:D51"/>
    <mergeCell ref="C52:D52"/>
    <mergeCell ref="C53:D53"/>
    <mergeCell ref="C54:D54"/>
    <mergeCell ref="C55:D55"/>
    <mergeCell ref="C56:D56"/>
    <mergeCell ref="C34:D34"/>
    <mergeCell ref="C35:D35"/>
    <mergeCell ref="G46:H46"/>
    <mergeCell ref="C46:D46"/>
    <mergeCell ref="C100:D100"/>
    <mergeCell ref="C89:D89"/>
    <mergeCell ref="C90:D90"/>
    <mergeCell ref="C405:D405"/>
    <mergeCell ref="C106:D106"/>
    <mergeCell ref="C118:D118"/>
    <mergeCell ref="C119:D119"/>
    <mergeCell ref="C120:D120"/>
    <mergeCell ref="C101:D101"/>
    <mergeCell ref="C102:D102"/>
    <mergeCell ref="C163:D163"/>
    <mergeCell ref="C164:D164"/>
    <mergeCell ref="C165:D165"/>
    <mergeCell ref="C166:D166"/>
    <mergeCell ref="C167:D167"/>
    <mergeCell ref="C170:E170"/>
    <mergeCell ref="C103:D103"/>
    <mergeCell ref="C125:E125"/>
    <mergeCell ref="C107:D107"/>
    <mergeCell ref="C110:E110"/>
    <mergeCell ref="C121:D121"/>
    <mergeCell ref="C122:D122"/>
    <mergeCell ref="C104:D104"/>
    <mergeCell ref="C105:D105"/>
  </mergeCells>
  <conditionalFormatting sqref="C376:C381 E376:K381 C382:K385">
    <cfRule type="expression" dxfId="587" priority="100">
      <formula>$H$63&lt;&gt;"Yes"</formula>
    </cfRule>
  </conditionalFormatting>
  <conditionalFormatting sqref="D81">
    <cfRule type="expression" dxfId="586" priority="147">
      <formula>AND($E$66="",#REF!="")</formula>
    </cfRule>
  </conditionalFormatting>
  <conditionalFormatting sqref="D96">
    <cfRule type="expression" dxfId="585" priority="143">
      <formula>AND($E$66="",#REF!="")</formula>
    </cfRule>
  </conditionalFormatting>
  <conditionalFormatting sqref="D111">
    <cfRule type="expression" dxfId="584" priority="142">
      <formula>AND($E$66="",#REF!="")</formula>
    </cfRule>
  </conditionalFormatting>
  <conditionalFormatting sqref="D126">
    <cfRule type="expression" dxfId="583" priority="141">
      <formula>AND($E$66="",#REF!="")</formula>
    </cfRule>
  </conditionalFormatting>
  <conditionalFormatting sqref="D141">
    <cfRule type="expression" dxfId="582" priority="140">
      <formula>AND($E$66="",#REF!="")</formula>
    </cfRule>
  </conditionalFormatting>
  <conditionalFormatting sqref="D156 D186 D201 D216 D351">
    <cfRule type="expression" dxfId="581" priority="139">
      <formula>AND($E$66="",#REF!="")</formula>
    </cfRule>
  </conditionalFormatting>
  <conditionalFormatting sqref="D171">
    <cfRule type="expression" dxfId="580" priority="138">
      <formula>AND($E$66="",#REF!="")</formula>
    </cfRule>
  </conditionalFormatting>
  <conditionalFormatting sqref="D231">
    <cfRule type="expression" dxfId="579" priority="68">
      <formula>AND($E$66="",#REF!="")</formula>
    </cfRule>
  </conditionalFormatting>
  <conditionalFormatting sqref="D246">
    <cfRule type="expression" dxfId="578" priority="66">
      <formula>AND($E$66="",#REF!="")</formula>
    </cfRule>
  </conditionalFormatting>
  <conditionalFormatting sqref="D261">
    <cfRule type="expression" dxfId="577" priority="65">
      <formula>AND($E$66="",#REF!="")</formula>
    </cfRule>
  </conditionalFormatting>
  <conditionalFormatting sqref="D276 D291 D306 D321">
    <cfRule type="expression" dxfId="576" priority="64">
      <formula>AND($E$66="",#REF!="")</formula>
    </cfRule>
  </conditionalFormatting>
  <conditionalFormatting sqref="D336">
    <cfRule type="expression" dxfId="575" priority="57">
      <formula>AND($E$66="",#REF!="")</formula>
    </cfRule>
  </conditionalFormatting>
  <conditionalFormatting sqref="E32">
    <cfRule type="expression" dxfId="574" priority="805">
      <formula>OR($N$16="N",H66="Price change")</formula>
    </cfRule>
  </conditionalFormatting>
  <conditionalFormatting sqref="E33">
    <cfRule type="expression" dxfId="573" priority="806">
      <formula>OR($N$17="N",H66="Price change")</formula>
    </cfRule>
  </conditionalFormatting>
  <conditionalFormatting sqref="E34">
    <cfRule type="expression" dxfId="572" priority="807">
      <formula>$N$21="N"</formula>
    </cfRule>
  </conditionalFormatting>
  <conditionalFormatting sqref="E35">
    <cfRule type="expression" dxfId="571" priority="808">
      <formula>$N$22="N"</formula>
    </cfRule>
  </conditionalFormatting>
  <conditionalFormatting sqref="E46">
    <cfRule type="expression" dxfId="570" priority="313">
      <formula>OR($K$7="No",$K$7="")</formula>
    </cfRule>
  </conditionalFormatting>
  <conditionalFormatting sqref="E62">
    <cfRule type="expression" dxfId="569" priority="118">
      <formula>$E$62&lt;&gt;""</formula>
    </cfRule>
  </conditionalFormatting>
  <conditionalFormatting sqref="E63">
    <cfRule type="expression" dxfId="568" priority="117">
      <formula>$E$63&lt;&gt;""</formula>
    </cfRule>
  </conditionalFormatting>
  <conditionalFormatting sqref="E66 H66:H69 J67 E68:E77">
    <cfRule type="expression" dxfId="567" priority="146">
      <formula>$D$66=""</formula>
    </cfRule>
  </conditionalFormatting>
  <conditionalFormatting sqref="E81 H81:H84 J82 E83:E92">
    <cfRule type="expression" dxfId="566" priority="145">
      <formula>$D$81=""</formula>
    </cfRule>
  </conditionalFormatting>
  <conditionalFormatting sqref="E96 H96:H99 J97 E98:E107">
    <cfRule type="expression" dxfId="565" priority="144">
      <formula>$D$96=""</formula>
    </cfRule>
  </conditionalFormatting>
  <conditionalFormatting sqref="E111 H111:H114 J112 E113:E122">
    <cfRule type="expression" dxfId="564" priority="131">
      <formula>$D$111=""</formula>
    </cfRule>
  </conditionalFormatting>
  <conditionalFormatting sqref="E126 H126:H129 J127 E128:E137">
    <cfRule type="expression" dxfId="563" priority="95">
      <formula>$D$126=""</formula>
    </cfRule>
  </conditionalFormatting>
  <conditionalFormatting sqref="E141 H141:H144 J142 E143:E152">
    <cfRule type="expression" dxfId="562" priority="129">
      <formula>$D$141=""</formula>
    </cfRule>
  </conditionalFormatting>
  <conditionalFormatting sqref="E156 H156:H159 J157 E158:E167">
    <cfRule type="expression" dxfId="561" priority="128">
      <formula>$D$156=""</formula>
    </cfRule>
  </conditionalFormatting>
  <conditionalFormatting sqref="E171 H171:H174 J172 E173:E182">
    <cfRule type="expression" dxfId="560" priority="127">
      <formula>$D$171=""</formula>
    </cfRule>
  </conditionalFormatting>
  <conditionalFormatting sqref="E186 H186:H189 J187 E188:E197">
    <cfRule type="expression" dxfId="559" priority="126">
      <formula>$D$186=""</formula>
    </cfRule>
  </conditionalFormatting>
  <conditionalFormatting sqref="E201 H201:H204 J202 E203:E212">
    <cfRule type="expression" dxfId="558" priority="125">
      <formula>$D$201=""</formula>
    </cfRule>
  </conditionalFormatting>
  <conditionalFormatting sqref="E216 H216:H219 J217 E218:E227">
    <cfRule type="expression" dxfId="557" priority="124">
      <formula>$D$216=""</formula>
    </cfRule>
  </conditionalFormatting>
  <conditionalFormatting sqref="E231 H231:H234 J232 E233:E242">
    <cfRule type="expression" dxfId="556" priority="67">
      <formula>$D$231=""</formula>
    </cfRule>
  </conditionalFormatting>
  <conditionalFormatting sqref="E246 H246:H249 J247 E248:E257">
    <cfRule type="expression" dxfId="555" priority="63">
      <formula>$D$246=""</formula>
    </cfRule>
  </conditionalFormatting>
  <conditionalFormatting sqref="E261 H261:H264 J262 E263:E272">
    <cfRule type="expression" dxfId="554" priority="62">
      <formula>$D$261=""</formula>
    </cfRule>
  </conditionalFormatting>
  <conditionalFormatting sqref="E276 H276:H279 J277 E278:E287">
    <cfRule type="expression" dxfId="553" priority="61">
      <formula>$D$276=""</formula>
    </cfRule>
  </conditionalFormatting>
  <conditionalFormatting sqref="E291 H291:H294 J292 E293:E302">
    <cfRule type="expression" dxfId="552" priority="60">
      <formula>$D$291=""</formula>
    </cfRule>
  </conditionalFormatting>
  <conditionalFormatting sqref="E306 H306:H309 J307 E308:E317">
    <cfRule type="expression" dxfId="551" priority="59">
      <formula>$D$306=""</formula>
    </cfRule>
  </conditionalFormatting>
  <conditionalFormatting sqref="E321 H321:H324 J322 E323:E332">
    <cfRule type="expression" dxfId="550" priority="58">
      <formula>$D$321=""</formula>
    </cfRule>
  </conditionalFormatting>
  <conditionalFormatting sqref="E336 H336:H339 J337 E338:E347">
    <cfRule type="expression" dxfId="549" priority="56">
      <formula>$D$336=""</formula>
    </cfRule>
  </conditionalFormatting>
  <conditionalFormatting sqref="E351 H351:H354 J352 E353:E362">
    <cfRule type="expression" dxfId="548" priority="123">
      <formula>$D$351=""</formula>
    </cfRule>
  </conditionalFormatting>
  <conditionalFormatting sqref="E367">
    <cfRule type="expression" dxfId="547" priority="298">
      <formula>OR($H$66="New",$H$81="New")</formula>
    </cfRule>
  </conditionalFormatting>
  <conditionalFormatting sqref="E396">
    <cfRule type="expression" dxfId="546" priority="277">
      <formula>$H$397&lt;&gt;"Cost-minimisation"</formula>
    </cfRule>
  </conditionalFormatting>
  <conditionalFormatting sqref="E403 H403 E405 H405 H407">
    <cfRule type="expression" dxfId="545" priority="150">
      <formula>$H$397="Price change"</formula>
    </cfRule>
  </conditionalFormatting>
  <conditionalFormatting sqref="E403">
    <cfRule type="expression" dxfId="544" priority="33">
      <formula>$J$403=""</formula>
    </cfRule>
  </conditionalFormatting>
  <conditionalFormatting sqref="E405">
    <cfRule type="expression" dxfId="543" priority="151">
      <formula>$H$66="Price change"</formula>
    </cfRule>
  </conditionalFormatting>
  <conditionalFormatting sqref="G45:H45">
    <cfRule type="expression" dxfId="542" priority="85">
      <formula>$G$45&lt;&gt;""</formula>
    </cfRule>
  </conditionalFormatting>
  <conditionalFormatting sqref="G46:H46">
    <cfRule type="expression" dxfId="541" priority="804">
      <formula>$N$46=2</formula>
    </cfRule>
    <cfRule type="expression" dxfId="540" priority="803">
      <formula>$N$46=1</formula>
    </cfRule>
  </conditionalFormatting>
  <conditionalFormatting sqref="G367:H367">
    <cfRule type="notContainsBlanks" dxfId="539" priority="810">
      <formula>LEN(TRIM(G367))&gt;0</formula>
    </cfRule>
  </conditionalFormatting>
  <conditionalFormatting sqref="G372:H372">
    <cfRule type="expression" dxfId="538" priority="801">
      <formula>$N$372=2</formula>
    </cfRule>
    <cfRule type="expression" dxfId="537" priority="800">
      <formula>$N$372=1</formula>
    </cfRule>
  </conditionalFormatting>
  <conditionalFormatting sqref="G391:H391">
    <cfRule type="expression" dxfId="536" priority="119">
      <formula>$G$391&lt;&gt;""</formula>
    </cfRule>
  </conditionalFormatting>
  <conditionalFormatting sqref="G412:L416">
    <cfRule type="expression" dxfId="535" priority="6">
      <formula>$N$409=0</formula>
    </cfRule>
  </conditionalFormatting>
  <conditionalFormatting sqref="H16">
    <cfRule type="cellIs" dxfId="534" priority="297" operator="equal">
      <formula>"High cost"</formula>
    </cfRule>
    <cfRule type="cellIs" dxfId="533" priority="296" operator="equal">
      <formula>"Minor cost"</formula>
    </cfRule>
    <cfRule type="cellIs" dxfId="532" priority="295" operator="equal">
      <formula>"Minor save"</formula>
    </cfRule>
    <cfRule type="cellIs" dxfId="531" priority="294" operator="equal">
      <formula>"High save"</formula>
    </cfRule>
  </conditionalFormatting>
  <conditionalFormatting sqref="H17 H19 H21">
    <cfRule type="cellIs" dxfId="530" priority="291" operator="equal">
      <formula>"Nil"</formula>
    </cfRule>
    <cfRule type="cellIs" dxfId="529" priority="293" operator="equal">
      <formula>"Cost"</formula>
    </cfRule>
    <cfRule type="cellIs" dxfId="528" priority="292" operator="equal">
      <formula>"Save"</formula>
    </cfRule>
  </conditionalFormatting>
  <conditionalFormatting sqref="H18">
    <cfRule type="cellIs" dxfId="527" priority="303" operator="equal">
      <formula>"Yes"</formula>
    </cfRule>
  </conditionalFormatting>
  <conditionalFormatting sqref="H22">
    <cfRule type="cellIs" dxfId="526" priority="290" operator="equal">
      <formula>"Yes"</formula>
    </cfRule>
  </conditionalFormatting>
  <conditionalFormatting sqref="H23">
    <cfRule type="cellIs" dxfId="525" priority="152" operator="equal">
      <formula>"Complex"</formula>
    </cfRule>
    <cfRule type="cellIs" dxfId="524" priority="153" operator="equal">
      <formula>"Additional data"</formula>
    </cfRule>
  </conditionalFormatting>
  <conditionalFormatting sqref="H25">
    <cfRule type="expression" dxfId="523" priority="96">
      <formula>$H$25="Yes"</formula>
    </cfRule>
  </conditionalFormatting>
  <conditionalFormatting sqref="H63">
    <cfRule type="cellIs" dxfId="522" priority="148" operator="equal">
      <formula>"Yes"</formula>
    </cfRule>
  </conditionalFormatting>
  <conditionalFormatting sqref="H403">
    <cfRule type="expression" dxfId="521" priority="3">
      <formula>$N$409=1</formula>
    </cfRule>
    <cfRule type="expression" dxfId="520" priority="276">
      <formula>$H$396&lt;&gt;"Epidemiology"</formula>
    </cfRule>
  </conditionalFormatting>
  <conditionalFormatting sqref="H407">
    <cfRule type="expression" dxfId="519" priority="4">
      <formula>$N$409=1</formula>
    </cfRule>
  </conditionalFormatting>
  <conditionalFormatting sqref="J68">
    <cfRule type="expression" dxfId="518" priority="29">
      <formula>$M$67&lt;2</formula>
    </cfRule>
  </conditionalFormatting>
  <conditionalFormatting sqref="J83">
    <cfRule type="expression" dxfId="517" priority="28">
      <formula>$M$82&lt;2</formula>
    </cfRule>
  </conditionalFormatting>
  <conditionalFormatting sqref="J98">
    <cfRule type="expression" dxfId="516" priority="27">
      <formula>$M$97&lt;2</formula>
    </cfRule>
  </conditionalFormatting>
  <conditionalFormatting sqref="J113">
    <cfRule type="expression" dxfId="515" priority="26">
      <formula>$M$112&lt;2</formula>
    </cfRule>
  </conditionalFormatting>
  <conditionalFormatting sqref="J128">
    <cfRule type="expression" dxfId="514" priority="25">
      <formula>$M$127&lt;2</formula>
    </cfRule>
  </conditionalFormatting>
  <conditionalFormatting sqref="J143">
    <cfRule type="expression" dxfId="513" priority="24">
      <formula>$M$142&lt;2</formula>
    </cfRule>
  </conditionalFormatting>
  <conditionalFormatting sqref="J158">
    <cfRule type="expression" dxfId="512" priority="23">
      <formula>$M$157&lt;2</formula>
    </cfRule>
  </conditionalFormatting>
  <conditionalFormatting sqref="J173">
    <cfRule type="expression" dxfId="511" priority="22">
      <formula>$M$172&lt;2</formula>
    </cfRule>
  </conditionalFormatting>
  <conditionalFormatting sqref="J188">
    <cfRule type="expression" dxfId="510" priority="21">
      <formula>$M$187&lt;2</formula>
    </cfRule>
  </conditionalFormatting>
  <conditionalFormatting sqref="J203">
    <cfRule type="expression" dxfId="509" priority="20">
      <formula>$M$202&lt;2</formula>
    </cfRule>
  </conditionalFormatting>
  <conditionalFormatting sqref="J218">
    <cfRule type="expression" dxfId="508" priority="19">
      <formula>$M$217&lt;2</formula>
    </cfRule>
  </conditionalFormatting>
  <conditionalFormatting sqref="J233">
    <cfRule type="expression" dxfId="507" priority="18">
      <formula>$M$232&lt;2</formula>
    </cfRule>
  </conditionalFormatting>
  <conditionalFormatting sqref="J248">
    <cfRule type="expression" dxfId="506" priority="17">
      <formula>$M$247&lt;2</formula>
    </cfRule>
  </conditionalFormatting>
  <conditionalFormatting sqref="J263">
    <cfRule type="expression" dxfId="505" priority="16">
      <formula>$M$262&lt;2</formula>
    </cfRule>
  </conditionalFormatting>
  <conditionalFormatting sqref="J278">
    <cfRule type="expression" dxfId="504" priority="15">
      <formula>$M$277&lt;2</formula>
    </cfRule>
  </conditionalFormatting>
  <conditionalFormatting sqref="J293">
    <cfRule type="expression" dxfId="503" priority="14">
      <formula>$M$292&lt;2</formula>
    </cfRule>
  </conditionalFormatting>
  <conditionalFormatting sqref="J308">
    <cfRule type="expression" dxfId="502" priority="13">
      <formula>$M$307&lt;2</formula>
    </cfRule>
  </conditionalFormatting>
  <conditionalFormatting sqref="J323">
    <cfRule type="expression" dxfId="501" priority="12">
      <formula>$M$322&lt;2</formula>
    </cfRule>
  </conditionalFormatting>
  <conditionalFormatting sqref="J338">
    <cfRule type="expression" dxfId="500" priority="11">
      <formula>$M$337&lt;2</formula>
    </cfRule>
  </conditionalFormatting>
  <conditionalFormatting sqref="J353">
    <cfRule type="expression" dxfId="499" priority="10">
      <formula>$M$352&lt;2</formula>
    </cfRule>
  </conditionalFormatting>
  <conditionalFormatting sqref="J9:K9">
    <cfRule type="expression" dxfId="498" priority="809">
      <formula>AND($N$9&lt;&gt;1,$N$9&lt;&gt;2)</formula>
    </cfRule>
  </conditionalFormatting>
  <conditionalFormatting sqref="J403:K403">
    <cfRule type="expression" dxfId="497" priority="149">
      <formula>$J$403&lt;&gt;""</formula>
    </cfRule>
  </conditionalFormatting>
  <conditionalFormatting sqref="K7">
    <cfRule type="cellIs" dxfId="496" priority="302" operator="equal">
      <formula>"Yes"</formula>
    </cfRule>
  </conditionalFormatting>
  <conditionalFormatting sqref="K17 K407 L412:L416">
    <cfRule type="expression" dxfId="495" priority="133">
      <formula>$K$396&lt;&gt;"Yes"</formula>
    </cfRule>
  </conditionalFormatting>
  <conditionalFormatting sqref="K21:K25">
    <cfRule type="cellIs" dxfId="494" priority="88" operator="equal">
      <formula>"No"</formula>
    </cfRule>
  </conditionalFormatting>
  <conditionalFormatting sqref="K396:K398">
    <cfRule type="cellIs" dxfId="493" priority="251" operator="equal">
      <formula>"Yes"</formula>
    </cfRule>
  </conditionalFormatting>
  <conditionalFormatting sqref="K398">
    <cfRule type="expression" dxfId="492" priority="154">
      <formula>AND($K$398="Yes",$K$397="No")</formula>
    </cfRule>
    <cfRule type="expression" dxfId="491" priority="86">
      <formula>$K$397&lt;&gt;"Yes"</formula>
    </cfRule>
  </conditionalFormatting>
  <conditionalFormatting sqref="K399">
    <cfRule type="expression" dxfId="490" priority="1">
      <formula>$K$398&lt;&gt;"Yes"</formula>
    </cfRule>
  </conditionalFormatting>
  <conditionalFormatting sqref="K409">
    <cfRule type="cellIs" dxfId="489" priority="7" operator="equal">
      <formula>"Yes"</formula>
    </cfRule>
  </conditionalFormatting>
  <dataValidations count="16">
    <dataValidation type="list" allowBlank="1" showInputMessage="1" showErrorMessage="1" sqref="D66 D81 D96 D111 D126 D141 D156 D171 D186 D201 D216 D351 D231 D246 D261 D276 D291 D306 D321 D336" xr:uid="{00000000-0002-0000-0100-000000000000}">
      <formula1>Programme</formula1>
    </dataValidation>
    <dataValidation type="list" allowBlank="1" showInputMessage="1" showErrorMessage="1" sqref="H23 K19" xr:uid="{00000000-0002-0000-0100-000001000000}">
      <formula1>Reporting</formula1>
    </dataValidation>
    <dataValidation type="list" allowBlank="1" showInputMessage="1" showErrorMessage="1" sqref="H7" xr:uid="{00000000-0002-0000-0100-000002000000}">
      <formula1>PBACMeetingDate</formula1>
    </dataValidation>
    <dataValidation type="list" allowBlank="1" showInputMessage="1" showErrorMessage="1" sqref="K8" xr:uid="{00000000-0002-0000-0100-000003000000}">
      <formula1>CalendarYear</formula1>
    </dataValidation>
    <dataValidation type="list" allowBlank="1" showInputMessage="1" showErrorMessage="1" sqref="H9" xr:uid="{00000000-0002-0000-0100-000004000000}">
      <formula1>SubmissionType</formula1>
    </dataValidation>
    <dataValidation type="list" allowBlank="1" showInputMessage="1" showErrorMessage="1" sqref="H397" xr:uid="{00000000-0002-0000-0100-000005000000}">
      <formula1>EconomicAnalysis</formula1>
    </dataValidation>
    <dataValidation type="list" allowBlank="1" showInputMessage="1" showErrorMessage="1" sqref="H66 H81 H96 H216 H111 H126 H141 H156 H171 H186 H201 H351 H231 H321 H246 H261 H276 H291 H306 H336" xr:uid="{00000000-0002-0000-0100-000006000000}">
      <formula1>ListingType</formula1>
    </dataValidation>
    <dataValidation type="list" allowBlank="1" showInputMessage="1" showErrorMessage="1" sqref="K7 H63 H18 K396:K398 K21:K25 K409" xr:uid="{00000000-0002-0000-0100-000007000000}">
      <formula1>Switch</formula1>
    </dataValidation>
    <dataValidation type="list" allowBlank="1" showInputMessage="1" showErrorMessage="1" sqref="E112" xr:uid="{00000000-0002-0000-0100-000008000000}">
      <formula1>ProgrammeLong</formula1>
    </dataValidation>
    <dataValidation type="list" allowBlank="1" showInputMessage="1" showErrorMessage="1" sqref="K367:M367" xr:uid="{00000000-0002-0000-0100-000009000000}">
      <formula1>"Yes,No"</formula1>
    </dataValidation>
    <dataValidation type="list" allowBlank="1" showInputMessage="1" showErrorMessage="1" sqref="H405" xr:uid="{00000000-0002-0000-0100-00000A000000}">
      <formula1>CalculationMethod</formula1>
    </dataValidation>
    <dataValidation type="list" allowBlank="1" showInputMessage="1" showErrorMessage="1" sqref="E68 E83 E98 E113 E128 E143 E158 E173 E188 E203 E218 E353 E233 E248 E263 E278 E293 E308 E323 E338" xr:uid="{00000000-0002-0000-0100-00000B000000}">
      <formula1>TPLong</formula1>
    </dataValidation>
    <dataValidation type="list" allowBlank="1" showInputMessage="1" showErrorMessage="1" sqref="J67 J82 J97 J112 J127 J142 J157 J172 J187 J202 J217 J232 J247 J262 J277 J292 J307 J322 J337 J352" xr:uid="{00000000-0002-0000-0100-00000C000000}">
      <formula1>Authority</formula1>
    </dataValidation>
    <dataValidation type="list" allowBlank="1" showInputMessage="1" showErrorMessage="1" sqref="J68 J83 J98 J113 J128 J143 J158 J173 J188 J203 J218 J233 J248 J263 J278 J293 J308 J323 J338 J353" xr:uid="{00000000-0002-0000-0100-00000D000000}">
      <formula1>Electronic</formula1>
    </dataValidation>
    <dataValidation type="whole" allowBlank="1" showInputMessage="1" showErrorMessage="1" sqref="H62" xr:uid="{00000000-0002-0000-0100-00000E000000}">
      <formula1>1</formula1>
      <formula2>20</formula2>
    </dataValidation>
    <dataValidation type="list" allowBlank="1" showInputMessage="1" showErrorMessage="1" sqref="K9" xr:uid="{00000000-0002-0000-0100-00000F000000}">
      <formula1>SubResubType</formula1>
    </dataValidation>
  </dataValidations>
  <pageMargins left="3.937007874015748E-2" right="3.937007874015748E-2" top="0.55118110236220474" bottom="0.74803149606299213" header="0.31496062992125984" footer="0.31496062992125984"/>
  <pageSetup paperSize="9" scale="49" orientation="portrait" r:id="rId1"/>
  <headerFooter>
    <oddHeader>&amp;C&amp;"Calibri"&amp;12&amp;KFF0000 OFFICIAL&amp;1#_x000D_</oddHeader>
    <oddFooter>&amp;C_x000D_&amp;1#&amp;"Calibri"&amp;12&amp;KFF0000 OFFICIAL</oddFooter>
  </headerFooter>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22">
    <tabColor theme="6"/>
  </sheetPr>
  <dimension ref="A1:AD398"/>
  <sheetViews>
    <sheetView showGridLines="0" zoomScaleNormal="100" workbookViewId="0"/>
  </sheetViews>
  <sheetFormatPr defaultRowHeight="12.75" customHeight="1" outlineLevelRow="1" x14ac:dyDescent="0.2"/>
  <cols>
    <col min="1" max="1" width="3.7109375" customWidth="1"/>
    <col min="2" max="3" width="3.7109375" hidden="1" customWidth="1"/>
    <col min="4" max="4" width="35.7109375" customWidth="1"/>
    <col min="5" max="17" width="10.7109375" customWidth="1"/>
    <col min="18" max="18" width="3.7109375" customWidth="1"/>
    <col min="19" max="20" width="10.7109375" customWidth="1"/>
    <col min="21" max="21" width="3.7109375" customWidth="1"/>
    <col min="22" max="22" width="3.7109375" hidden="1" customWidth="1"/>
    <col min="23" max="24" width="10.7109375" hidden="1" customWidth="1"/>
    <col min="25" max="25" width="3.7109375" customWidth="1"/>
    <col min="26" max="32" width="10.7109375" customWidth="1"/>
  </cols>
  <sheetData>
    <row r="1" spans="1:30" ht="23.25" x14ac:dyDescent="0.2">
      <c r="A1" s="97">
        <f>IF((SUM(F8:K17)&lt;&gt;0),2,0)</f>
        <v>0</v>
      </c>
      <c r="B1" s="97"/>
      <c r="C1" s="107"/>
      <c r="D1" s="106" t="s">
        <v>1003</v>
      </c>
      <c r="E1" s="107"/>
      <c r="F1" s="107"/>
      <c r="G1" s="107"/>
      <c r="H1" s="107"/>
      <c r="I1" s="107"/>
      <c r="J1" s="107"/>
      <c r="K1" s="107"/>
      <c r="L1" s="107"/>
      <c r="M1" s="107"/>
      <c r="N1" s="108"/>
      <c r="O1" s="108"/>
      <c r="P1" s="108"/>
      <c r="Q1" s="108"/>
      <c r="R1" s="108"/>
      <c r="S1" s="108"/>
      <c r="T1" s="108"/>
      <c r="U1" s="108"/>
      <c r="V1" s="108"/>
      <c r="W1" s="108"/>
      <c r="X1" s="108"/>
      <c r="Y1" s="108"/>
      <c r="Z1" s="108"/>
      <c r="AA1" s="108"/>
      <c r="AB1" s="587" t="str">
        <f>IF(A1=0,MsgNotUsed,"")</f>
        <v>** NOT USED **</v>
      </c>
      <c r="AC1" s="587"/>
      <c r="AD1" s="587"/>
    </row>
    <row r="2" spans="1:30" ht="15.75" x14ac:dyDescent="0.2">
      <c r="A2" s="107"/>
      <c r="B2" s="107"/>
      <c r="C2" s="107"/>
      <c r="D2" s="100" t="str">
        <f>CONCATENATE("Name of medicine: ", MedicineBrand)</f>
        <v xml:space="preserve">Name of medicine: </v>
      </c>
      <c r="E2" s="107"/>
      <c r="F2" s="107"/>
      <c r="G2" s="107"/>
      <c r="H2" s="107"/>
      <c r="I2" s="107"/>
      <c r="J2" s="107"/>
      <c r="K2" s="107"/>
      <c r="L2" s="107"/>
      <c r="M2" s="107"/>
      <c r="N2" s="108"/>
      <c r="O2" s="108"/>
      <c r="P2" s="108"/>
      <c r="Q2" s="108"/>
      <c r="R2" s="108"/>
      <c r="S2" s="108"/>
      <c r="T2" s="108"/>
      <c r="U2" s="108"/>
      <c r="V2" s="108"/>
      <c r="W2" s="108"/>
      <c r="X2" s="108"/>
      <c r="Y2" s="108"/>
      <c r="Z2" s="108"/>
      <c r="AA2" s="108"/>
      <c r="AB2" s="108"/>
      <c r="AC2" s="108"/>
      <c r="AD2" s="108"/>
    </row>
    <row r="3" spans="1:30" ht="15.75" x14ac:dyDescent="0.2">
      <c r="A3" s="107"/>
      <c r="B3" s="107"/>
      <c r="C3" s="107"/>
      <c r="D3" s="100" t="str">
        <f>CONCATENATE("Indication: ",Indication)</f>
        <v xml:space="preserve">Indication: </v>
      </c>
      <c r="E3" s="107"/>
      <c r="F3" s="107"/>
      <c r="G3" s="107"/>
      <c r="H3" s="107"/>
      <c r="I3" s="107"/>
      <c r="J3" s="107"/>
      <c r="K3" s="107"/>
      <c r="L3" s="107"/>
      <c r="M3" s="107"/>
      <c r="N3" s="108"/>
      <c r="O3" s="108"/>
      <c r="P3" s="108"/>
      <c r="Q3" s="108"/>
      <c r="R3" s="108"/>
      <c r="S3" s="108"/>
      <c r="T3" s="108"/>
      <c r="U3" s="108"/>
      <c r="V3" s="108"/>
      <c r="W3" s="108"/>
      <c r="X3" s="108"/>
      <c r="Y3" s="108"/>
      <c r="Z3" s="108"/>
      <c r="AA3" s="108"/>
      <c r="AB3" s="108"/>
      <c r="AC3" s="108"/>
      <c r="AD3" s="108"/>
    </row>
    <row r="5" spans="1:30" ht="15.75" x14ac:dyDescent="0.2">
      <c r="D5" s="111" t="s">
        <v>866</v>
      </c>
      <c r="E5" s="113"/>
      <c r="F5" s="113"/>
      <c r="G5" s="113"/>
      <c r="H5" s="113"/>
      <c r="I5" s="113"/>
      <c r="J5" s="113"/>
      <c r="K5" s="113"/>
      <c r="L5" s="113"/>
      <c r="M5" s="113"/>
      <c r="N5" s="113"/>
      <c r="O5" s="113"/>
      <c r="P5" s="113"/>
      <c r="Q5" s="113"/>
      <c r="R5" s="113"/>
      <c r="S5" s="113"/>
      <c r="T5" s="113"/>
      <c r="U5" s="113"/>
      <c r="V5" s="113"/>
      <c r="W5" s="113"/>
      <c r="X5" s="113"/>
      <c r="Y5" s="113"/>
      <c r="Z5" s="113"/>
      <c r="AA5" s="113"/>
      <c r="AB5" s="113"/>
      <c r="AC5" s="113"/>
      <c r="AD5" s="113"/>
    </row>
    <row r="6" spans="1:30" hidden="1" x14ac:dyDescent="0.2"/>
    <row r="7" spans="1:30" hidden="1" x14ac:dyDescent="0.2">
      <c r="B7" s="1"/>
      <c r="C7" s="1"/>
      <c r="D7" s="450"/>
      <c r="E7" s="452"/>
      <c r="F7" s="71">
        <f>FirstYear</f>
        <v>2026</v>
      </c>
      <c r="G7" s="74">
        <f>F7+1</f>
        <v>2027</v>
      </c>
      <c r="H7" s="74">
        <f>G7+1</f>
        <v>2028</v>
      </c>
      <c r="I7" s="74">
        <f>H7+1</f>
        <v>2029</v>
      </c>
      <c r="J7" s="74">
        <f>I7+1</f>
        <v>2030</v>
      </c>
      <c r="K7" s="74">
        <f>J7+1</f>
        <v>2031</v>
      </c>
    </row>
    <row r="8" spans="1:30" hidden="1" x14ac:dyDescent="0.2">
      <c r="B8" s="1"/>
      <c r="C8" s="1"/>
      <c r="E8" s="451">
        <v>1</v>
      </c>
      <c r="F8" s="153">
        <f t="shared" ref="F8:K8" si="0">L54</f>
        <v>0</v>
      </c>
      <c r="G8" s="153">
        <f t="shared" si="0"/>
        <v>0</v>
      </c>
      <c r="H8" s="153">
        <f t="shared" si="0"/>
        <v>0</v>
      </c>
      <c r="I8" s="153">
        <f t="shared" si="0"/>
        <v>0</v>
      </c>
      <c r="J8" s="153">
        <f t="shared" si="0"/>
        <v>0</v>
      </c>
      <c r="K8" s="153">
        <f t="shared" si="0"/>
        <v>0</v>
      </c>
    </row>
    <row r="9" spans="1:30" hidden="1" x14ac:dyDescent="0.2">
      <c r="B9" s="1"/>
      <c r="C9" s="1"/>
      <c r="E9" s="451">
        <v>2</v>
      </c>
      <c r="F9" s="153">
        <f t="shared" ref="F9:K9" si="1">L92</f>
        <v>0</v>
      </c>
      <c r="G9" s="153">
        <f t="shared" si="1"/>
        <v>0</v>
      </c>
      <c r="H9" s="153">
        <f t="shared" si="1"/>
        <v>0</v>
      </c>
      <c r="I9" s="153">
        <f t="shared" si="1"/>
        <v>0</v>
      </c>
      <c r="J9" s="153">
        <f t="shared" si="1"/>
        <v>0</v>
      </c>
      <c r="K9" s="153">
        <f t="shared" si="1"/>
        <v>0</v>
      </c>
    </row>
    <row r="10" spans="1:30" hidden="1" x14ac:dyDescent="0.2">
      <c r="B10" s="1"/>
      <c r="C10" s="1"/>
      <c r="E10" s="451">
        <v>3</v>
      </c>
      <c r="F10" s="153">
        <f t="shared" ref="F10:K10" si="2">L130</f>
        <v>0</v>
      </c>
      <c r="G10" s="153">
        <f t="shared" si="2"/>
        <v>0</v>
      </c>
      <c r="H10" s="153">
        <f t="shared" si="2"/>
        <v>0</v>
      </c>
      <c r="I10" s="153">
        <f t="shared" si="2"/>
        <v>0</v>
      </c>
      <c r="J10" s="153">
        <f t="shared" si="2"/>
        <v>0</v>
      </c>
      <c r="K10" s="153">
        <f t="shared" si="2"/>
        <v>0</v>
      </c>
    </row>
    <row r="11" spans="1:30" hidden="1" x14ac:dyDescent="0.2">
      <c r="B11" s="1"/>
      <c r="C11" s="1"/>
      <c r="E11" s="451">
        <v>4</v>
      </c>
      <c r="F11" s="153">
        <f t="shared" ref="F11:K11" si="3">L168</f>
        <v>0</v>
      </c>
      <c r="G11" s="153">
        <f t="shared" si="3"/>
        <v>0</v>
      </c>
      <c r="H11" s="153">
        <f t="shared" si="3"/>
        <v>0</v>
      </c>
      <c r="I11" s="153">
        <f t="shared" si="3"/>
        <v>0</v>
      </c>
      <c r="J11" s="153">
        <f t="shared" si="3"/>
        <v>0</v>
      </c>
      <c r="K11" s="153">
        <f t="shared" si="3"/>
        <v>0</v>
      </c>
    </row>
    <row r="12" spans="1:30" hidden="1" x14ac:dyDescent="0.2">
      <c r="B12" s="1"/>
      <c r="C12" s="1"/>
      <c r="E12" s="451">
        <v>5</v>
      </c>
      <c r="F12" s="153">
        <f t="shared" ref="F12:K12" si="4">L206</f>
        <v>0</v>
      </c>
      <c r="G12" s="153">
        <f t="shared" si="4"/>
        <v>0</v>
      </c>
      <c r="H12" s="153">
        <f t="shared" si="4"/>
        <v>0</v>
      </c>
      <c r="I12" s="153">
        <f t="shared" si="4"/>
        <v>0</v>
      </c>
      <c r="J12" s="153">
        <f t="shared" si="4"/>
        <v>0</v>
      </c>
      <c r="K12" s="153">
        <f t="shared" si="4"/>
        <v>0</v>
      </c>
    </row>
    <row r="13" spans="1:30" hidden="1" x14ac:dyDescent="0.2">
      <c r="B13" s="1"/>
      <c r="C13" s="1"/>
      <c r="E13" s="451">
        <v>6</v>
      </c>
      <c r="F13" s="153">
        <f t="shared" ref="F13:K13" si="5">L244</f>
        <v>0</v>
      </c>
      <c r="G13" s="153">
        <f t="shared" si="5"/>
        <v>0</v>
      </c>
      <c r="H13" s="153">
        <f t="shared" si="5"/>
        <v>0</v>
      </c>
      <c r="I13" s="153">
        <f t="shared" si="5"/>
        <v>0</v>
      </c>
      <c r="J13" s="153">
        <f t="shared" si="5"/>
        <v>0</v>
      </c>
      <c r="K13" s="153">
        <f t="shared" si="5"/>
        <v>0</v>
      </c>
    </row>
    <row r="14" spans="1:30" hidden="1" x14ac:dyDescent="0.2">
      <c r="B14" s="1"/>
      <c r="C14" s="1"/>
      <c r="E14" s="451">
        <v>7</v>
      </c>
      <c r="F14" s="153">
        <f t="shared" ref="F14:K14" si="6">L282</f>
        <v>0</v>
      </c>
      <c r="G14" s="153">
        <f t="shared" si="6"/>
        <v>0</v>
      </c>
      <c r="H14" s="153">
        <f t="shared" si="6"/>
        <v>0</v>
      </c>
      <c r="I14" s="153">
        <f t="shared" si="6"/>
        <v>0</v>
      </c>
      <c r="J14" s="153">
        <f t="shared" si="6"/>
        <v>0</v>
      </c>
      <c r="K14" s="153">
        <f t="shared" si="6"/>
        <v>0</v>
      </c>
    </row>
    <row r="15" spans="1:30" hidden="1" x14ac:dyDescent="0.2">
      <c r="B15" s="1"/>
      <c r="C15" s="1"/>
      <c r="E15" s="451">
        <v>8</v>
      </c>
      <c r="F15" s="153">
        <f t="shared" ref="F15:K15" si="7">L320</f>
        <v>0</v>
      </c>
      <c r="G15" s="153">
        <f t="shared" si="7"/>
        <v>0</v>
      </c>
      <c r="H15" s="153">
        <f t="shared" si="7"/>
        <v>0</v>
      </c>
      <c r="I15" s="153">
        <f t="shared" si="7"/>
        <v>0</v>
      </c>
      <c r="J15" s="153">
        <f t="shared" si="7"/>
        <v>0</v>
      </c>
      <c r="K15" s="153">
        <f t="shared" si="7"/>
        <v>0</v>
      </c>
    </row>
    <row r="16" spans="1:30" hidden="1" x14ac:dyDescent="0.2">
      <c r="B16" s="1"/>
      <c r="C16" s="1"/>
      <c r="E16" s="451">
        <v>9</v>
      </c>
      <c r="F16" s="153">
        <f t="shared" ref="F16:K16" si="8">L358</f>
        <v>0</v>
      </c>
      <c r="G16" s="153">
        <f t="shared" si="8"/>
        <v>0</v>
      </c>
      <c r="H16" s="153">
        <f t="shared" si="8"/>
        <v>0</v>
      </c>
      <c r="I16" s="153">
        <f t="shared" si="8"/>
        <v>0</v>
      </c>
      <c r="J16" s="153">
        <f t="shared" si="8"/>
        <v>0</v>
      </c>
      <c r="K16" s="153">
        <f t="shared" si="8"/>
        <v>0</v>
      </c>
    </row>
    <row r="17" spans="1:30" hidden="1" x14ac:dyDescent="0.2">
      <c r="B17" s="1"/>
      <c r="C17" s="1"/>
      <c r="E17" s="451">
        <v>10</v>
      </c>
      <c r="F17" s="153">
        <f t="shared" ref="F17:K17" si="9">L396</f>
        <v>0</v>
      </c>
      <c r="G17" s="153">
        <f t="shared" si="9"/>
        <v>0</v>
      </c>
      <c r="H17" s="153">
        <f t="shared" si="9"/>
        <v>0</v>
      </c>
      <c r="I17" s="153">
        <f t="shared" si="9"/>
        <v>0</v>
      </c>
      <c r="J17" s="153">
        <f t="shared" si="9"/>
        <v>0</v>
      </c>
      <c r="K17" s="153">
        <f t="shared" si="9"/>
        <v>0</v>
      </c>
    </row>
    <row r="18" spans="1:30" x14ac:dyDescent="0.2">
      <c r="B18" s="1"/>
      <c r="C18" s="1"/>
      <c r="D18" s="119"/>
      <c r="E18" s="453"/>
      <c r="F18" s="453"/>
      <c r="G18" s="453"/>
      <c r="H18" s="453"/>
      <c r="I18" s="453"/>
      <c r="J18" s="453"/>
      <c r="K18" s="453"/>
    </row>
    <row r="19" spans="1:30" ht="15.75" x14ac:dyDescent="0.2">
      <c r="A19" s="172"/>
      <c r="B19" s="209">
        <f>IF(G21&lt;&gt;"",1,0)</f>
        <v>0</v>
      </c>
      <c r="C19" s="209">
        <v>1</v>
      </c>
      <c r="D19" s="72" t="str">
        <f>IF(B19=0,MsgNotUsed, CONCATENATE("Persistent ", C19, ": ", G21, " (", F25, "-", Q25, ")"))</f>
        <v>** NOT USED **</v>
      </c>
      <c r="E19" s="113"/>
      <c r="F19" s="113"/>
      <c r="G19" s="113"/>
      <c r="H19" s="113"/>
      <c r="I19" s="113"/>
      <c r="J19" s="154"/>
      <c r="K19" s="113"/>
      <c r="L19" s="113"/>
      <c r="M19" s="113"/>
      <c r="N19" s="224"/>
      <c r="O19" s="224"/>
      <c r="P19" s="224"/>
      <c r="Q19" s="224"/>
      <c r="R19" s="224"/>
      <c r="S19" s="224"/>
      <c r="T19" s="224"/>
      <c r="U19" s="224"/>
      <c r="V19" s="224"/>
      <c r="W19" s="224"/>
      <c r="X19" s="224"/>
      <c r="Y19" s="224"/>
      <c r="Z19" s="224"/>
      <c r="AA19" s="224"/>
      <c r="AB19" s="224"/>
      <c r="AC19" s="224"/>
      <c r="AD19" s="224"/>
    </row>
    <row r="20" spans="1:30" ht="12.75" hidden="1" customHeight="1" outlineLevel="1" x14ac:dyDescent="0.2"/>
    <row r="21" spans="1:30" ht="12.75" hidden="1" customHeight="1" outlineLevel="1" x14ac:dyDescent="0.2">
      <c r="F21" s="37" t="s">
        <v>470</v>
      </c>
      <c r="G21" s="669"/>
      <c r="H21" s="642"/>
      <c r="I21" s="642"/>
      <c r="J21" s="642"/>
      <c r="K21" s="642"/>
      <c r="L21" s="643"/>
    </row>
    <row r="22" spans="1:30" ht="12.75" hidden="1" customHeight="1" outlineLevel="1" x14ac:dyDescent="0.2"/>
    <row r="23" spans="1:30" ht="12.75" hidden="1" customHeight="1" outlineLevel="1" x14ac:dyDescent="0.2">
      <c r="F23" s="37" t="s">
        <v>249</v>
      </c>
      <c r="G23" s="669"/>
      <c r="H23" s="642"/>
      <c r="I23" s="642"/>
      <c r="J23" s="642"/>
      <c r="K23" s="642"/>
      <c r="L23" s="643"/>
      <c r="Z23" s="542" t="str">
        <f>IF(AC25&lt;&gt;"",MsgNote &amp; VLOOKUP("PRate",WarningMessages,2),"")</f>
        <v/>
      </c>
      <c r="AA23" s="542"/>
      <c r="AB23" s="542"/>
      <c r="AC23" s="542"/>
      <c r="AD23" s="542"/>
    </row>
    <row r="24" spans="1:30" ht="12.75" hidden="1" customHeight="1" outlineLevel="1" x14ac:dyDescent="0.2">
      <c r="G24" s="400">
        <v>1</v>
      </c>
      <c r="H24" s="400">
        <v>2</v>
      </c>
      <c r="I24" s="400">
        <v>3</v>
      </c>
      <c r="J24" s="400">
        <v>4</v>
      </c>
      <c r="K24" s="400">
        <v>5</v>
      </c>
      <c r="L24" s="400">
        <v>6</v>
      </c>
      <c r="M24" s="400">
        <v>7</v>
      </c>
      <c r="N24" s="400">
        <v>8</v>
      </c>
      <c r="O24" s="400">
        <v>9</v>
      </c>
      <c r="P24" s="400">
        <v>10</v>
      </c>
      <c r="Q24" s="400">
        <v>11</v>
      </c>
    </row>
    <row r="25" spans="1:30" ht="12.75" hidden="1" customHeight="1" outlineLevel="1" x14ac:dyDescent="0.2">
      <c r="D25" s="260"/>
      <c r="E25" s="74" t="s">
        <v>1052</v>
      </c>
      <c r="F25" s="74">
        <f t="shared" ref="F25:K25" si="10">G25-1</f>
        <v>2020</v>
      </c>
      <c r="G25" s="74">
        <f t="shared" si="10"/>
        <v>2021</v>
      </c>
      <c r="H25" s="74">
        <f t="shared" si="10"/>
        <v>2022</v>
      </c>
      <c r="I25" s="74">
        <f t="shared" si="10"/>
        <v>2023</v>
      </c>
      <c r="J25" s="74">
        <f t="shared" si="10"/>
        <v>2024</v>
      </c>
      <c r="K25" s="74">
        <f t="shared" si="10"/>
        <v>2025</v>
      </c>
      <c r="L25" s="74">
        <f>FirstYear</f>
        <v>2026</v>
      </c>
      <c r="M25" s="74">
        <f>L25+1</f>
        <v>2027</v>
      </c>
      <c r="N25" s="74">
        <f>M25+1</f>
        <v>2028</v>
      </c>
      <c r="O25" s="74">
        <f>N25+1</f>
        <v>2029</v>
      </c>
      <c r="P25" s="74">
        <f>O25+1</f>
        <v>2030</v>
      </c>
      <c r="Q25" s="74">
        <f>P25+1</f>
        <v>2031</v>
      </c>
      <c r="S25" s="675" t="s">
        <v>1287</v>
      </c>
      <c r="T25" s="675"/>
      <c r="Z25" s="673" t="s">
        <v>1290</v>
      </c>
      <c r="AA25" s="673"/>
      <c r="AB25" s="673"/>
      <c r="AC25" s="210"/>
    </row>
    <row r="26" spans="1:30" ht="12.75" hidden="1" customHeight="1" outlineLevel="1" x14ac:dyDescent="0.2">
      <c r="D26" s="37" t="s">
        <v>273</v>
      </c>
      <c r="E26" s="262"/>
      <c r="F26" s="264">
        <f>E26</f>
        <v>0</v>
      </c>
      <c r="G26" s="264">
        <f t="shared" ref="G26:Q26" si="11">F26*VLOOKUP(G24,PRate01,2,FALSE)</f>
        <v>0</v>
      </c>
      <c r="H26" s="264">
        <f t="shared" si="11"/>
        <v>0</v>
      </c>
      <c r="I26" s="264">
        <f t="shared" si="11"/>
        <v>0</v>
      </c>
      <c r="J26" s="264">
        <f t="shared" si="11"/>
        <v>0</v>
      </c>
      <c r="K26" s="264">
        <f t="shared" si="11"/>
        <v>0</v>
      </c>
      <c r="L26" s="264">
        <f t="shared" si="11"/>
        <v>0</v>
      </c>
      <c r="M26" s="264">
        <f t="shared" si="11"/>
        <v>0</v>
      </c>
      <c r="N26" s="264">
        <f t="shared" si="11"/>
        <v>0</v>
      </c>
      <c r="O26" s="264">
        <f t="shared" si="11"/>
        <v>0</v>
      </c>
      <c r="P26" s="264">
        <f t="shared" si="11"/>
        <v>0</v>
      </c>
      <c r="Q26" s="264">
        <f t="shared" si="11"/>
        <v>0</v>
      </c>
      <c r="S26" s="392" t="s">
        <v>992</v>
      </c>
      <c r="T26" s="393"/>
      <c r="V26" s="398">
        <v>1</v>
      </c>
      <c r="W26" s="394">
        <f t="shared" ref="W26:W36" si="12">IF($AC$25&lt;&gt;"",$AC$25,T26)</f>
        <v>0</v>
      </c>
      <c r="X26" s="394">
        <f t="shared" ref="X26:X37" si="13">IF($AC$41&lt;&gt;"",$AC$41,T42)</f>
        <v>0</v>
      </c>
      <c r="Y26" s="397"/>
      <c r="Z26" s="397"/>
      <c r="AA26" s="397"/>
    </row>
    <row r="27" spans="1:30" ht="12.75" hidden="1" customHeight="1" outlineLevel="1" x14ac:dyDescent="0.2">
      <c r="D27" s="37" t="s">
        <v>274</v>
      </c>
      <c r="E27" s="262"/>
      <c r="F27" s="261"/>
      <c r="G27" s="264">
        <f>E27</f>
        <v>0</v>
      </c>
      <c r="H27" s="264">
        <f t="shared" ref="H27:Q27" si="14">G27*VLOOKUP(G24,PRate01,2,FALSE)</f>
        <v>0</v>
      </c>
      <c r="I27" s="264">
        <f t="shared" si="14"/>
        <v>0</v>
      </c>
      <c r="J27" s="264">
        <f t="shared" si="14"/>
        <v>0</v>
      </c>
      <c r="K27" s="264">
        <f t="shared" si="14"/>
        <v>0</v>
      </c>
      <c r="L27" s="264">
        <f t="shared" si="14"/>
        <v>0</v>
      </c>
      <c r="M27" s="264">
        <f t="shared" si="14"/>
        <v>0</v>
      </c>
      <c r="N27" s="264">
        <f t="shared" si="14"/>
        <v>0</v>
      </c>
      <c r="O27" s="264">
        <f t="shared" si="14"/>
        <v>0</v>
      </c>
      <c r="P27" s="264">
        <f t="shared" si="14"/>
        <v>0</v>
      </c>
      <c r="Q27" s="264">
        <f t="shared" si="14"/>
        <v>0</v>
      </c>
      <c r="S27" s="37" t="s">
        <v>993</v>
      </c>
      <c r="T27" s="210"/>
      <c r="V27" s="398">
        <v>2</v>
      </c>
      <c r="W27" s="394">
        <f t="shared" si="12"/>
        <v>0</v>
      </c>
      <c r="X27" s="394">
        <f t="shared" si="13"/>
        <v>0</v>
      </c>
      <c r="Z27" s="37" t="s">
        <v>249</v>
      </c>
      <c r="AA27" s="575"/>
      <c r="AB27" s="575"/>
      <c r="AC27" s="575"/>
      <c r="AD27" s="575"/>
    </row>
    <row r="28" spans="1:30" ht="12.75" hidden="1" customHeight="1" outlineLevel="1" x14ac:dyDescent="0.2">
      <c r="D28" s="37" t="s">
        <v>275</v>
      </c>
      <c r="E28" s="262"/>
      <c r="F28" s="261"/>
      <c r="G28" s="261"/>
      <c r="H28" s="264">
        <f>E28</f>
        <v>0</v>
      </c>
      <c r="I28" s="264">
        <f t="shared" ref="I28:Q28" si="15">H28*VLOOKUP(G24,PRate01,2,FALSE)</f>
        <v>0</v>
      </c>
      <c r="J28" s="264">
        <f t="shared" si="15"/>
        <v>0</v>
      </c>
      <c r="K28" s="264">
        <f t="shared" si="15"/>
        <v>0</v>
      </c>
      <c r="L28" s="264">
        <f t="shared" si="15"/>
        <v>0</v>
      </c>
      <c r="M28" s="264">
        <f t="shared" si="15"/>
        <v>0</v>
      </c>
      <c r="N28" s="264">
        <f t="shared" si="15"/>
        <v>0</v>
      </c>
      <c r="O28" s="264">
        <f t="shared" si="15"/>
        <v>0</v>
      </c>
      <c r="P28" s="264">
        <f t="shared" si="15"/>
        <v>0</v>
      </c>
      <c r="Q28" s="264">
        <f t="shared" si="15"/>
        <v>0</v>
      </c>
      <c r="S28" s="37" t="s">
        <v>994</v>
      </c>
      <c r="T28" s="210"/>
      <c r="V28" s="398">
        <v>3</v>
      </c>
      <c r="W28" s="394">
        <f t="shared" si="12"/>
        <v>0</v>
      </c>
      <c r="X28" s="394">
        <f t="shared" si="13"/>
        <v>0</v>
      </c>
      <c r="Y28" s="397"/>
      <c r="Z28" s="397"/>
      <c r="AA28" s="397"/>
    </row>
    <row r="29" spans="1:30" ht="12.75" hidden="1" customHeight="1" outlineLevel="1" x14ac:dyDescent="0.2">
      <c r="D29" s="37" t="s">
        <v>276</v>
      </c>
      <c r="E29" s="262"/>
      <c r="F29" s="261"/>
      <c r="G29" s="261"/>
      <c r="H29" s="261"/>
      <c r="I29" s="264">
        <f>E29</f>
        <v>0</v>
      </c>
      <c r="J29" s="264">
        <f t="shared" ref="J29:Q29" si="16">I29*VLOOKUP(G24,PRate01,2,FALSE)</f>
        <v>0</v>
      </c>
      <c r="K29" s="264">
        <f t="shared" si="16"/>
        <v>0</v>
      </c>
      <c r="L29" s="264">
        <f t="shared" si="16"/>
        <v>0</v>
      </c>
      <c r="M29" s="264">
        <f t="shared" si="16"/>
        <v>0</v>
      </c>
      <c r="N29" s="264">
        <f t="shared" si="16"/>
        <v>0</v>
      </c>
      <c r="O29" s="264">
        <f t="shared" si="16"/>
        <v>0</v>
      </c>
      <c r="P29" s="264">
        <f t="shared" si="16"/>
        <v>0</v>
      </c>
      <c r="Q29" s="264">
        <f t="shared" si="16"/>
        <v>0</v>
      </c>
      <c r="S29" s="37" t="s">
        <v>995</v>
      </c>
      <c r="T29" s="210"/>
      <c r="V29" s="398">
        <v>4</v>
      </c>
      <c r="W29" s="394">
        <f t="shared" si="12"/>
        <v>0</v>
      </c>
      <c r="X29" s="394">
        <f t="shared" si="13"/>
        <v>0</v>
      </c>
      <c r="Y29" s="397"/>
      <c r="Z29" s="397"/>
      <c r="AA29" s="397"/>
    </row>
    <row r="30" spans="1:30" ht="12.75" hidden="1" customHeight="1" outlineLevel="1" x14ac:dyDescent="0.2">
      <c r="D30" s="37" t="s">
        <v>277</v>
      </c>
      <c r="E30" s="262"/>
      <c r="F30" s="261"/>
      <c r="G30" s="261"/>
      <c r="H30" s="261"/>
      <c r="I30" s="261"/>
      <c r="J30" s="264">
        <f>E30</f>
        <v>0</v>
      </c>
      <c r="K30" s="264">
        <f t="shared" ref="K30:Q30" si="17">J30*VLOOKUP(G24,PRate01,2,FALSE)</f>
        <v>0</v>
      </c>
      <c r="L30" s="264">
        <f t="shared" si="17"/>
        <v>0</v>
      </c>
      <c r="M30" s="264">
        <f t="shared" si="17"/>
        <v>0</v>
      </c>
      <c r="N30" s="264">
        <f t="shared" si="17"/>
        <v>0</v>
      </c>
      <c r="O30" s="264">
        <f t="shared" si="17"/>
        <v>0</v>
      </c>
      <c r="P30" s="264">
        <f t="shared" si="17"/>
        <v>0</v>
      </c>
      <c r="Q30" s="264">
        <f t="shared" si="17"/>
        <v>0</v>
      </c>
      <c r="S30" s="37" t="s">
        <v>996</v>
      </c>
      <c r="T30" s="210"/>
      <c r="V30" s="398">
        <v>5</v>
      </c>
      <c r="W30" s="394">
        <f t="shared" si="12"/>
        <v>0</v>
      </c>
      <c r="X30" s="394">
        <f t="shared" si="13"/>
        <v>0</v>
      </c>
      <c r="Y30" s="397"/>
      <c r="Z30" s="397"/>
      <c r="AA30" s="397"/>
    </row>
    <row r="31" spans="1:30" ht="12.75" hidden="1" customHeight="1" outlineLevel="1" x14ac:dyDescent="0.2">
      <c r="D31" s="37" t="s">
        <v>278</v>
      </c>
      <c r="E31" s="262"/>
      <c r="F31" s="261"/>
      <c r="G31" s="261"/>
      <c r="H31" s="261"/>
      <c r="I31" s="261"/>
      <c r="J31" s="261"/>
      <c r="K31" s="264">
        <f>E31</f>
        <v>0</v>
      </c>
      <c r="L31" s="264">
        <f t="shared" ref="L31:Q31" si="18">K31*VLOOKUP(G24,PRate01,2,FALSE)</f>
        <v>0</v>
      </c>
      <c r="M31" s="264">
        <f t="shared" si="18"/>
        <v>0</v>
      </c>
      <c r="N31" s="264">
        <f t="shared" si="18"/>
        <v>0</v>
      </c>
      <c r="O31" s="264">
        <f t="shared" si="18"/>
        <v>0</v>
      </c>
      <c r="P31" s="264">
        <f t="shared" si="18"/>
        <v>0</v>
      </c>
      <c r="Q31" s="264">
        <f t="shared" si="18"/>
        <v>0</v>
      </c>
      <c r="S31" s="37" t="s">
        <v>997</v>
      </c>
      <c r="T31" s="210"/>
      <c r="V31" s="398">
        <v>6</v>
      </c>
      <c r="W31" s="394">
        <f t="shared" si="12"/>
        <v>0</v>
      </c>
      <c r="X31" s="394">
        <f t="shared" si="13"/>
        <v>0</v>
      </c>
      <c r="Y31" s="397"/>
      <c r="Z31" s="397"/>
      <c r="AA31" s="397"/>
    </row>
    <row r="32" spans="1:30" ht="12.75" hidden="1" customHeight="1" outlineLevel="1" x14ac:dyDescent="0.2">
      <c r="D32" s="37" t="s">
        <v>464</v>
      </c>
      <c r="E32" s="262"/>
      <c r="F32" s="261"/>
      <c r="G32" s="261"/>
      <c r="H32" s="261"/>
      <c r="I32" s="261"/>
      <c r="J32" s="261"/>
      <c r="K32" s="261"/>
      <c r="L32" s="264">
        <f>E32</f>
        <v>0</v>
      </c>
      <c r="M32" s="264">
        <f>L32*VLOOKUP(G24,PRate01,2,FALSE)</f>
        <v>0</v>
      </c>
      <c r="N32" s="264">
        <f>M32*VLOOKUP(H24,PRate01,2,FALSE)</f>
        <v>0</v>
      </c>
      <c r="O32" s="264">
        <f>N32*VLOOKUP(I24,PRate01,2,FALSE)</f>
        <v>0</v>
      </c>
      <c r="P32" s="264">
        <f>O32*VLOOKUP(J24,PRate01,2,FALSE)</f>
        <v>0</v>
      </c>
      <c r="Q32" s="264">
        <f>P32*VLOOKUP(K24,PRate01,2,FALSE)</f>
        <v>0</v>
      </c>
      <c r="S32" s="37" t="s">
        <v>998</v>
      </c>
      <c r="T32" s="210"/>
      <c r="V32" s="398">
        <v>7</v>
      </c>
      <c r="W32" s="394">
        <f t="shared" si="12"/>
        <v>0</v>
      </c>
      <c r="X32" s="394">
        <f t="shared" si="13"/>
        <v>0</v>
      </c>
      <c r="Y32" s="397"/>
      <c r="Z32" s="397"/>
      <c r="AA32" s="397"/>
    </row>
    <row r="33" spans="3:30" ht="12.75" hidden="1" customHeight="1" outlineLevel="1" x14ac:dyDescent="0.2">
      <c r="D33" s="37" t="s">
        <v>465</v>
      </c>
      <c r="E33" s="262"/>
      <c r="F33" s="261"/>
      <c r="G33" s="261"/>
      <c r="H33" s="261"/>
      <c r="I33" s="261"/>
      <c r="J33" s="261"/>
      <c r="K33" s="261"/>
      <c r="L33" s="261"/>
      <c r="M33" s="264">
        <f>E33</f>
        <v>0</v>
      </c>
      <c r="N33" s="264">
        <f>M33*VLOOKUP(G24,PRate01,2,FALSE)</f>
        <v>0</v>
      </c>
      <c r="O33" s="264">
        <f>N33*VLOOKUP(H24,PRate01,2,FALSE)</f>
        <v>0</v>
      </c>
      <c r="P33" s="264">
        <f>O33*VLOOKUP(I24,PRate01,2,FALSE)</f>
        <v>0</v>
      </c>
      <c r="Q33" s="264">
        <f>P33*VLOOKUP(J24,PRate01,2,FALSE)</f>
        <v>0</v>
      </c>
      <c r="S33" s="37" t="s">
        <v>999</v>
      </c>
      <c r="T33" s="210"/>
      <c r="V33" s="398">
        <v>8</v>
      </c>
      <c r="W33" s="394">
        <f t="shared" si="12"/>
        <v>0</v>
      </c>
      <c r="X33" s="394">
        <f t="shared" si="13"/>
        <v>0</v>
      </c>
      <c r="Y33" s="397"/>
      <c r="Z33" s="397"/>
      <c r="AA33" s="397"/>
    </row>
    <row r="34" spans="3:30" ht="12.75" hidden="1" customHeight="1" outlineLevel="1" x14ac:dyDescent="0.2">
      <c r="D34" s="37" t="s">
        <v>466</v>
      </c>
      <c r="E34" s="262"/>
      <c r="F34" s="261"/>
      <c r="G34" s="261"/>
      <c r="H34" s="261"/>
      <c r="I34" s="261"/>
      <c r="J34" s="261"/>
      <c r="K34" s="261"/>
      <c r="L34" s="261"/>
      <c r="M34" s="261"/>
      <c r="N34" s="264">
        <f>E34</f>
        <v>0</v>
      </c>
      <c r="O34" s="264">
        <f>N34*VLOOKUP(G24,PRate01,2,FALSE)</f>
        <v>0</v>
      </c>
      <c r="P34" s="264">
        <f>O34*VLOOKUP(H24,PRate01,2,FALSE)</f>
        <v>0</v>
      </c>
      <c r="Q34" s="264">
        <f>P34*VLOOKUP(I24,PRate01,2,FALSE)</f>
        <v>0</v>
      </c>
      <c r="S34" s="37" t="s">
        <v>1000</v>
      </c>
      <c r="T34" s="210"/>
      <c r="V34" s="398">
        <v>9</v>
      </c>
      <c r="W34" s="394">
        <f t="shared" si="12"/>
        <v>0</v>
      </c>
      <c r="X34" s="394">
        <f t="shared" si="13"/>
        <v>0</v>
      </c>
      <c r="Y34" s="397"/>
      <c r="Z34" s="397"/>
      <c r="AA34" s="397"/>
    </row>
    <row r="35" spans="3:30" ht="12.75" hidden="1" customHeight="1" outlineLevel="1" x14ac:dyDescent="0.2">
      <c r="D35" s="37" t="s">
        <v>467</v>
      </c>
      <c r="E35" s="262"/>
      <c r="F35" s="261"/>
      <c r="G35" s="261"/>
      <c r="H35" s="261"/>
      <c r="I35" s="261"/>
      <c r="J35" s="261"/>
      <c r="K35" s="261"/>
      <c r="L35" s="261"/>
      <c r="M35" s="261"/>
      <c r="N35" s="261"/>
      <c r="O35" s="395">
        <f>E35</f>
        <v>0</v>
      </c>
      <c r="P35" s="264">
        <f>O35*VLOOKUP(G24,PRate01,2,FALSE)</f>
        <v>0</v>
      </c>
      <c r="Q35" s="264">
        <f>P35*VLOOKUP(H24,PRate01,2,FALSE)</f>
        <v>0</v>
      </c>
      <c r="S35" s="37" t="s">
        <v>1001</v>
      </c>
      <c r="T35" s="210"/>
      <c r="V35" s="398">
        <v>10</v>
      </c>
      <c r="W35" s="394">
        <f t="shared" si="12"/>
        <v>0</v>
      </c>
      <c r="X35" s="394">
        <f t="shared" si="13"/>
        <v>0</v>
      </c>
      <c r="Y35" s="397"/>
      <c r="Z35" s="397"/>
      <c r="AA35" s="397"/>
    </row>
    <row r="36" spans="3:30" ht="12.75" hidden="1" customHeight="1" outlineLevel="1" x14ac:dyDescent="0.2">
      <c r="D36" s="37" t="s">
        <v>468</v>
      </c>
      <c r="E36" s="262"/>
      <c r="F36" s="261"/>
      <c r="G36" s="261"/>
      <c r="H36" s="261"/>
      <c r="I36" s="261"/>
      <c r="J36" s="261"/>
      <c r="K36" s="261"/>
      <c r="L36" s="261"/>
      <c r="M36" s="261"/>
      <c r="N36" s="261"/>
      <c r="O36" s="391"/>
      <c r="P36" s="395">
        <f>E36</f>
        <v>0</v>
      </c>
      <c r="Q36" s="264">
        <f>P36*VLOOKUP(G24,PRate01,2,FALSE)</f>
        <v>0</v>
      </c>
      <c r="S36" s="37" t="s">
        <v>1002</v>
      </c>
      <c r="T36" s="210"/>
      <c r="V36" s="398">
        <v>11</v>
      </c>
      <c r="W36" s="394">
        <f t="shared" si="12"/>
        <v>0</v>
      </c>
      <c r="X36" s="394">
        <f t="shared" si="13"/>
        <v>0</v>
      </c>
      <c r="Y36" s="397"/>
      <c r="Z36" s="397"/>
      <c r="AA36" s="397"/>
    </row>
    <row r="37" spans="3:30" ht="12.75" hidden="1" customHeight="1" outlineLevel="1" x14ac:dyDescent="0.2">
      <c r="D37" s="37" t="s">
        <v>469</v>
      </c>
      <c r="E37" s="262"/>
      <c r="F37" s="261"/>
      <c r="G37" s="261"/>
      <c r="H37" s="261"/>
      <c r="I37" s="261"/>
      <c r="J37" s="261"/>
      <c r="K37" s="261"/>
      <c r="L37" s="261"/>
      <c r="M37" s="261"/>
      <c r="N37" s="261"/>
      <c r="O37" s="391"/>
      <c r="P37" s="391"/>
      <c r="Q37" s="395">
        <f>E37</f>
        <v>0</v>
      </c>
      <c r="V37" s="398">
        <v>12</v>
      </c>
      <c r="W37" s="399"/>
      <c r="X37" s="394">
        <f t="shared" si="13"/>
        <v>0</v>
      </c>
      <c r="Y37" s="397"/>
      <c r="Z37" s="397"/>
      <c r="AA37" s="397"/>
    </row>
    <row r="38" spans="3:30" ht="12.75" hidden="1" customHeight="1" outlineLevel="1" x14ac:dyDescent="0.2"/>
    <row r="39" spans="3:30" ht="12.75" hidden="1" customHeight="1" outlineLevel="1" x14ac:dyDescent="0.2">
      <c r="Z39" s="542" t="str">
        <f>IF(AC41&lt;&gt;"",MsgNote &amp; VLOOKUP("PRate",WarningMessages,2),"")</f>
        <v/>
      </c>
      <c r="AA39" s="542"/>
      <c r="AB39" s="542"/>
      <c r="AC39" s="542"/>
      <c r="AD39" s="542"/>
    </row>
    <row r="40" spans="3:30" ht="12.75" hidden="1" customHeight="1" outlineLevel="1" x14ac:dyDescent="0.2">
      <c r="L40" s="121"/>
      <c r="M40" s="121"/>
      <c r="N40" s="121"/>
      <c r="O40" s="121"/>
      <c r="P40" s="121"/>
      <c r="Q40" s="121"/>
    </row>
    <row r="41" spans="3:30" ht="12.75" hidden="1" customHeight="1" outlineLevel="1" x14ac:dyDescent="0.2">
      <c r="D41" s="260"/>
      <c r="F41" s="74">
        <f t="shared" ref="F41:K41" si="19">G41-1</f>
        <v>2020</v>
      </c>
      <c r="G41" s="74">
        <f t="shared" si="19"/>
        <v>2021</v>
      </c>
      <c r="H41" s="74">
        <f t="shared" si="19"/>
        <v>2022</v>
      </c>
      <c r="I41" s="74">
        <f t="shared" si="19"/>
        <v>2023</v>
      </c>
      <c r="J41" s="74">
        <f t="shared" si="19"/>
        <v>2024</v>
      </c>
      <c r="K41" s="74">
        <f t="shared" si="19"/>
        <v>2025</v>
      </c>
      <c r="L41" s="74">
        <f>FirstYear</f>
        <v>2026</v>
      </c>
      <c r="M41" s="74">
        <f>L41+1</f>
        <v>2027</v>
      </c>
      <c r="N41" s="74">
        <f>M41+1</f>
        <v>2028</v>
      </c>
      <c r="O41" s="74">
        <f>N41+1</f>
        <v>2029</v>
      </c>
      <c r="P41" s="74">
        <f>O41+1</f>
        <v>2030</v>
      </c>
      <c r="Q41" s="74">
        <f>P41+1</f>
        <v>2031</v>
      </c>
      <c r="S41" s="675" t="s">
        <v>1288</v>
      </c>
      <c r="T41" s="675"/>
      <c r="Z41" s="673" t="s">
        <v>1291</v>
      </c>
      <c r="AA41" s="673"/>
      <c r="AB41" s="673"/>
      <c r="AC41" s="210"/>
    </row>
    <row r="42" spans="3:30" ht="12.75" hidden="1" customHeight="1" outlineLevel="1" x14ac:dyDescent="0.2">
      <c r="C42" s="396">
        <v>12</v>
      </c>
      <c r="D42" s="674" t="s">
        <v>273</v>
      </c>
      <c r="E42" s="643"/>
      <c r="F42" s="395">
        <f>F26*VLOOKUP(C53,PRate01,3,FALSE)</f>
        <v>0</v>
      </c>
      <c r="G42" s="395">
        <f>G26*VLOOKUP(C52,PRate01,3,FALSE)</f>
        <v>0</v>
      </c>
      <c r="H42" s="395">
        <f>H26*VLOOKUP(C51,PRate01,3,FALSE)</f>
        <v>0</v>
      </c>
      <c r="I42" s="395">
        <f>I26*VLOOKUP(C50,PRate01,3,FALSE)</f>
        <v>0</v>
      </c>
      <c r="J42" s="395">
        <f>J26*VLOOKUP(C49,PRate01,3,FALSE)</f>
        <v>0</v>
      </c>
      <c r="K42" s="395">
        <f t="shared" ref="K42:K47" si="20">K26*VLOOKUP(C48,PRate01,3,FALSE)</f>
        <v>0</v>
      </c>
      <c r="L42" s="395">
        <f t="shared" ref="L42:L48" si="21">L26*VLOOKUP(C47,PRate01,3,FALSE)</f>
        <v>0</v>
      </c>
      <c r="M42" s="395">
        <f t="shared" ref="M42:M49" si="22">M26*VLOOKUP(C46,PRate01,3,FALSE)</f>
        <v>0</v>
      </c>
      <c r="N42" s="395">
        <f t="shared" ref="N42:N50" si="23">N26*VLOOKUP(C45,PRate01,3,FALSE)</f>
        <v>0</v>
      </c>
      <c r="O42" s="395">
        <f t="shared" ref="O42:O51" si="24">O26*VLOOKUP(C44,PRate01,3,FALSE)</f>
        <v>0</v>
      </c>
      <c r="P42" s="395">
        <f t="shared" ref="P42:P52" si="25">P26*VLOOKUP(C43,PRate01,3,FALSE)</f>
        <v>0</v>
      </c>
      <c r="Q42" s="395">
        <f t="shared" ref="Q42:Q53" si="26">Q26*VLOOKUP(C42,PRate01,3,FALSE)</f>
        <v>0</v>
      </c>
      <c r="S42" s="392" t="s">
        <v>992</v>
      </c>
      <c r="T42" s="393"/>
      <c r="X42" s="397"/>
      <c r="Y42" s="397"/>
      <c r="Z42" s="397"/>
      <c r="AA42" s="397"/>
    </row>
    <row r="43" spans="3:30" ht="12.75" hidden="1" customHeight="1" outlineLevel="1" x14ac:dyDescent="0.2">
      <c r="C43" s="396">
        <v>11</v>
      </c>
      <c r="D43" s="674" t="s">
        <v>274</v>
      </c>
      <c r="E43" s="643"/>
      <c r="F43" s="261"/>
      <c r="G43" s="395">
        <f>G27*VLOOKUP(C53,PRate01,3,FALSE)</f>
        <v>0</v>
      </c>
      <c r="H43" s="395">
        <f>H27*VLOOKUP(C52,PRate01,3,FALSE)</f>
        <v>0</v>
      </c>
      <c r="I43" s="395">
        <f>I27*VLOOKUP(C51,PRate01,3,FALSE)</f>
        <v>0</v>
      </c>
      <c r="J43" s="395">
        <f>J27*VLOOKUP(C50,PRate01,3,FALSE)</f>
        <v>0</v>
      </c>
      <c r="K43" s="395">
        <f t="shared" si="20"/>
        <v>0</v>
      </c>
      <c r="L43" s="395">
        <f t="shared" si="21"/>
        <v>0</v>
      </c>
      <c r="M43" s="395">
        <f t="shared" si="22"/>
        <v>0</v>
      </c>
      <c r="N43" s="395">
        <f t="shared" si="23"/>
        <v>0</v>
      </c>
      <c r="O43" s="395">
        <f t="shared" si="24"/>
        <v>0</v>
      </c>
      <c r="P43" s="395">
        <f t="shared" si="25"/>
        <v>0</v>
      </c>
      <c r="Q43" s="395">
        <f t="shared" si="26"/>
        <v>0</v>
      </c>
      <c r="S43" s="37" t="s">
        <v>993</v>
      </c>
      <c r="T43" s="210"/>
      <c r="X43" s="397"/>
      <c r="Y43" s="397"/>
      <c r="Z43" s="37" t="s">
        <v>249</v>
      </c>
      <c r="AA43" s="575"/>
      <c r="AB43" s="575"/>
      <c r="AC43" s="575"/>
      <c r="AD43" s="575"/>
    </row>
    <row r="44" spans="3:30" ht="12.75" hidden="1" customHeight="1" outlineLevel="1" x14ac:dyDescent="0.2">
      <c r="C44" s="396">
        <v>10</v>
      </c>
      <c r="D44" s="674" t="s">
        <v>275</v>
      </c>
      <c r="E44" s="643"/>
      <c r="F44" s="261"/>
      <c r="G44" s="261"/>
      <c r="H44" s="395">
        <f>H28*VLOOKUP(C53,PRate01,3,FALSE)</f>
        <v>0</v>
      </c>
      <c r="I44" s="395">
        <f>I28*VLOOKUP(C52,PRate01,3,FALSE)</f>
        <v>0</v>
      </c>
      <c r="J44" s="395">
        <f>J28*VLOOKUP(C51,PRate01,3,FALSE)</f>
        <v>0</v>
      </c>
      <c r="K44" s="395">
        <f t="shared" si="20"/>
        <v>0</v>
      </c>
      <c r="L44" s="395">
        <f t="shared" si="21"/>
        <v>0</v>
      </c>
      <c r="M44" s="395">
        <f t="shared" si="22"/>
        <v>0</v>
      </c>
      <c r="N44" s="395">
        <f t="shared" si="23"/>
        <v>0</v>
      </c>
      <c r="O44" s="395">
        <f t="shared" si="24"/>
        <v>0</v>
      </c>
      <c r="P44" s="395">
        <f t="shared" si="25"/>
        <v>0</v>
      </c>
      <c r="Q44" s="395">
        <f t="shared" si="26"/>
        <v>0</v>
      </c>
      <c r="S44" s="37" t="s">
        <v>994</v>
      </c>
      <c r="T44" s="210"/>
      <c r="X44" s="397"/>
      <c r="Y44" s="397"/>
      <c r="Z44" s="397"/>
      <c r="AA44" s="397"/>
    </row>
    <row r="45" spans="3:30" ht="12.75" hidden="1" customHeight="1" outlineLevel="1" x14ac:dyDescent="0.2">
      <c r="C45" s="396">
        <v>9</v>
      </c>
      <c r="D45" s="674" t="s">
        <v>276</v>
      </c>
      <c r="E45" s="643"/>
      <c r="F45" s="261"/>
      <c r="G45" s="261"/>
      <c r="H45" s="261"/>
      <c r="I45" s="395">
        <f>I29*VLOOKUP(C53,PRate01,3,FALSE)</f>
        <v>0</v>
      </c>
      <c r="J45" s="395">
        <f>J29*VLOOKUP(C52,PRate01,3,FALSE)</f>
        <v>0</v>
      </c>
      <c r="K45" s="395">
        <f t="shared" si="20"/>
        <v>0</v>
      </c>
      <c r="L45" s="395">
        <f t="shared" si="21"/>
        <v>0</v>
      </c>
      <c r="M45" s="395">
        <f t="shared" si="22"/>
        <v>0</v>
      </c>
      <c r="N45" s="395">
        <f t="shared" si="23"/>
        <v>0</v>
      </c>
      <c r="O45" s="395">
        <f t="shared" si="24"/>
        <v>0</v>
      </c>
      <c r="P45" s="395">
        <f t="shared" si="25"/>
        <v>0</v>
      </c>
      <c r="Q45" s="395">
        <f t="shared" si="26"/>
        <v>0</v>
      </c>
      <c r="S45" s="37" t="s">
        <v>995</v>
      </c>
      <c r="T45" s="210"/>
      <c r="X45" s="397"/>
      <c r="Y45" s="397"/>
      <c r="Z45" s="397"/>
      <c r="AA45" s="397"/>
    </row>
    <row r="46" spans="3:30" ht="12.75" hidden="1" customHeight="1" outlineLevel="1" x14ac:dyDescent="0.2">
      <c r="C46" s="396">
        <v>8</v>
      </c>
      <c r="D46" s="674" t="s">
        <v>277</v>
      </c>
      <c r="E46" s="643"/>
      <c r="F46" s="261"/>
      <c r="G46" s="261"/>
      <c r="H46" s="261"/>
      <c r="I46" s="261"/>
      <c r="J46" s="395">
        <f>J30*VLOOKUP(C53,PRate01,3,FALSE)</f>
        <v>0</v>
      </c>
      <c r="K46" s="395">
        <f t="shared" si="20"/>
        <v>0</v>
      </c>
      <c r="L46" s="395">
        <f t="shared" si="21"/>
        <v>0</v>
      </c>
      <c r="M46" s="395">
        <f t="shared" si="22"/>
        <v>0</v>
      </c>
      <c r="N46" s="395">
        <f t="shared" si="23"/>
        <v>0</v>
      </c>
      <c r="O46" s="395">
        <f t="shared" si="24"/>
        <v>0</v>
      </c>
      <c r="P46" s="395">
        <f t="shared" si="25"/>
        <v>0</v>
      </c>
      <c r="Q46" s="395">
        <f t="shared" si="26"/>
        <v>0</v>
      </c>
      <c r="S46" s="37" t="s">
        <v>996</v>
      </c>
      <c r="T46" s="210"/>
      <c r="X46" s="397"/>
      <c r="Y46" s="397"/>
      <c r="Z46" s="397"/>
      <c r="AA46" s="397"/>
    </row>
    <row r="47" spans="3:30" ht="12.75" hidden="1" customHeight="1" outlineLevel="1" x14ac:dyDescent="0.2">
      <c r="C47" s="396">
        <v>7</v>
      </c>
      <c r="D47" s="674" t="s">
        <v>278</v>
      </c>
      <c r="E47" s="643"/>
      <c r="F47" s="261"/>
      <c r="G47" s="261"/>
      <c r="H47" s="261"/>
      <c r="I47" s="261"/>
      <c r="J47" s="261"/>
      <c r="K47" s="395">
        <f t="shared" si="20"/>
        <v>0</v>
      </c>
      <c r="L47" s="395">
        <f t="shared" si="21"/>
        <v>0</v>
      </c>
      <c r="M47" s="395">
        <f t="shared" si="22"/>
        <v>0</v>
      </c>
      <c r="N47" s="395">
        <f t="shared" si="23"/>
        <v>0</v>
      </c>
      <c r="O47" s="395">
        <f t="shared" si="24"/>
        <v>0</v>
      </c>
      <c r="P47" s="395">
        <f t="shared" si="25"/>
        <v>0</v>
      </c>
      <c r="Q47" s="395">
        <f t="shared" si="26"/>
        <v>0</v>
      </c>
      <c r="S47" s="37" t="s">
        <v>997</v>
      </c>
      <c r="T47" s="210"/>
      <c r="X47" s="397"/>
      <c r="Y47" s="397"/>
      <c r="Z47" s="397"/>
      <c r="AA47" s="397"/>
    </row>
    <row r="48" spans="3:30" ht="12.75" hidden="1" customHeight="1" outlineLevel="1" x14ac:dyDescent="0.2">
      <c r="C48" s="396">
        <v>6</v>
      </c>
      <c r="D48" s="674" t="s">
        <v>464</v>
      </c>
      <c r="E48" s="643"/>
      <c r="F48" s="261"/>
      <c r="G48" s="261"/>
      <c r="H48" s="261"/>
      <c r="I48" s="261"/>
      <c r="J48" s="261"/>
      <c r="K48" s="261"/>
      <c r="L48" s="395">
        <f t="shared" si="21"/>
        <v>0</v>
      </c>
      <c r="M48" s="395">
        <f t="shared" si="22"/>
        <v>0</v>
      </c>
      <c r="N48" s="395">
        <f t="shared" si="23"/>
        <v>0</v>
      </c>
      <c r="O48" s="395">
        <f t="shared" si="24"/>
        <v>0</v>
      </c>
      <c r="P48" s="395">
        <f t="shared" si="25"/>
        <v>0</v>
      </c>
      <c r="Q48" s="395">
        <f t="shared" si="26"/>
        <v>0</v>
      </c>
      <c r="S48" s="37" t="s">
        <v>998</v>
      </c>
      <c r="T48" s="210"/>
      <c r="X48" s="397"/>
      <c r="Y48" s="397"/>
      <c r="Z48" s="397"/>
      <c r="AA48" s="397"/>
    </row>
    <row r="49" spans="1:30" ht="12.75" hidden="1" customHeight="1" outlineLevel="1" x14ac:dyDescent="0.2">
      <c r="C49" s="396">
        <v>5</v>
      </c>
      <c r="D49" s="674" t="s">
        <v>465</v>
      </c>
      <c r="E49" s="643"/>
      <c r="F49" s="261"/>
      <c r="G49" s="261"/>
      <c r="H49" s="261"/>
      <c r="I49" s="261"/>
      <c r="J49" s="261"/>
      <c r="K49" s="261"/>
      <c r="L49" s="261"/>
      <c r="M49" s="395">
        <f t="shared" si="22"/>
        <v>0</v>
      </c>
      <c r="N49" s="395">
        <f t="shared" si="23"/>
        <v>0</v>
      </c>
      <c r="O49" s="395">
        <f t="shared" si="24"/>
        <v>0</v>
      </c>
      <c r="P49" s="395">
        <f t="shared" si="25"/>
        <v>0</v>
      </c>
      <c r="Q49" s="395">
        <f t="shared" si="26"/>
        <v>0</v>
      </c>
      <c r="S49" s="37" t="s">
        <v>999</v>
      </c>
      <c r="T49" s="210"/>
      <c r="X49" s="397"/>
      <c r="Y49" s="397"/>
      <c r="Z49" s="397"/>
      <c r="AA49" s="397"/>
    </row>
    <row r="50" spans="1:30" ht="12.75" hidden="1" customHeight="1" outlineLevel="1" x14ac:dyDescent="0.2">
      <c r="C50" s="396">
        <v>4</v>
      </c>
      <c r="D50" s="674" t="s">
        <v>466</v>
      </c>
      <c r="E50" s="643"/>
      <c r="F50" s="261"/>
      <c r="G50" s="261"/>
      <c r="H50" s="261"/>
      <c r="I50" s="261"/>
      <c r="J50" s="261"/>
      <c r="K50" s="261"/>
      <c r="L50" s="261"/>
      <c r="M50" s="261"/>
      <c r="N50" s="395">
        <f t="shared" si="23"/>
        <v>0</v>
      </c>
      <c r="O50" s="395">
        <f t="shared" si="24"/>
        <v>0</v>
      </c>
      <c r="P50" s="395">
        <f t="shared" si="25"/>
        <v>0</v>
      </c>
      <c r="Q50" s="395">
        <f t="shared" si="26"/>
        <v>0</v>
      </c>
      <c r="S50" s="37" t="s">
        <v>1000</v>
      </c>
      <c r="T50" s="210"/>
      <c r="X50" s="397"/>
      <c r="Y50" s="397"/>
      <c r="Z50" s="397"/>
      <c r="AA50" s="397"/>
    </row>
    <row r="51" spans="1:30" ht="12.75" hidden="1" customHeight="1" outlineLevel="1" x14ac:dyDescent="0.2">
      <c r="C51" s="396">
        <v>3</v>
      </c>
      <c r="D51" s="674" t="s">
        <v>467</v>
      </c>
      <c r="E51" s="643"/>
      <c r="F51" s="261"/>
      <c r="G51" s="261"/>
      <c r="H51" s="261"/>
      <c r="I51" s="261"/>
      <c r="J51" s="261"/>
      <c r="K51" s="261"/>
      <c r="L51" s="261"/>
      <c r="M51" s="261"/>
      <c r="N51" s="261"/>
      <c r="O51" s="395">
        <f t="shared" si="24"/>
        <v>0</v>
      </c>
      <c r="P51" s="395">
        <f t="shared" si="25"/>
        <v>0</v>
      </c>
      <c r="Q51" s="395">
        <f t="shared" si="26"/>
        <v>0</v>
      </c>
      <c r="S51" s="37" t="s">
        <v>1001</v>
      </c>
      <c r="T51" s="210"/>
      <c r="X51" s="397"/>
      <c r="Y51" s="397"/>
      <c r="Z51" s="397"/>
      <c r="AA51" s="397"/>
    </row>
    <row r="52" spans="1:30" ht="12.75" hidden="1" customHeight="1" outlineLevel="1" x14ac:dyDescent="0.2">
      <c r="C52" s="396">
        <v>2</v>
      </c>
      <c r="D52" s="674" t="s">
        <v>468</v>
      </c>
      <c r="E52" s="643"/>
      <c r="F52" s="261"/>
      <c r="G52" s="261"/>
      <c r="H52" s="261"/>
      <c r="I52" s="261"/>
      <c r="J52" s="261"/>
      <c r="K52" s="261"/>
      <c r="L52" s="261"/>
      <c r="M52" s="261"/>
      <c r="N52" s="261"/>
      <c r="O52" s="391"/>
      <c r="P52" s="395">
        <f t="shared" si="25"/>
        <v>0</v>
      </c>
      <c r="Q52" s="395">
        <f t="shared" si="26"/>
        <v>0</v>
      </c>
      <c r="S52" s="37" t="s">
        <v>1002</v>
      </c>
      <c r="T52" s="210"/>
      <c r="X52" s="397"/>
      <c r="Y52" s="397"/>
      <c r="Z52" s="397"/>
      <c r="AA52" s="397"/>
    </row>
    <row r="53" spans="1:30" ht="12.75" hidden="1" customHeight="1" outlineLevel="1" x14ac:dyDescent="0.2">
      <c r="C53" s="396">
        <v>1</v>
      </c>
      <c r="D53" s="674" t="s">
        <v>469</v>
      </c>
      <c r="E53" s="643"/>
      <c r="F53" s="261"/>
      <c r="G53" s="261"/>
      <c r="H53" s="261"/>
      <c r="I53" s="261"/>
      <c r="J53" s="261"/>
      <c r="K53" s="261"/>
      <c r="L53" s="261"/>
      <c r="M53" s="261"/>
      <c r="N53" s="261"/>
      <c r="O53" s="391"/>
      <c r="P53" s="391"/>
      <c r="Q53" s="395">
        <f t="shared" si="26"/>
        <v>0</v>
      </c>
      <c r="S53" s="37" t="s">
        <v>1022</v>
      </c>
      <c r="T53" s="210"/>
    </row>
    <row r="54" spans="1:30" ht="12.75" hidden="1" customHeight="1" outlineLevel="1" x14ac:dyDescent="0.2">
      <c r="K54" s="258" t="s">
        <v>73</v>
      </c>
      <c r="L54" s="263">
        <f>IFERROR((SUM(L42:L47)+IF(MATCH($AC$54,Switch,0)=1,L48,0)),0)</f>
        <v>0</v>
      </c>
      <c r="M54" s="263">
        <f>IFERROR((SUM(M42:M48)+IF(MATCH($AC$54,Switch,0)=1,M49,0)),0)</f>
        <v>0</v>
      </c>
      <c r="N54" s="263">
        <f>IFERROR((SUM(N42:N49)+IF(MATCH($AC$54,Switch,0)=1,N50,0)),0)</f>
        <v>0</v>
      </c>
      <c r="O54" s="263">
        <f>IFERROR((SUM(O42:O50)+IF(MATCH($AC$54,Switch,0)=1,O51,0)),0)</f>
        <v>0</v>
      </c>
      <c r="P54" s="263">
        <f>IFERROR((SUM(P42:P51)+IF(MATCH($AC$54,Switch,0)=1,P52,0)),0)</f>
        <v>0</v>
      </c>
      <c r="Q54" s="263">
        <f>IFERROR((SUM(Q42:Q52)+IF(MATCH($AC$54,Switch,0)=1,Q53,0)),0)</f>
        <v>0</v>
      </c>
      <c r="Z54" s="670" t="s">
        <v>1289</v>
      </c>
      <c r="AA54" s="671"/>
      <c r="AB54" s="672"/>
      <c r="AC54" s="227" t="s">
        <v>9</v>
      </c>
    </row>
    <row r="55" spans="1:30" ht="12.75" hidden="1" customHeight="1" outlineLevel="1" x14ac:dyDescent="0.2"/>
    <row r="56" spans="1:30" ht="12.75" customHeight="1" collapsed="1" x14ac:dyDescent="0.2"/>
    <row r="57" spans="1:30" ht="15.75" x14ac:dyDescent="0.2">
      <c r="A57" s="172"/>
      <c r="B57" s="209">
        <f>IF(G59&lt;&gt;"",1,0)</f>
        <v>0</v>
      </c>
      <c r="C57" s="209">
        <v>2</v>
      </c>
      <c r="D57" s="72" t="str">
        <f>IF(B57=0,MsgNotUsed, CONCATENATE("Persistent ", C57, ": ", G59, " (", F63, "-", Q63, ")"))</f>
        <v>** NOT USED **</v>
      </c>
      <c r="E57" s="113"/>
      <c r="F57" s="113"/>
      <c r="G57" s="113"/>
      <c r="H57" s="113"/>
      <c r="I57" s="113"/>
      <c r="J57" s="154"/>
      <c r="K57" s="113"/>
      <c r="L57" s="113"/>
      <c r="M57" s="113"/>
      <c r="N57" s="224"/>
      <c r="O57" s="224"/>
      <c r="P57" s="224"/>
      <c r="Q57" s="224"/>
      <c r="R57" s="224"/>
      <c r="S57" s="224"/>
      <c r="T57" s="224"/>
      <c r="U57" s="224"/>
      <c r="V57" s="224"/>
      <c r="W57" s="224"/>
      <c r="X57" s="224"/>
      <c r="Y57" s="224"/>
      <c r="Z57" s="224"/>
      <c r="AA57" s="224"/>
      <c r="AB57" s="224"/>
      <c r="AC57" s="224"/>
      <c r="AD57" s="224"/>
    </row>
    <row r="58" spans="1:30" ht="12.75" hidden="1" customHeight="1" outlineLevel="1" x14ac:dyDescent="0.2"/>
    <row r="59" spans="1:30" ht="12.75" hidden="1" customHeight="1" outlineLevel="1" x14ac:dyDescent="0.2">
      <c r="F59" s="37" t="s">
        <v>470</v>
      </c>
      <c r="G59" s="669"/>
      <c r="H59" s="642"/>
      <c r="I59" s="642"/>
      <c r="J59" s="642"/>
      <c r="K59" s="642"/>
      <c r="L59" s="643"/>
    </row>
    <row r="60" spans="1:30" ht="12.75" hidden="1" customHeight="1" outlineLevel="1" x14ac:dyDescent="0.2"/>
    <row r="61" spans="1:30" ht="12.75" hidden="1" customHeight="1" outlineLevel="1" x14ac:dyDescent="0.2">
      <c r="F61" s="37" t="s">
        <v>249</v>
      </c>
      <c r="G61" s="669"/>
      <c r="H61" s="642"/>
      <c r="I61" s="642"/>
      <c r="J61" s="642"/>
      <c r="K61" s="642"/>
      <c r="L61" s="643"/>
      <c r="Z61" s="542" t="str">
        <f>IF(AC63&lt;&gt;"",MsgNote &amp; VLOOKUP("PRate",WarningMessages,2),"")</f>
        <v/>
      </c>
      <c r="AA61" s="542"/>
      <c r="AB61" s="542"/>
      <c r="AC61" s="542"/>
      <c r="AD61" s="542"/>
    </row>
    <row r="62" spans="1:30" ht="12.75" hidden="1" customHeight="1" outlineLevel="1" x14ac:dyDescent="0.2">
      <c r="G62" s="400">
        <v>1</v>
      </c>
      <c r="H62" s="400">
        <v>2</v>
      </c>
      <c r="I62" s="400">
        <v>3</v>
      </c>
      <c r="J62" s="400">
        <v>4</v>
      </c>
      <c r="K62" s="400">
        <v>5</v>
      </c>
      <c r="L62" s="400">
        <v>6</v>
      </c>
      <c r="M62" s="400">
        <v>7</v>
      </c>
      <c r="N62" s="400">
        <v>8</v>
      </c>
      <c r="O62" s="400">
        <v>9</v>
      </c>
      <c r="P62" s="400">
        <v>10</v>
      </c>
      <c r="Q62" s="400">
        <v>11</v>
      </c>
    </row>
    <row r="63" spans="1:30" ht="12.75" hidden="1" customHeight="1" outlineLevel="1" x14ac:dyDescent="0.2">
      <c r="D63" s="260"/>
      <c r="E63" s="74" t="s">
        <v>1052</v>
      </c>
      <c r="F63" s="74">
        <f t="shared" ref="F63" si="27">G63-1</f>
        <v>2020</v>
      </c>
      <c r="G63" s="74">
        <f t="shared" ref="G63" si="28">H63-1</f>
        <v>2021</v>
      </c>
      <c r="H63" s="74">
        <f t="shared" ref="H63" si="29">I63-1</f>
        <v>2022</v>
      </c>
      <c r="I63" s="74">
        <f t="shared" ref="I63" si="30">J63-1</f>
        <v>2023</v>
      </c>
      <c r="J63" s="74">
        <f t="shared" ref="J63" si="31">K63-1</f>
        <v>2024</v>
      </c>
      <c r="K63" s="74">
        <f t="shared" ref="K63" si="32">L63-1</f>
        <v>2025</v>
      </c>
      <c r="L63" s="74">
        <f>FirstYear</f>
        <v>2026</v>
      </c>
      <c r="M63" s="74">
        <f>L63+1</f>
        <v>2027</v>
      </c>
      <c r="N63" s="74">
        <f>M63+1</f>
        <v>2028</v>
      </c>
      <c r="O63" s="74">
        <f>N63+1</f>
        <v>2029</v>
      </c>
      <c r="P63" s="74">
        <f>O63+1</f>
        <v>2030</v>
      </c>
      <c r="Q63" s="74">
        <f>P63+1</f>
        <v>2031</v>
      </c>
      <c r="S63" s="675" t="s">
        <v>1287</v>
      </c>
      <c r="T63" s="675"/>
      <c r="Z63" s="673" t="s">
        <v>1290</v>
      </c>
      <c r="AA63" s="673"/>
      <c r="AB63" s="673"/>
      <c r="AC63" s="210"/>
    </row>
    <row r="64" spans="1:30" ht="12.75" hidden="1" customHeight="1" outlineLevel="1" x14ac:dyDescent="0.2">
      <c r="D64" s="37" t="s">
        <v>273</v>
      </c>
      <c r="E64" s="262"/>
      <c r="F64" s="264">
        <f>E64</f>
        <v>0</v>
      </c>
      <c r="G64" s="264">
        <f t="shared" ref="G64" si="33">F64*VLOOKUP(G62,PRate01,2,FALSE)</f>
        <v>0</v>
      </c>
      <c r="H64" s="264">
        <f t="shared" ref="H64" si="34">G64*VLOOKUP(H62,PRate01,2,FALSE)</f>
        <v>0</v>
      </c>
      <c r="I64" s="264">
        <f t="shared" ref="I64" si="35">H64*VLOOKUP(I62,PRate01,2,FALSE)</f>
        <v>0</v>
      </c>
      <c r="J64" s="264">
        <f t="shared" ref="J64" si="36">I64*VLOOKUP(J62,PRate01,2,FALSE)</f>
        <v>0</v>
      </c>
      <c r="K64" s="264">
        <f t="shared" ref="K64" si="37">J64*VLOOKUP(K62,PRate01,2,FALSE)</f>
        <v>0</v>
      </c>
      <c r="L64" s="264">
        <f t="shared" ref="L64" si="38">K64*VLOOKUP(L62,PRate01,2,FALSE)</f>
        <v>0</v>
      </c>
      <c r="M64" s="264">
        <f t="shared" ref="M64" si="39">L64*VLOOKUP(M62,PRate01,2,FALSE)</f>
        <v>0</v>
      </c>
      <c r="N64" s="264">
        <f t="shared" ref="N64" si="40">M64*VLOOKUP(N62,PRate01,2,FALSE)</f>
        <v>0</v>
      </c>
      <c r="O64" s="264">
        <f t="shared" ref="O64" si="41">N64*VLOOKUP(O62,PRate01,2,FALSE)</f>
        <v>0</v>
      </c>
      <c r="P64" s="264">
        <f t="shared" ref="P64" si="42">O64*VLOOKUP(P62,PRate01,2,FALSE)</f>
        <v>0</v>
      </c>
      <c r="Q64" s="264">
        <f t="shared" ref="Q64" si="43">P64*VLOOKUP(Q62,PRate01,2,FALSE)</f>
        <v>0</v>
      </c>
      <c r="S64" s="392" t="s">
        <v>992</v>
      </c>
      <c r="T64" s="393"/>
      <c r="V64" s="398">
        <v>1</v>
      </c>
      <c r="W64" s="394">
        <f>IF($AC$63&lt;&gt;"",$AC$63,T64)</f>
        <v>0</v>
      </c>
      <c r="X64" s="394">
        <f>IF($AC$79&lt;&gt;"",$AC$79,T80)</f>
        <v>0</v>
      </c>
      <c r="Y64" s="397"/>
      <c r="Z64" s="397"/>
      <c r="AA64" s="397"/>
    </row>
    <row r="65" spans="3:30" ht="12.75" hidden="1" customHeight="1" outlineLevel="1" x14ac:dyDescent="0.2">
      <c r="D65" s="37" t="s">
        <v>274</v>
      </c>
      <c r="E65" s="262"/>
      <c r="F65" s="261"/>
      <c r="G65" s="264">
        <f>E65</f>
        <v>0</v>
      </c>
      <c r="H65" s="264">
        <f t="shared" ref="H65" si="44">G65*VLOOKUP(G62,PRate01,2,FALSE)</f>
        <v>0</v>
      </c>
      <c r="I65" s="264">
        <f t="shared" ref="I65" si="45">H65*VLOOKUP(H62,PRate01,2,FALSE)</f>
        <v>0</v>
      </c>
      <c r="J65" s="264">
        <f t="shared" ref="J65" si="46">I65*VLOOKUP(I62,PRate01,2,FALSE)</f>
        <v>0</v>
      </c>
      <c r="K65" s="264">
        <f t="shared" ref="K65" si="47">J65*VLOOKUP(J62,PRate01,2,FALSE)</f>
        <v>0</v>
      </c>
      <c r="L65" s="264">
        <f t="shared" ref="L65" si="48">K65*VLOOKUP(K62,PRate01,2,FALSE)</f>
        <v>0</v>
      </c>
      <c r="M65" s="264">
        <f t="shared" ref="M65" si="49">L65*VLOOKUP(L62,PRate01,2,FALSE)</f>
        <v>0</v>
      </c>
      <c r="N65" s="264">
        <f t="shared" ref="N65" si="50">M65*VLOOKUP(M62,PRate01,2,FALSE)</f>
        <v>0</v>
      </c>
      <c r="O65" s="264">
        <f t="shared" ref="O65" si="51">N65*VLOOKUP(N62,PRate01,2,FALSE)</f>
        <v>0</v>
      </c>
      <c r="P65" s="264">
        <f t="shared" ref="P65" si="52">O65*VLOOKUP(O62,PRate01,2,FALSE)</f>
        <v>0</v>
      </c>
      <c r="Q65" s="264">
        <f t="shared" ref="Q65" si="53">P65*VLOOKUP(P62,PRate01,2,FALSE)</f>
        <v>0</v>
      </c>
      <c r="S65" s="37" t="s">
        <v>993</v>
      </c>
      <c r="T65" s="210"/>
      <c r="V65" s="398">
        <v>2</v>
      </c>
      <c r="W65" s="394">
        <f t="shared" ref="W65:W74" si="54">IF($AC$63&lt;&gt;"",$AC$63,T65)</f>
        <v>0</v>
      </c>
      <c r="X65" s="394">
        <f t="shared" ref="X65:X75" si="55">IF($AC$79&lt;&gt;"",$AC$79,T81)</f>
        <v>0</v>
      </c>
      <c r="Z65" s="37" t="s">
        <v>249</v>
      </c>
      <c r="AA65" s="575"/>
      <c r="AB65" s="575"/>
      <c r="AC65" s="575"/>
      <c r="AD65" s="575"/>
    </row>
    <row r="66" spans="3:30" ht="12.75" hidden="1" customHeight="1" outlineLevel="1" x14ac:dyDescent="0.2">
      <c r="D66" s="37" t="s">
        <v>275</v>
      </c>
      <c r="E66" s="262"/>
      <c r="F66" s="261"/>
      <c r="G66" s="261"/>
      <c r="H66" s="264">
        <f>E66</f>
        <v>0</v>
      </c>
      <c r="I66" s="264">
        <f t="shared" ref="I66" si="56">H66*VLOOKUP(G62,PRate01,2,FALSE)</f>
        <v>0</v>
      </c>
      <c r="J66" s="264">
        <f t="shared" ref="J66" si="57">I66*VLOOKUP(H62,PRate01,2,FALSE)</f>
        <v>0</v>
      </c>
      <c r="K66" s="264">
        <f t="shared" ref="K66" si="58">J66*VLOOKUP(I62,PRate01,2,FALSE)</f>
        <v>0</v>
      </c>
      <c r="L66" s="264">
        <f t="shared" ref="L66" si="59">K66*VLOOKUP(J62,PRate01,2,FALSE)</f>
        <v>0</v>
      </c>
      <c r="M66" s="264">
        <f t="shared" ref="M66" si="60">L66*VLOOKUP(K62,PRate01,2,FALSE)</f>
        <v>0</v>
      </c>
      <c r="N66" s="264">
        <f t="shared" ref="N66" si="61">M66*VLOOKUP(L62,PRate01,2,FALSE)</f>
        <v>0</v>
      </c>
      <c r="O66" s="264">
        <f t="shared" ref="O66" si="62">N66*VLOOKUP(M62,PRate01,2,FALSE)</f>
        <v>0</v>
      </c>
      <c r="P66" s="264">
        <f t="shared" ref="P66" si="63">O66*VLOOKUP(N62,PRate01,2,FALSE)</f>
        <v>0</v>
      </c>
      <c r="Q66" s="264">
        <f t="shared" ref="Q66" si="64">P66*VLOOKUP(O62,PRate01,2,FALSE)</f>
        <v>0</v>
      </c>
      <c r="S66" s="37" t="s">
        <v>994</v>
      </c>
      <c r="T66" s="210"/>
      <c r="V66" s="398">
        <v>3</v>
      </c>
      <c r="W66" s="394">
        <f t="shared" si="54"/>
        <v>0</v>
      </c>
      <c r="X66" s="394">
        <f t="shared" si="55"/>
        <v>0</v>
      </c>
      <c r="Y66" s="397"/>
      <c r="Z66" s="397"/>
      <c r="AA66" s="397"/>
    </row>
    <row r="67" spans="3:30" ht="12.75" hidden="1" customHeight="1" outlineLevel="1" x14ac:dyDescent="0.2">
      <c r="D67" s="37" t="s">
        <v>276</v>
      </c>
      <c r="E67" s="262"/>
      <c r="F67" s="261"/>
      <c r="G67" s="261"/>
      <c r="H67" s="261"/>
      <c r="I67" s="264">
        <f>E67</f>
        <v>0</v>
      </c>
      <c r="J67" s="264">
        <f t="shared" ref="J67" si="65">I67*VLOOKUP(G62,PRate01,2,FALSE)</f>
        <v>0</v>
      </c>
      <c r="K67" s="264">
        <f t="shared" ref="K67" si="66">J67*VLOOKUP(H62,PRate01,2,FALSE)</f>
        <v>0</v>
      </c>
      <c r="L67" s="264">
        <f t="shared" ref="L67" si="67">K67*VLOOKUP(I62,PRate01,2,FALSE)</f>
        <v>0</v>
      </c>
      <c r="M67" s="264">
        <f t="shared" ref="M67" si="68">L67*VLOOKUP(J62,PRate01,2,FALSE)</f>
        <v>0</v>
      </c>
      <c r="N67" s="264">
        <f t="shared" ref="N67" si="69">M67*VLOOKUP(K62,PRate01,2,FALSE)</f>
        <v>0</v>
      </c>
      <c r="O67" s="264">
        <f t="shared" ref="O67" si="70">N67*VLOOKUP(L62,PRate01,2,FALSE)</f>
        <v>0</v>
      </c>
      <c r="P67" s="264">
        <f t="shared" ref="P67" si="71">O67*VLOOKUP(M62,PRate01,2,FALSE)</f>
        <v>0</v>
      </c>
      <c r="Q67" s="264">
        <f t="shared" ref="Q67" si="72">P67*VLOOKUP(N62,PRate01,2,FALSE)</f>
        <v>0</v>
      </c>
      <c r="S67" s="37" t="s">
        <v>995</v>
      </c>
      <c r="T67" s="210"/>
      <c r="V67" s="398">
        <v>4</v>
      </c>
      <c r="W67" s="394">
        <f t="shared" si="54"/>
        <v>0</v>
      </c>
      <c r="X67" s="394">
        <f t="shared" si="55"/>
        <v>0</v>
      </c>
      <c r="Y67" s="397"/>
      <c r="Z67" s="397"/>
      <c r="AA67" s="397"/>
    </row>
    <row r="68" spans="3:30" ht="12.75" hidden="1" customHeight="1" outlineLevel="1" x14ac:dyDescent="0.2">
      <c r="D68" s="37" t="s">
        <v>277</v>
      </c>
      <c r="E68" s="262"/>
      <c r="F68" s="261"/>
      <c r="G68" s="261"/>
      <c r="H68" s="261"/>
      <c r="I68" s="261"/>
      <c r="J68" s="264">
        <f>E68</f>
        <v>0</v>
      </c>
      <c r="K68" s="264">
        <f t="shared" ref="K68" si="73">J68*VLOOKUP(G62,PRate01,2,FALSE)</f>
        <v>0</v>
      </c>
      <c r="L68" s="264">
        <f t="shared" ref="L68" si="74">K68*VLOOKUP(H62,PRate01,2,FALSE)</f>
        <v>0</v>
      </c>
      <c r="M68" s="264">
        <f t="shared" ref="M68" si="75">L68*VLOOKUP(I62,PRate01,2,FALSE)</f>
        <v>0</v>
      </c>
      <c r="N68" s="264">
        <f t="shared" ref="N68" si="76">M68*VLOOKUP(J62,PRate01,2,FALSE)</f>
        <v>0</v>
      </c>
      <c r="O68" s="264">
        <f t="shared" ref="O68" si="77">N68*VLOOKUP(K62,PRate01,2,FALSE)</f>
        <v>0</v>
      </c>
      <c r="P68" s="264">
        <f t="shared" ref="P68" si="78">O68*VLOOKUP(L62,PRate01,2,FALSE)</f>
        <v>0</v>
      </c>
      <c r="Q68" s="264">
        <f t="shared" ref="Q68" si="79">P68*VLOOKUP(M62,PRate01,2,FALSE)</f>
        <v>0</v>
      </c>
      <c r="S68" s="37" t="s">
        <v>996</v>
      </c>
      <c r="T68" s="210"/>
      <c r="V68" s="398">
        <v>5</v>
      </c>
      <c r="W68" s="394">
        <f t="shared" si="54"/>
        <v>0</v>
      </c>
      <c r="X68" s="394">
        <f t="shared" si="55"/>
        <v>0</v>
      </c>
      <c r="Y68" s="397"/>
      <c r="Z68" s="397"/>
      <c r="AA68" s="397"/>
    </row>
    <row r="69" spans="3:30" ht="12.75" hidden="1" customHeight="1" outlineLevel="1" x14ac:dyDescent="0.2">
      <c r="D69" s="37" t="s">
        <v>278</v>
      </c>
      <c r="E69" s="262"/>
      <c r="F69" s="261"/>
      <c r="G69" s="261"/>
      <c r="H69" s="261"/>
      <c r="I69" s="261"/>
      <c r="J69" s="261"/>
      <c r="K69" s="264">
        <f>E69</f>
        <v>0</v>
      </c>
      <c r="L69" s="264">
        <f t="shared" ref="L69" si="80">K69*VLOOKUP(G62,PRate01,2,FALSE)</f>
        <v>0</v>
      </c>
      <c r="M69" s="264">
        <f t="shared" ref="M69" si="81">L69*VLOOKUP(H62,PRate01,2,FALSE)</f>
        <v>0</v>
      </c>
      <c r="N69" s="264">
        <f t="shared" ref="N69" si="82">M69*VLOOKUP(I62,PRate01,2,FALSE)</f>
        <v>0</v>
      </c>
      <c r="O69" s="264">
        <f t="shared" ref="O69" si="83">N69*VLOOKUP(J62,PRate01,2,FALSE)</f>
        <v>0</v>
      </c>
      <c r="P69" s="264">
        <f t="shared" ref="P69" si="84">O69*VLOOKUP(K62,PRate01,2,FALSE)</f>
        <v>0</v>
      </c>
      <c r="Q69" s="264">
        <f t="shared" ref="Q69" si="85">P69*VLOOKUP(L62,PRate01,2,FALSE)</f>
        <v>0</v>
      </c>
      <c r="S69" s="37" t="s">
        <v>997</v>
      </c>
      <c r="T69" s="210"/>
      <c r="V69" s="398">
        <v>6</v>
      </c>
      <c r="W69" s="394">
        <f t="shared" si="54"/>
        <v>0</v>
      </c>
      <c r="X69" s="394">
        <f t="shared" si="55"/>
        <v>0</v>
      </c>
      <c r="Y69" s="397"/>
      <c r="Z69" s="397"/>
      <c r="AA69" s="397"/>
    </row>
    <row r="70" spans="3:30" ht="12.75" hidden="1" customHeight="1" outlineLevel="1" x14ac:dyDescent="0.2">
      <c r="D70" s="37" t="s">
        <v>464</v>
      </c>
      <c r="E70" s="262"/>
      <c r="F70" s="261"/>
      <c r="G70" s="261"/>
      <c r="H70" s="261"/>
      <c r="I70" s="261"/>
      <c r="J70" s="261"/>
      <c r="K70" s="261"/>
      <c r="L70" s="264">
        <f>E70</f>
        <v>0</v>
      </c>
      <c r="M70" s="264">
        <f>L70*VLOOKUP(G62,PRate01,2,FALSE)</f>
        <v>0</v>
      </c>
      <c r="N70" s="264">
        <f>M70*VLOOKUP(H62,PRate01,2,FALSE)</f>
        <v>0</v>
      </c>
      <c r="O70" s="264">
        <f>N70*VLOOKUP(I62,PRate01,2,FALSE)</f>
        <v>0</v>
      </c>
      <c r="P70" s="264">
        <f>O70*VLOOKUP(J62,PRate01,2,FALSE)</f>
        <v>0</v>
      </c>
      <c r="Q70" s="264">
        <f>P70*VLOOKUP(K62,PRate01,2,FALSE)</f>
        <v>0</v>
      </c>
      <c r="S70" s="37" t="s">
        <v>998</v>
      </c>
      <c r="T70" s="210"/>
      <c r="V70" s="398">
        <v>7</v>
      </c>
      <c r="W70" s="394">
        <f t="shared" si="54"/>
        <v>0</v>
      </c>
      <c r="X70" s="394">
        <f t="shared" si="55"/>
        <v>0</v>
      </c>
      <c r="Y70" s="397"/>
      <c r="Z70" s="397"/>
      <c r="AA70" s="397"/>
    </row>
    <row r="71" spans="3:30" ht="12.75" hidden="1" customHeight="1" outlineLevel="1" x14ac:dyDescent="0.2">
      <c r="D71" s="37" t="s">
        <v>465</v>
      </c>
      <c r="E71" s="262"/>
      <c r="F71" s="261"/>
      <c r="G71" s="261"/>
      <c r="H71" s="261"/>
      <c r="I71" s="261"/>
      <c r="J71" s="261"/>
      <c r="K71" s="261"/>
      <c r="L71" s="261"/>
      <c r="M71" s="264">
        <f>E71</f>
        <v>0</v>
      </c>
      <c r="N71" s="264">
        <f>M71*VLOOKUP(G62,PRate01,2,FALSE)</f>
        <v>0</v>
      </c>
      <c r="O71" s="264">
        <f>N71*VLOOKUP(H62,PRate01,2,FALSE)</f>
        <v>0</v>
      </c>
      <c r="P71" s="264">
        <f>O71*VLOOKUP(I62,PRate01,2,FALSE)</f>
        <v>0</v>
      </c>
      <c r="Q71" s="264">
        <f>P71*VLOOKUP(J62,PRate01,2,FALSE)</f>
        <v>0</v>
      </c>
      <c r="S71" s="37" t="s">
        <v>999</v>
      </c>
      <c r="T71" s="210"/>
      <c r="V71" s="398">
        <v>8</v>
      </c>
      <c r="W71" s="394">
        <f t="shared" si="54"/>
        <v>0</v>
      </c>
      <c r="X71" s="394">
        <f t="shared" si="55"/>
        <v>0</v>
      </c>
      <c r="Y71" s="397"/>
      <c r="Z71" s="397"/>
      <c r="AA71" s="397"/>
    </row>
    <row r="72" spans="3:30" ht="12.75" hidden="1" customHeight="1" outlineLevel="1" x14ac:dyDescent="0.2">
      <c r="D72" s="37" t="s">
        <v>466</v>
      </c>
      <c r="E72" s="262"/>
      <c r="F72" s="261"/>
      <c r="G72" s="261"/>
      <c r="H72" s="261"/>
      <c r="I72" s="261"/>
      <c r="J72" s="261"/>
      <c r="K72" s="261"/>
      <c r="L72" s="261"/>
      <c r="M72" s="261"/>
      <c r="N72" s="264">
        <f>E72</f>
        <v>0</v>
      </c>
      <c r="O72" s="264">
        <f>N72*VLOOKUP(G62,PRate01,2,FALSE)</f>
        <v>0</v>
      </c>
      <c r="P72" s="264">
        <f>O72*VLOOKUP(H62,PRate01,2,FALSE)</f>
        <v>0</v>
      </c>
      <c r="Q72" s="264">
        <f>P72*VLOOKUP(I62,PRate01,2,FALSE)</f>
        <v>0</v>
      </c>
      <c r="S72" s="37" t="s">
        <v>1000</v>
      </c>
      <c r="T72" s="210"/>
      <c r="V72" s="398">
        <v>9</v>
      </c>
      <c r="W72" s="394">
        <f t="shared" si="54"/>
        <v>0</v>
      </c>
      <c r="X72" s="394">
        <f t="shared" si="55"/>
        <v>0</v>
      </c>
      <c r="Y72" s="397"/>
      <c r="Z72" s="397"/>
      <c r="AA72" s="397"/>
    </row>
    <row r="73" spans="3:30" ht="12.75" hidden="1" customHeight="1" outlineLevel="1" x14ac:dyDescent="0.2">
      <c r="D73" s="37" t="s">
        <v>467</v>
      </c>
      <c r="E73" s="262"/>
      <c r="F73" s="261"/>
      <c r="G73" s="261"/>
      <c r="H73" s="261"/>
      <c r="I73" s="261"/>
      <c r="J73" s="261"/>
      <c r="K73" s="261"/>
      <c r="L73" s="261"/>
      <c r="M73" s="261"/>
      <c r="N73" s="261"/>
      <c r="O73" s="395">
        <f>E73</f>
        <v>0</v>
      </c>
      <c r="P73" s="264">
        <f>O73*VLOOKUP(G62,PRate01,2,FALSE)</f>
        <v>0</v>
      </c>
      <c r="Q73" s="264">
        <f>P73*VLOOKUP(H62,PRate01,2,FALSE)</f>
        <v>0</v>
      </c>
      <c r="S73" s="37" t="s">
        <v>1001</v>
      </c>
      <c r="T73" s="210"/>
      <c r="V73" s="398">
        <v>10</v>
      </c>
      <c r="W73" s="394">
        <f t="shared" si="54"/>
        <v>0</v>
      </c>
      <c r="X73" s="394">
        <f t="shared" si="55"/>
        <v>0</v>
      </c>
      <c r="Y73" s="397"/>
      <c r="Z73" s="397"/>
      <c r="AA73" s="397"/>
    </row>
    <row r="74" spans="3:30" ht="12.75" hidden="1" customHeight="1" outlineLevel="1" x14ac:dyDescent="0.2">
      <c r="D74" s="37" t="s">
        <v>468</v>
      </c>
      <c r="E74" s="262"/>
      <c r="F74" s="261"/>
      <c r="G74" s="261"/>
      <c r="H74" s="261"/>
      <c r="I74" s="261"/>
      <c r="J74" s="261"/>
      <c r="K74" s="261"/>
      <c r="L74" s="261"/>
      <c r="M74" s="261"/>
      <c r="N74" s="261"/>
      <c r="O74" s="391"/>
      <c r="P74" s="395">
        <f>E74</f>
        <v>0</v>
      </c>
      <c r="Q74" s="264">
        <f>P74*VLOOKUP(G62,PRate01,2,FALSE)</f>
        <v>0</v>
      </c>
      <c r="S74" s="37" t="s">
        <v>1002</v>
      </c>
      <c r="T74" s="210"/>
      <c r="V74" s="398">
        <v>11</v>
      </c>
      <c r="W74" s="394">
        <f t="shared" si="54"/>
        <v>0</v>
      </c>
      <c r="X74" s="394">
        <f t="shared" si="55"/>
        <v>0</v>
      </c>
      <c r="Y74" s="397"/>
      <c r="Z74" s="397"/>
      <c r="AA74" s="397"/>
    </row>
    <row r="75" spans="3:30" ht="12.75" hidden="1" customHeight="1" outlineLevel="1" x14ac:dyDescent="0.2">
      <c r="D75" s="37" t="s">
        <v>469</v>
      </c>
      <c r="E75" s="262"/>
      <c r="F75" s="261"/>
      <c r="G75" s="261"/>
      <c r="H75" s="261"/>
      <c r="I75" s="261"/>
      <c r="J75" s="261"/>
      <c r="K75" s="261"/>
      <c r="L75" s="261"/>
      <c r="M75" s="261"/>
      <c r="N75" s="261"/>
      <c r="O75" s="391"/>
      <c r="P75" s="391"/>
      <c r="Q75" s="395">
        <f>E75</f>
        <v>0</v>
      </c>
      <c r="V75" s="398">
        <v>12</v>
      </c>
      <c r="W75" s="399"/>
      <c r="X75" s="394">
        <f t="shared" si="55"/>
        <v>0</v>
      </c>
      <c r="Y75" s="397"/>
      <c r="Z75" s="397"/>
      <c r="AA75" s="397"/>
    </row>
    <row r="76" spans="3:30" ht="12.75" hidden="1" customHeight="1" outlineLevel="1" x14ac:dyDescent="0.2"/>
    <row r="77" spans="3:30" ht="12.75" hidden="1" customHeight="1" outlineLevel="1" x14ac:dyDescent="0.2">
      <c r="Z77" s="542" t="str">
        <f>IF(AC79&lt;&gt;"",MsgNote &amp; VLOOKUP("PRate",WarningMessages,2),"")</f>
        <v/>
      </c>
      <c r="AA77" s="542"/>
      <c r="AB77" s="542"/>
      <c r="AC77" s="542"/>
      <c r="AD77" s="542"/>
    </row>
    <row r="78" spans="3:30" ht="12.75" hidden="1" customHeight="1" outlineLevel="1" x14ac:dyDescent="0.2">
      <c r="L78" s="121"/>
      <c r="M78" s="121"/>
      <c r="N78" s="121"/>
      <c r="O78" s="121"/>
      <c r="P78" s="121"/>
      <c r="Q78" s="121"/>
    </row>
    <row r="79" spans="3:30" ht="12.75" hidden="1" customHeight="1" outlineLevel="1" x14ac:dyDescent="0.2">
      <c r="D79" s="260"/>
      <c r="F79" s="74">
        <f t="shared" ref="F79" si="86">G79-1</f>
        <v>2020</v>
      </c>
      <c r="G79" s="74">
        <f t="shared" ref="G79" si="87">H79-1</f>
        <v>2021</v>
      </c>
      <c r="H79" s="74">
        <f t="shared" ref="H79" si="88">I79-1</f>
        <v>2022</v>
      </c>
      <c r="I79" s="74">
        <f t="shared" ref="I79" si="89">J79-1</f>
        <v>2023</v>
      </c>
      <c r="J79" s="74">
        <f t="shared" ref="J79" si="90">K79-1</f>
        <v>2024</v>
      </c>
      <c r="K79" s="74">
        <f t="shared" ref="K79" si="91">L79-1</f>
        <v>2025</v>
      </c>
      <c r="L79" s="74">
        <f>FirstYear</f>
        <v>2026</v>
      </c>
      <c r="M79" s="74">
        <f>L79+1</f>
        <v>2027</v>
      </c>
      <c r="N79" s="74">
        <f>M79+1</f>
        <v>2028</v>
      </c>
      <c r="O79" s="74">
        <f>N79+1</f>
        <v>2029</v>
      </c>
      <c r="P79" s="74">
        <f>O79+1</f>
        <v>2030</v>
      </c>
      <c r="Q79" s="74">
        <f>P79+1</f>
        <v>2031</v>
      </c>
      <c r="S79" s="675" t="s">
        <v>1288</v>
      </c>
      <c r="T79" s="675"/>
      <c r="Z79" s="673" t="s">
        <v>1291</v>
      </c>
      <c r="AA79" s="673"/>
      <c r="AB79" s="673"/>
      <c r="AC79" s="210"/>
    </row>
    <row r="80" spans="3:30" ht="12.75" hidden="1" customHeight="1" outlineLevel="1" x14ac:dyDescent="0.2">
      <c r="C80" s="396">
        <v>12</v>
      </c>
      <c r="D80" s="674" t="s">
        <v>273</v>
      </c>
      <c r="E80" s="643"/>
      <c r="F80" s="395">
        <f>F64*VLOOKUP(C91,PRate01,3,FALSE)</f>
        <v>0</v>
      </c>
      <c r="G80" s="395">
        <f>G64*VLOOKUP(C90,PRate01,3,FALSE)</f>
        <v>0</v>
      </c>
      <c r="H80" s="395">
        <f>H64*VLOOKUP(C89,PRate01,3,FALSE)</f>
        <v>0</v>
      </c>
      <c r="I80" s="395">
        <f>I64*VLOOKUP(C88,PRate01,3,FALSE)</f>
        <v>0</v>
      </c>
      <c r="J80" s="395">
        <f>J64*VLOOKUP(C87,PRate01,3,FALSE)</f>
        <v>0</v>
      </c>
      <c r="K80" s="395">
        <f t="shared" ref="K80:K85" si="92">K64*VLOOKUP(C86,PRate01,3,FALSE)</f>
        <v>0</v>
      </c>
      <c r="L80" s="395">
        <f t="shared" ref="L80:L86" si="93">L64*VLOOKUP(C85,PRate01,3,FALSE)</f>
        <v>0</v>
      </c>
      <c r="M80" s="395">
        <f t="shared" ref="M80:M87" si="94">M64*VLOOKUP(C84,PRate01,3,FALSE)</f>
        <v>0</v>
      </c>
      <c r="N80" s="395">
        <f t="shared" ref="N80:N88" si="95">N64*VLOOKUP(C83,PRate01,3,FALSE)</f>
        <v>0</v>
      </c>
      <c r="O80" s="395">
        <f t="shared" ref="O80:O89" si="96">O64*VLOOKUP(C82,PRate01,3,FALSE)</f>
        <v>0</v>
      </c>
      <c r="P80" s="395">
        <f t="shared" ref="P80:P90" si="97">P64*VLOOKUP(C81,PRate01,3,FALSE)</f>
        <v>0</v>
      </c>
      <c r="Q80" s="395">
        <f t="shared" ref="Q80:Q91" si="98">Q64*VLOOKUP(C80,PRate01,3,FALSE)</f>
        <v>0</v>
      </c>
      <c r="S80" s="392" t="s">
        <v>992</v>
      </c>
      <c r="T80" s="393"/>
      <c r="X80" s="397"/>
      <c r="Y80" s="397"/>
      <c r="Z80" s="397"/>
      <c r="AA80" s="397"/>
    </row>
    <row r="81" spans="1:30" ht="12.75" hidden="1" customHeight="1" outlineLevel="1" x14ac:dyDescent="0.2">
      <c r="C81" s="396">
        <v>11</v>
      </c>
      <c r="D81" s="674" t="s">
        <v>274</v>
      </c>
      <c r="E81" s="643"/>
      <c r="F81" s="261"/>
      <c r="G81" s="395">
        <f>G65*VLOOKUP(C91,PRate01,3,FALSE)</f>
        <v>0</v>
      </c>
      <c r="H81" s="395">
        <f>H65*VLOOKUP(C90,PRate01,3,FALSE)</f>
        <v>0</v>
      </c>
      <c r="I81" s="395">
        <f>I65*VLOOKUP(C89,PRate01,3,FALSE)</f>
        <v>0</v>
      </c>
      <c r="J81" s="395">
        <f>J65*VLOOKUP(C88,PRate01,3,FALSE)</f>
        <v>0</v>
      </c>
      <c r="K81" s="395">
        <f t="shared" si="92"/>
        <v>0</v>
      </c>
      <c r="L81" s="395">
        <f t="shared" si="93"/>
        <v>0</v>
      </c>
      <c r="M81" s="395">
        <f t="shared" si="94"/>
        <v>0</v>
      </c>
      <c r="N81" s="395">
        <f t="shared" si="95"/>
        <v>0</v>
      </c>
      <c r="O81" s="395">
        <f t="shared" si="96"/>
        <v>0</v>
      </c>
      <c r="P81" s="395">
        <f t="shared" si="97"/>
        <v>0</v>
      </c>
      <c r="Q81" s="395">
        <f t="shared" si="98"/>
        <v>0</v>
      </c>
      <c r="S81" s="37" t="s">
        <v>993</v>
      </c>
      <c r="T81" s="210"/>
      <c r="X81" s="397"/>
      <c r="Y81" s="397"/>
      <c r="Z81" s="37" t="s">
        <v>249</v>
      </c>
      <c r="AA81" s="575"/>
      <c r="AB81" s="575"/>
      <c r="AC81" s="575"/>
      <c r="AD81" s="575"/>
    </row>
    <row r="82" spans="1:30" ht="12.75" hidden="1" customHeight="1" outlineLevel="1" x14ac:dyDescent="0.2">
      <c r="C82" s="396">
        <v>10</v>
      </c>
      <c r="D82" s="674" t="s">
        <v>275</v>
      </c>
      <c r="E82" s="643"/>
      <c r="F82" s="261"/>
      <c r="G82" s="261"/>
      <c r="H82" s="395">
        <f>H66*VLOOKUP(C91,PRate01,3,FALSE)</f>
        <v>0</v>
      </c>
      <c r="I82" s="395">
        <f>I66*VLOOKUP(C90,PRate01,3,FALSE)</f>
        <v>0</v>
      </c>
      <c r="J82" s="395">
        <f>J66*VLOOKUP(C89,PRate01,3,FALSE)</f>
        <v>0</v>
      </c>
      <c r="K82" s="395">
        <f t="shared" si="92"/>
        <v>0</v>
      </c>
      <c r="L82" s="395">
        <f t="shared" si="93"/>
        <v>0</v>
      </c>
      <c r="M82" s="395">
        <f t="shared" si="94"/>
        <v>0</v>
      </c>
      <c r="N82" s="395">
        <f t="shared" si="95"/>
        <v>0</v>
      </c>
      <c r="O82" s="395">
        <f t="shared" si="96"/>
        <v>0</v>
      </c>
      <c r="P82" s="395">
        <f t="shared" si="97"/>
        <v>0</v>
      </c>
      <c r="Q82" s="395">
        <f t="shared" si="98"/>
        <v>0</v>
      </c>
      <c r="S82" s="37" t="s">
        <v>994</v>
      </c>
      <c r="T82" s="210"/>
      <c r="X82" s="397"/>
      <c r="Y82" s="397"/>
      <c r="Z82" s="397"/>
      <c r="AA82" s="397"/>
    </row>
    <row r="83" spans="1:30" ht="12.75" hidden="1" customHeight="1" outlineLevel="1" x14ac:dyDescent="0.2">
      <c r="C83" s="396">
        <v>9</v>
      </c>
      <c r="D83" s="674" t="s">
        <v>276</v>
      </c>
      <c r="E83" s="643"/>
      <c r="F83" s="261"/>
      <c r="G83" s="261"/>
      <c r="H83" s="261"/>
      <c r="I83" s="395">
        <f>I67*VLOOKUP(C91,PRate01,3,FALSE)</f>
        <v>0</v>
      </c>
      <c r="J83" s="395">
        <f>J67*VLOOKUP(C90,PRate01,3,FALSE)</f>
        <v>0</v>
      </c>
      <c r="K83" s="395">
        <f t="shared" si="92"/>
        <v>0</v>
      </c>
      <c r="L83" s="395">
        <f t="shared" si="93"/>
        <v>0</v>
      </c>
      <c r="M83" s="395">
        <f t="shared" si="94"/>
        <v>0</v>
      </c>
      <c r="N83" s="395">
        <f t="shared" si="95"/>
        <v>0</v>
      </c>
      <c r="O83" s="395">
        <f t="shared" si="96"/>
        <v>0</v>
      </c>
      <c r="P83" s="395">
        <f t="shared" si="97"/>
        <v>0</v>
      </c>
      <c r="Q83" s="395">
        <f t="shared" si="98"/>
        <v>0</v>
      </c>
      <c r="S83" s="37" t="s">
        <v>995</v>
      </c>
      <c r="T83" s="210"/>
      <c r="X83" s="397"/>
      <c r="Y83" s="397"/>
      <c r="Z83" s="397"/>
      <c r="AA83" s="397"/>
    </row>
    <row r="84" spans="1:30" ht="12.75" hidden="1" customHeight="1" outlineLevel="1" x14ac:dyDescent="0.2">
      <c r="C84" s="396">
        <v>8</v>
      </c>
      <c r="D84" s="674" t="s">
        <v>277</v>
      </c>
      <c r="E84" s="643"/>
      <c r="F84" s="261"/>
      <c r="G84" s="261"/>
      <c r="H84" s="261"/>
      <c r="I84" s="261"/>
      <c r="J84" s="395">
        <f>J68*VLOOKUP(C91,PRate01,3,FALSE)</f>
        <v>0</v>
      </c>
      <c r="K84" s="395">
        <f t="shared" si="92"/>
        <v>0</v>
      </c>
      <c r="L84" s="395">
        <f t="shared" si="93"/>
        <v>0</v>
      </c>
      <c r="M84" s="395">
        <f t="shared" si="94"/>
        <v>0</v>
      </c>
      <c r="N84" s="395">
        <f t="shared" si="95"/>
        <v>0</v>
      </c>
      <c r="O84" s="395">
        <f t="shared" si="96"/>
        <v>0</v>
      </c>
      <c r="P84" s="395">
        <f t="shared" si="97"/>
        <v>0</v>
      </c>
      <c r="Q84" s="395">
        <f t="shared" si="98"/>
        <v>0</v>
      </c>
      <c r="S84" s="37" t="s">
        <v>996</v>
      </c>
      <c r="T84" s="210"/>
      <c r="X84" s="397"/>
      <c r="Y84" s="397"/>
      <c r="Z84" s="397"/>
      <c r="AA84" s="397"/>
    </row>
    <row r="85" spans="1:30" ht="12.75" hidden="1" customHeight="1" outlineLevel="1" x14ac:dyDescent="0.2">
      <c r="C85" s="396">
        <v>7</v>
      </c>
      <c r="D85" s="674" t="s">
        <v>278</v>
      </c>
      <c r="E85" s="643"/>
      <c r="F85" s="261"/>
      <c r="G85" s="261"/>
      <c r="H85" s="261"/>
      <c r="I85" s="261"/>
      <c r="J85" s="261"/>
      <c r="K85" s="395">
        <f t="shared" si="92"/>
        <v>0</v>
      </c>
      <c r="L85" s="395">
        <f t="shared" si="93"/>
        <v>0</v>
      </c>
      <c r="M85" s="395">
        <f t="shared" si="94"/>
        <v>0</v>
      </c>
      <c r="N85" s="395">
        <f t="shared" si="95"/>
        <v>0</v>
      </c>
      <c r="O85" s="395">
        <f t="shared" si="96"/>
        <v>0</v>
      </c>
      <c r="P85" s="395">
        <f t="shared" si="97"/>
        <v>0</v>
      </c>
      <c r="Q85" s="395">
        <f t="shared" si="98"/>
        <v>0</v>
      </c>
      <c r="S85" s="37" t="s">
        <v>997</v>
      </c>
      <c r="T85" s="210"/>
      <c r="X85" s="397"/>
      <c r="Y85" s="397"/>
      <c r="Z85" s="397"/>
      <c r="AA85" s="397"/>
    </row>
    <row r="86" spans="1:30" ht="12.75" hidden="1" customHeight="1" outlineLevel="1" x14ac:dyDescent="0.2">
      <c r="C86" s="396">
        <v>6</v>
      </c>
      <c r="D86" s="674" t="s">
        <v>464</v>
      </c>
      <c r="E86" s="643"/>
      <c r="F86" s="261"/>
      <c r="G86" s="261"/>
      <c r="H86" s="261"/>
      <c r="I86" s="261"/>
      <c r="J86" s="261"/>
      <c r="K86" s="261"/>
      <c r="L86" s="395">
        <f t="shared" si="93"/>
        <v>0</v>
      </c>
      <c r="M86" s="395">
        <f t="shared" si="94"/>
        <v>0</v>
      </c>
      <c r="N86" s="395">
        <f t="shared" si="95"/>
        <v>0</v>
      </c>
      <c r="O86" s="395">
        <f t="shared" si="96"/>
        <v>0</v>
      </c>
      <c r="P86" s="395">
        <f t="shared" si="97"/>
        <v>0</v>
      </c>
      <c r="Q86" s="395">
        <f t="shared" si="98"/>
        <v>0</v>
      </c>
      <c r="S86" s="37" t="s">
        <v>998</v>
      </c>
      <c r="T86" s="210"/>
      <c r="X86" s="397"/>
      <c r="Y86" s="397"/>
      <c r="Z86" s="397"/>
      <c r="AA86" s="397"/>
    </row>
    <row r="87" spans="1:30" ht="12.75" hidden="1" customHeight="1" outlineLevel="1" x14ac:dyDescent="0.2">
      <c r="C87" s="396">
        <v>5</v>
      </c>
      <c r="D87" s="674" t="s">
        <v>465</v>
      </c>
      <c r="E87" s="643"/>
      <c r="F87" s="261"/>
      <c r="G87" s="261"/>
      <c r="H87" s="261"/>
      <c r="I87" s="261"/>
      <c r="J87" s="261"/>
      <c r="K87" s="261"/>
      <c r="L87" s="261"/>
      <c r="M87" s="395">
        <f t="shared" si="94"/>
        <v>0</v>
      </c>
      <c r="N87" s="395">
        <f t="shared" si="95"/>
        <v>0</v>
      </c>
      <c r="O87" s="395">
        <f t="shared" si="96"/>
        <v>0</v>
      </c>
      <c r="P87" s="395">
        <f t="shared" si="97"/>
        <v>0</v>
      </c>
      <c r="Q87" s="395">
        <f t="shared" si="98"/>
        <v>0</v>
      </c>
      <c r="S87" s="37" t="s">
        <v>999</v>
      </c>
      <c r="T87" s="210"/>
      <c r="X87" s="397"/>
      <c r="Y87" s="397"/>
      <c r="Z87" s="397"/>
      <c r="AA87" s="397"/>
    </row>
    <row r="88" spans="1:30" ht="12.75" hidden="1" customHeight="1" outlineLevel="1" x14ac:dyDescent="0.2">
      <c r="C88" s="396">
        <v>4</v>
      </c>
      <c r="D88" s="674" t="s">
        <v>466</v>
      </c>
      <c r="E88" s="643"/>
      <c r="F88" s="261"/>
      <c r="G88" s="261"/>
      <c r="H88" s="261"/>
      <c r="I88" s="261"/>
      <c r="J88" s="261"/>
      <c r="K88" s="261"/>
      <c r="L88" s="261"/>
      <c r="M88" s="261"/>
      <c r="N88" s="395">
        <f t="shared" si="95"/>
        <v>0</v>
      </c>
      <c r="O88" s="395">
        <f t="shared" si="96"/>
        <v>0</v>
      </c>
      <c r="P88" s="395">
        <f t="shared" si="97"/>
        <v>0</v>
      </c>
      <c r="Q88" s="395">
        <f t="shared" si="98"/>
        <v>0</v>
      </c>
      <c r="S88" s="37" t="s">
        <v>1000</v>
      </c>
      <c r="T88" s="210"/>
      <c r="X88" s="397"/>
      <c r="Y88" s="397"/>
      <c r="Z88" s="397"/>
      <c r="AA88" s="397"/>
    </row>
    <row r="89" spans="1:30" ht="12.75" hidden="1" customHeight="1" outlineLevel="1" x14ac:dyDescent="0.2">
      <c r="C89" s="396">
        <v>3</v>
      </c>
      <c r="D89" s="674" t="s">
        <v>467</v>
      </c>
      <c r="E89" s="643"/>
      <c r="F89" s="261"/>
      <c r="G89" s="261"/>
      <c r="H89" s="261"/>
      <c r="I89" s="261"/>
      <c r="J89" s="261"/>
      <c r="K89" s="261"/>
      <c r="L89" s="261"/>
      <c r="M89" s="261"/>
      <c r="N89" s="261"/>
      <c r="O89" s="395">
        <f t="shared" si="96"/>
        <v>0</v>
      </c>
      <c r="P89" s="395">
        <f t="shared" si="97"/>
        <v>0</v>
      </c>
      <c r="Q89" s="395">
        <f t="shared" si="98"/>
        <v>0</v>
      </c>
      <c r="S89" s="37" t="s">
        <v>1001</v>
      </c>
      <c r="T89" s="210"/>
      <c r="X89" s="397"/>
      <c r="Y89" s="397"/>
      <c r="Z89" s="397"/>
      <c r="AA89" s="397"/>
    </row>
    <row r="90" spans="1:30" ht="12.75" hidden="1" customHeight="1" outlineLevel="1" x14ac:dyDescent="0.2">
      <c r="C90" s="396">
        <v>2</v>
      </c>
      <c r="D90" s="674" t="s">
        <v>468</v>
      </c>
      <c r="E90" s="643"/>
      <c r="F90" s="261"/>
      <c r="G90" s="261"/>
      <c r="H90" s="261"/>
      <c r="I90" s="261"/>
      <c r="J90" s="261"/>
      <c r="K90" s="261"/>
      <c r="L90" s="261"/>
      <c r="M90" s="261"/>
      <c r="N90" s="261"/>
      <c r="O90" s="391"/>
      <c r="P90" s="395">
        <f t="shared" si="97"/>
        <v>0</v>
      </c>
      <c r="Q90" s="395">
        <f t="shared" si="98"/>
        <v>0</v>
      </c>
      <c r="S90" s="37" t="s">
        <v>1002</v>
      </c>
      <c r="T90" s="210"/>
      <c r="X90" s="397"/>
      <c r="Y90" s="397"/>
      <c r="Z90" s="397"/>
      <c r="AA90" s="397"/>
    </row>
    <row r="91" spans="1:30" ht="12.75" hidden="1" customHeight="1" outlineLevel="1" x14ac:dyDescent="0.2">
      <c r="C91" s="396">
        <v>1</v>
      </c>
      <c r="D91" s="674" t="s">
        <v>469</v>
      </c>
      <c r="E91" s="643"/>
      <c r="F91" s="261"/>
      <c r="G91" s="261"/>
      <c r="H91" s="261"/>
      <c r="I91" s="261"/>
      <c r="J91" s="261"/>
      <c r="K91" s="261"/>
      <c r="L91" s="261"/>
      <c r="M91" s="261"/>
      <c r="N91" s="261"/>
      <c r="O91" s="391"/>
      <c r="P91" s="391"/>
      <c r="Q91" s="395">
        <f t="shared" si="98"/>
        <v>0</v>
      </c>
      <c r="S91" s="37" t="s">
        <v>1022</v>
      </c>
      <c r="T91" s="210"/>
    </row>
    <row r="92" spans="1:30" ht="12.75" hidden="1" customHeight="1" outlineLevel="1" x14ac:dyDescent="0.2">
      <c r="K92" s="258" t="s">
        <v>73</v>
      </c>
      <c r="L92" s="263">
        <f>IFERROR((SUM(L80:L85)+IF(MATCH($AC$92,Switch,0)=1,L86,0)),0)</f>
        <v>0</v>
      </c>
      <c r="M92" s="263">
        <f>IFERROR((SUM(M80:M86)+IF(MATCH($AC$92,Switch,0)=1,M87,0)),0)</f>
        <v>0</v>
      </c>
      <c r="N92" s="263">
        <f>IFERROR((SUM(N80:N87)+IF(MATCH($AC$92,Switch,0)=1,N88,0)),0)</f>
        <v>0</v>
      </c>
      <c r="O92" s="263">
        <f>IFERROR((SUM(O80:O88)+IF(MATCH($AC$92,Switch,0)=1,O89,0)),0)</f>
        <v>0</v>
      </c>
      <c r="P92" s="263">
        <f>IFERROR((SUM(P80:P89)+IF(MATCH($AC$92,Switch,0)=1,P90,0)),0)</f>
        <v>0</v>
      </c>
      <c r="Q92" s="263">
        <f>IFERROR((SUM(Q80:Q90)+IF(MATCH($AC$92,Switch,0)=1,Q91,0)),0)</f>
        <v>0</v>
      </c>
      <c r="Z92" s="670" t="s">
        <v>1289</v>
      </c>
      <c r="AA92" s="671"/>
      <c r="AB92" s="672"/>
      <c r="AC92" s="227" t="s">
        <v>9</v>
      </c>
    </row>
    <row r="93" spans="1:30" ht="12.75" hidden="1" customHeight="1" outlineLevel="1" x14ac:dyDescent="0.2"/>
    <row r="94" spans="1:30" ht="12.75" customHeight="1" collapsed="1" x14ac:dyDescent="0.2"/>
    <row r="95" spans="1:30" ht="15.75" x14ac:dyDescent="0.2">
      <c r="A95" s="172"/>
      <c r="B95" s="209">
        <f>IF(G97&lt;&gt;"",1,0)</f>
        <v>0</v>
      </c>
      <c r="C95" s="209">
        <v>3</v>
      </c>
      <c r="D95" s="72" t="str">
        <f>IF(B95=0,MsgNotUsed, CONCATENATE("Persistent ", C95, ": ", G97, " (", F101, "-", Q101, ")"))</f>
        <v>** NOT USED **</v>
      </c>
      <c r="E95" s="113"/>
      <c r="F95" s="113"/>
      <c r="G95" s="113"/>
      <c r="H95" s="113"/>
      <c r="I95" s="113"/>
      <c r="J95" s="154"/>
      <c r="K95" s="113"/>
      <c r="L95" s="113"/>
      <c r="M95" s="113"/>
      <c r="N95" s="224"/>
      <c r="O95" s="224"/>
      <c r="P95" s="224"/>
      <c r="Q95" s="224"/>
      <c r="R95" s="224"/>
      <c r="S95" s="224"/>
      <c r="T95" s="224"/>
      <c r="U95" s="224"/>
      <c r="V95" s="224"/>
      <c r="W95" s="224"/>
      <c r="X95" s="224"/>
      <c r="Y95" s="224"/>
      <c r="Z95" s="224"/>
      <c r="AA95" s="224"/>
      <c r="AB95" s="224"/>
      <c r="AC95" s="224"/>
      <c r="AD95" s="224"/>
    </row>
    <row r="96" spans="1:30" ht="12.75" hidden="1" customHeight="1" outlineLevel="1" x14ac:dyDescent="0.2"/>
    <row r="97" spans="4:30" ht="12.75" hidden="1" customHeight="1" outlineLevel="1" x14ac:dyDescent="0.2">
      <c r="F97" s="37" t="s">
        <v>470</v>
      </c>
      <c r="G97" s="669"/>
      <c r="H97" s="642"/>
      <c r="I97" s="642"/>
      <c r="J97" s="642"/>
      <c r="K97" s="642"/>
      <c r="L97" s="643"/>
    </row>
    <row r="98" spans="4:30" ht="12.75" hidden="1" customHeight="1" outlineLevel="1" x14ac:dyDescent="0.2"/>
    <row r="99" spans="4:30" ht="12.75" hidden="1" customHeight="1" outlineLevel="1" x14ac:dyDescent="0.2">
      <c r="F99" s="37" t="s">
        <v>249</v>
      </c>
      <c r="G99" s="669"/>
      <c r="H99" s="642"/>
      <c r="I99" s="642"/>
      <c r="J99" s="642"/>
      <c r="K99" s="642"/>
      <c r="L99" s="643"/>
      <c r="Z99" s="542" t="str">
        <f>IF(AC101&lt;&gt;"",MsgNote &amp; VLOOKUP("PRate",WarningMessages,2),"")</f>
        <v/>
      </c>
      <c r="AA99" s="542"/>
      <c r="AB99" s="542"/>
      <c r="AC99" s="542"/>
      <c r="AD99" s="542"/>
    </row>
    <row r="100" spans="4:30" ht="12.75" hidden="1" customHeight="1" outlineLevel="1" x14ac:dyDescent="0.2">
      <c r="G100" s="400">
        <v>1</v>
      </c>
      <c r="H100" s="400">
        <v>2</v>
      </c>
      <c r="I100" s="400">
        <v>3</v>
      </c>
      <c r="J100" s="400">
        <v>4</v>
      </c>
      <c r="K100" s="400">
        <v>5</v>
      </c>
      <c r="L100" s="400">
        <v>6</v>
      </c>
      <c r="M100" s="400">
        <v>7</v>
      </c>
      <c r="N100" s="400">
        <v>8</v>
      </c>
      <c r="O100" s="400">
        <v>9</v>
      </c>
      <c r="P100" s="400">
        <v>10</v>
      </c>
      <c r="Q100" s="400">
        <v>11</v>
      </c>
    </row>
    <row r="101" spans="4:30" ht="12.75" hidden="1" customHeight="1" outlineLevel="1" x14ac:dyDescent="0.2">
      <c r="D101" s="260"/>
      <c r="E101" s="74" t="s">
        <v>1052</v>
      </c>
      <c r="F101" s="74">
        <f t="shared" ref="F101" si="99">G101-1</f>
        <v>2020</v>
      </c>
      <c r="G101" s="74">
        <f t="shared" ref="G101" si="100">H101-1</f>
        <v>2021</v>
      </c>
      <c r="H101" s="74">
        <f t="shared" ref="H101" si="101">I101-1</f>
        <v>2022</v>
      </c>
      <c r="I101" s="74">
        <f t="shared" ref="I101" si="102">J101-1</f>
        <v>2023</v>
      </c>
      <c r="J101" s="74">
        <f t="shared" ref="J101" si="103">K101-1</f>
        <v>2024</v>
      </c>
      <c r="K101" s="74">
        <f t="shared" ref="K101" si="104">L101-1</f>
        <v>2025</v>
      </c>
      <c r="L101" s="74">
        <f>FirstYear</f>
        <v>2026</v>
      </c>
      <c r="M101" s="74">
        <f>L101+1</f>
        <v>2027</v>
      </c>
      <c r="N101" s="74">
        <f>M101+1</f>
        <v>2028</v>
      </c>
      <c r="O101" s="74">
        <f>N101+1</f>
        <v>2029</v>
      </c>
      <c r="P101" s="74">
        <f>O101+1</f>
        <v>2030</v>
      </c>
      <c r="Q101" s="74">
        <f>P101+1</f>
        <v>2031</v>
      </c>
      <c r="S101" s="675" t="s">
        <v>1287</v>
      </c>
      <c r="T101" s="675"/>
      <c r="Z101" s="673" t="s">
        <v>1290</v>
      </c>
      <c r="AA101" s="673"/>
      <c r="AB101" s="673"/>
      <c r="AC101" s="210"/>
    </row>
    <row r="102" spans="4:30" ht="12.75" hidden="1" customHeight="1" outlineLevel="1" x14ac:dyDescent="0.2">
      <c r="D102" s="37" t="s">
        <v>273</v>
      </c>
      <c r="E102" s="262"/>
      <c r="F102" s="264">
        <f>E102</f>
        <v>0</v>
      </c>
      <c r="G102" s="264">
        <f t="shared" ref="G102" si="105">F102*VLOOKUP(G100,PRate01,2,FALSE)</f>
        <v>0</v>
      </c>
      <c r="H102" s="264">
        <f t="shared" ref="H102" si="106">G102*VLOOKUP(H100,PRate01,2,FALSE)</f>
        <v>0</v>
      </c>
      <c r="I102" s="264">
        <f t="shared" ref="I102" si="107">H102*VLOOKUP(I100,PRate01,2,FALSE)</f>
        <v>0</v>
      </c>
      <c r="J102" s="264">
        <f t="shared" ref="J102" si="108">I102*VLOOKUP(J100,PRate01,2,FALSE)</f>
        <v>0</v>
      </c>
      <c r="K102" s="264">
        <f t="shared" ref="K102" si="109">J102*VLOOKUP(K100,PRate01,2,FALSE)</f>
        <v>0</v>
      </c>
      <c r="L102" s="264">
        <f t="shared" ref="L102" si="110">K102*VLOOKUP(L100,PRate01,2,FALSE)</f>
        <v>0</v>
      </c>
      <c r="M102" s="264">
        <f t="shared" ref="M102" si="111">L102*VLOOKUP(M100,PRate01,2,FALSE)</f>
        <v>0</v>
      </c>
      <c r="N102" s="264">
        <f t="shared" ref="N102" si="112">M102*VLOOKUP(N100,PRate01,2,FALSE)</f>
        <v>0</v>
      </c>
      <c r="O102" s="264">
        <f t="shared" ref="O102" si="113">N102*VLOOKUP(O100,PRate01,2,FALSE)</f>
        <v>0</v>
      </c>
      <c r="P102" s="264">
        <f t="shared" ref="P102" si="114">O102*VLOOKUP(P100,PRate01,2,FALSE)</f>
        <v>0</v>
      </c>
      <c r="Q102" s="264">
        <f t="shared" ref="Q102" si="115">P102*VLOOKUP(Q100,PRate01,2,FALSE)</f>
        <v>0</v>
      </c>
      <c r="S102" s="392" t="s">
        <v>992</v>
      </c>
      <c r="T102" s="393"/>
      <c r="V102" s="398">
        <v>1</v>
      </c>
      <c r="W102" s="394">
        <f>IF($AC$101&lt;&gt;"",$AC$101,T102)</f>
        <v>0</v>
      </c>
      <c r="X102" s="394">
        <f>IF($AC$117&lt;&gt;"",$AC$117,T118)</f>
        <v>0</v>
      </c>
      <c r="Y102" s="397"/>
      <c r="Z102" s="397"/>
      <c r="AA102" s="397"/>
    </row>
    <row r="103" spans="4:30" ht="12.75" hidden="1" customHeight="1" outlineLevel="1" x14ac:dyDescent="0.2">
      <c r="D103" s="37" t="s">
        <v>274</v>
      </c>
      <c r="E103" s="262"/>
      <c r="F103" s="261"/>
      <c r="G103" s="264">
        <f>E103</f>
        <v>0</v>
      </c>
      <c r="H103" s="264">
        <f t="shared" ref="H103" si="116">G103*VLOOKUP(G100,PRate01,2,FALSE)</f>
        <v>0</v>
      </c>
      <c r="I103" s="264">
        <f t="shared" ref="I103" si="117">H103*VLOOKUP(H100,PRate01,2,FALSE)</f>
        <v>0</v>
      </c>
      <c r="J103" s="264">
        <f t="shared" ref="J103" si="118">I103*VLOOKUP(I100,PRate01,2,FALSE)</f>
        <v>0</v>
      </c>
      <c r="K103" s="264">
        <f t="shared" ref="K103" si="119">J103*VLOOKUP(J100,PRate01,2,FALSE)</f>
        <v>0</v>
      </c>
      <c r="L103" s="264">
        <f t="shared" ref="L103" si="120">K103*VLOOKUP(K100,PRate01,2,FALSE)</f>
        <v>0</v>
      </c>
      <c r="M103" s="264">
        <f t="shared" ref="M103" si="121">L103*VLOOKUP(L100,PRate01,2,FALSE)</f>
        <v>0</v>
      </c>
      <c r="N103" s="264">
        <f t="shared" ref="N103" si="122">M103*VLOOKUP(M100,PRate01,2,FALSE)</f>
        <v>0</v>
      </c>
      <c r="O103" s="264">
        <f t="shared" ref="O103" si="123">N103*VLOOKUP(N100,PRate01,2,FALSE)</f>
        <v>0</v>
      </c>
      <c r="P103" s="264">
        <f t="shared" ref="P103" si="124">O103*VLOOKUP(O100,PRate01,2,FALSE)</f>
        <v>0</v>
      </c>
      <c r="Q103" s="264">
        <f t="shared" ref="Q103" si="125">P103*VLOOKUP(P100,PRate01,2,FALSE)</f>
        <v>0</v>
      </c>
      <c r="S103" s="37" t="s">
        <v>993</v>
      </c>
      <c r="T103" s="210"/>
      <c r="V103" s="398">
        <v>2</v>
      </c>
      <c r="W103" s="394">
        <f t="shared" ref="W103:W112" si="126">IF($AC$101&lt;&gt;"",$AC$101,T103)</f>
        <v>0</v>
      </c>
      <c r="X103" s="394">
        <f t="shared" ref="X103:X113" si="127">IF($AC$117&lt;&gt;"",$AC$117,T119)</f>
        <v>0</v>
      </c>
      <c r="Z103" s="37" t="s">
        <v>249</v>
      </c>
      <c r="AA103" s="575"/>
      <c r="AB103" s="575"/>
      <c r="AC103" s="575"/>
      <c r="AD103" s="575"/>
    </row>
    <row r="104" spans="4:30" ht="12.75" hidden="1" customHeight="1" outlineLevel="1" x14ac:dyDescent="0.2">
      <c r="D104" s="37" t="s">
        <v>275</v>
      </c>
      <c r="E104" s="262"/>
      <c r="F104" s="261"/>
      <c r="G104" s="261"/>
      <c r="H104" s="264">
        <f>E104</f>
        <v>0</v>
      </c>
      <c r="I104" s="264">
        <f t="shared" ref="I104" si="128">H104*VLOOKUP(G100,PRate01,2,FALSE)</f>
        <v>0</v>
      </c>
      <c r="J104" s="264">
        <f t="shared" ref="J104" si="129">I104*VLOOKUP(H100,PRate01,2,FALSE)</f>
        <v>0</v>
      </c>
      <c r="K104" s="264">
        <f t="shared" ref="K104" si="130">J104*VLOOKUP(I100,PRate01,2,FALSE)</f>
        <v>0</v>
      </c>
      <c r="L104" s="264">
        <f t="shared" ref="L104" si="131">K104*VLOOKUP(J100,PRate01,2,FALSE)</f>
        <v>0</v>
      </c>
      <c r="M104" s="264">
        <f t="shared" ref="M104" si="132">L104*VLOOKUP(K100,PRate01,2,FALSE)</f>
        <v>0</v>
      </c>
      <c r="N104" s="264">
        <f t="shared" ref="N104" si="133">M104*VLOOKUP(L100,PRate01,2,FALSE)</f>
        <v>0</v>
      </c>
      <c r="O104" s="264">
        <f t="shared" ref="O104" si="134">N104*VLOOKUP(M100,PRate01,2,FALSE)</f>
        <v>0</v>
      </c>
      <c r="P104" s="264">
        <f t="shared" ref="P104" si="135">O104*VLOOKUP(N100,PRate01,2,FALSE)</f>
        <v>0</v>
      </c>
      <c r="Q104" s="264">
        <f t="shared" ref="Q104" si="136">P104*VLOOKUP(O100,PRate01,2,FALSE)</f>
        <v>0</v>
      </c>
      <c r="S104" s="37" t="s">
        <v>994</v>
      </c>
      <c r="T104" s="210"/>
      <c r="V104" s="398">
        <v>3</v>
      </c>
      <c r="W104" s="394">
        <f t="shared" si="126"/>
        <v>0</v>
      </c>
      <c r="X104" s="394">
        <f t="shared" si="127"/>
        <v>0</v>
      </c>
      <c r="Y104" s="397"/>
      <c r="Z104" s="397"/>
      <c r="AA104" s="397"/>
    </row>
    <row r="105" spans="4:30" ht="12.75" hidden="1" customHeight="1" outlineLevel="1" x14ac:dyDescent="0.2">
      <c r="D105" s="37" t="s">
        <v>276</v>
      </c>
      <c r="E105" s="262"/>
      <c r="F105" s="261"/>
      <c r="G105" s="261"/>
      <c r="H105" s="261"/>
      <c r="I105" s="264">
        <f>E105</f>
        <v>0</v>
      </c>
      <c r="J105" s="264">
        <f t="shared" ref="J105" si="137">I105*VLOOKUP(G100,PRate01,2,FALSE)</f>
        <v>0</v>
      </c>
      <c r="K105" s="264">
        <f t="shared" ref="K105" si="138">J105*VLOOKUP(H100,PRate01,2,FALSE)</f>
        <v>0</v>
      </c>
      <c r="L105" s="264">
        <f t="shared" ref="L105" si="139">K105*VLOOKUP(I100,PRate01,2,FALSE)</f>
        <v>0</v>
      </c>
      <c r="M105" s="264">
        <f t="shared" ref="M105" si="140">L105*VLOOKUP(J100,PRate01,2,FALSE)</f>
        <v>0</v>
      </c>
      <c r="N105" s="264">
        <f t="shared" ref="N105" si="141">M105*VLOOKUP(K100,PRate01,2,FALSE)</f>
        <v>0</v>
      </c>
      <c r="O105" s="264">
        <f t="shared" ref="O105" si="142">N105*VLOOKUP(L100,PRate01,2,FALSE)</f>
        <v>0</v>
      </c>
      <c r="P105" s="264">
        <f t="shared" ref="P105" si="143">O105*VLOOKUP(M100,PRate01,2,FALSE)</f>
        <v>0</v>
      </c>
      <c r="Q105" s="264">
        <f t="shared" ref="Q105" si="144">P105*VLOOKUP(N100,PRate01,2,FALSE)</f>
        <v>0</v>
      </c>
      <c r="S105" s="37" t="s">
        <v>995</v>
      </c>
      <c r="T105" s="210"/>
      <c r="V105" s="398">
        <v>4</v>
      </c>
      <c r="W105" s="394">
        <f t="shared" si="126"/>
        <v>0</v>
      </c>
      <c r="X105" s="394">
        <f t="shared" si="127"/>
        <v>0</v>
      </c>
      <c r="Y105" s="397"/>
      <c r="Z105" s="397"/>
      <c r="AA105" s="397"/>
    </row>
    <row r="106" spans="4:30" ht="12.75" hidden="1" customHeight="1" outlineLevel="1" x14ac:dyDescent="0.2">
      <c r="D106" s="37" t="s">
        <v>277</v>
      </c>
      <c r="E106" s="262"/>
      <c r="F106" s="261"/>
      <c r="G106" s="261"/>
      <c r="H106" s="261"/>
      <c r="I106" s="261"/>
      <c r="J106" s="264">
        <f>E106</f>
        <v>0</v>
      </c>
      <c r="K106" s="264">
        <f t="shared" ref="K106" si="145">J106*VLOOKUP(G100,PRate01,2,FALSE)</f>
        <v>0</v>
      </c>
      <c r="L106" s="264">
        <f t="shared" ref="L106" si="146">K106*VLOOKUP(H100,PRate01,2,FALSE)</f>
        <v>0</v>
      </c>
      <c r="M106" s="264">
        <f t="shared" ref="M106" si="147">L106*VLOOKUP(I100,PRate01,2,FALSE)</f>
        <v>0</v>
      </c>
      <c r="N106" s="264">
        <f t="shared" ref="N106" si="148">M106*VLOOKUP(J100,PRate01,2,FALSE)</f>
        <v>0</v>
      </c>
      <c r="O106" s="264">
        <f t="shared" ref="O106" si="149">N106*VLOOKUP(K100,PRate01,2,FALSE)</f>
        <v>0</v>
      </c>
      <c r="P106" s="264">
        <f t="shared" ref="P106" si="150">O106*VLOOKUP(L100,PRate01,2,FALSE)</f>
        <v>0</v>
      </c>
      <c r="Q106" s="264">
        <f t="shared" ref="Q106" si="151">P106*VLOOKUP(M100,PRate01,2,FALSE)</f>
        <v>0</v>
      </c>
      <c r="S106" s="37" t="s">
        <v>996</v>
      </c>
      <c r="T106" s="210"/>
      <c r="V106" s="398">
        <v>5</v>
      </c>
      <c r="W106" s="394">
        <f t="shared" si="126"/>
        <v>0</v>
      </c>
      <c r="X106" s="394">
        <f t="shared" si="127"/>
        <v>0</v>
      </c>
      <c r="Y106" s="397"/>
      <c r="Z106" s="397"/>
      <c r="AA106" s="397"/>
    </row>
    <row r="107" spans="4:30" ht="12.75" hidden="1" customHeight="1" outlineLevel="1" x14ac:dyDescent="0.2">
      <c r="D107" s="37" t="s">
        <v>278</v>
      </c>
      <c r="E107" s="262"/>
      <c r="F107" s="261"/>
      <c r="G107" s="261"/>
      <c r="H107" s="261"/>
      <c r="I107" s="261"/>
      <c r="J107" s="261"/>
      <c r="K107" s="264">
        <f>E107</f>
        <v>0</v>
      </c>
      <c r="L107" s="264">
        <f t="shared" ref="L107" si="152">K107*VLOOKUP(G100,PRate01,2,FALSE)</f>
        <v>0</v>
      </c>
      <c r="M107" s="264">
        <f t="shared" ref="M107" si="153">L107*VLOOKUP(H100,PRate01,2,FALSE)</f>
        <v>0</v>
      </c>
      <c r="N107" s="264">
        <f t="shared" ref="N107" si="154">M107*VLOOKUP(I100,PRate01,2,FALSE)</f>
        <v>0</v>
      </c>
      <c r="O107" s="264">
        <f t="shared" ref="O107" si="155">N107*VLOOKUP(J100,PRate01,2,FALSE)</f>
        <v>0</v>
      </c>
      <c r="P107" s="264">
        <f t="shared" ref="P107" si="156">O107*VLOOKUP(K100,PRate01,2,FALSE)</f>
        <v>0</v>
      </c>
      <c r="Q107" s="264">
        <f t="shared" ref="Q107" si="157">P107*VLOOKUP(L100,PRate01,2,FALSE)</f>
        <v>0</v>
      </c>
      <c r="S107" s="37" t="s">
        <v>997</v>
      </c>
      <c r="T107" s="210"/>
      <c r="V107" s="398">
        <v>6</v>
      </c>
      <c r="W107" s="394">
        <f t="shared" si="126"/>
        <v>0</v>
      </c>
      <c r="X107" s="394">
        <f t="shared" si="127"/>
        <v>0</v>
      </c>
      <c r="Y107" s="397"/>
      <c r="Z107" s="397"/>
      <c r="AA107" s="397"/>
    </row>
    <row r="108" spans="4:30" ht="12.75" hidden="1" customHeight="1" outlineLevel="1" x14ac:dyDescent="0.2">
      <c r="D108" s="37" t="s">
        <v>464</v>
      </c>
      <c r="E108" s="262"/>
      <c r="F108" s="261"/>
      <c r="G108" s="261"/>
      <c r="H108" s="261"/>
      <c r="I108" s="261"/>
      <c r="J108" s="261"/>
      <c r="K108" s="261"/>
      <c r="L108" s="264">
        <f>E108</f>
        <v>0</v>
      </c>
      <c r="M108" s="264">
        <f>L108*VLOOKUP(G100,PRate01,2,FALSE)</f>
        <v>0</v>
      </c>
      <c r="N108" s="264">
        <f>M108*VLOOKUP(H100,PRate01,2,FALSE)</f>
        <v>0</v>
      </c>
      <c r="O108" s="264">
        <f>N108*VLOOKUP(I100,PRate01,2,FALSE)</f>
        <v>0</v>
      </c>
      <c r="P108" s="264">
        <f>O108*VLOOKUP(J100,PRate01,2,FALSE)</f>
        <v>0</v>
      </c>
      <c r="Q108" s="264">
        <f>P108*VLOOKUP(K100,PRate01,2,FALSE)</f>
        <v>0</v>
      </c>
      <c r="S108" s="37" t="s">
        <v>998</v>
      </c>
      <c r="T108" s="210"/>
      <c r="V108" s="398">
        <v>7</v>
      </c>
      <c r="W108" s="394">
        <f t="shared" si="126"/>
        <v>0</v>
      </c>
      <c r="X108" s="394">
        <f t="shared" si="127"/>
        <v>0</v>
      </c>
      <c r="Y108" s="397"/>
      <c r="Z108" s="397"/>
      <c r="AA108" s="397"/>
    </row>
    <row r="109" spans="4:30" ht="12.75" hidden="1" customHeight="1" outlineLevel="1" x14ac:dyDescent="0.2">
      <c r="D109" s="37" t="s">
        <v>465</v>
      </c>
      <c r="E109" s="262"/>
      <c r="F109" s="261"/>
      <c r="G109" s="261"/>
      <c r="H109" s="261"/>
      <c r="I109" s="261"/>
      <c r="J109" s="261"/>
      <c r="K109" s="261"/>
      <c r="L109" s="261"/>
      <c r="M109" s="264">
        <f>E109</f>
        <v>0</v>
      </c>
      <c r="N109" s="264">
        <f>M109*VLOOKUP(G100,PRate01,2,FALSE)</f>
        <v>0</v>
      </c>
      <c r="O109" s="264">
        <f>N109*VLOOKUP(H100,PRate01,2,FALSE)</f>
        <v>0</v>
      </c>
      <c r="P109" s="264">
        <f>O109*VLOOKUP(I100,PRate01,2,FALSE)</f>
        <v>0</v>
      </c>
      <c r="Q109" s="264">
        <f>P109*VLOOKUP(J100,PRate01,2,FALSE)</f>
        <v>0</v>
      </c>
      <c r="S109" s="37" t="s">
        <v>999</v>
      </c>
      <c r="T109" s="210"/>
      <c r="V109" s="398">
        <v>8</v>
      </c>
      <c r="W109" s="394">
        <f t="shared" si="126"/>
        <v>0</v>
      </c>
      <c r="X109" s="394">
        <f t="shared" si="127"/>
        <v>0</v>
      </c>
      <c r="Y109" s="397"/>
      <c r="Z109" s="397"/>
      <c r="AA109" s="397"/>
    </row>
    <row r="110" spans="4:30" ht="12.75" hidden="1" customHeight="1" outlineLevel="1" x14ac:dyDescent="0.2">
      <c r="D110" s="37" t="s">
        <v>466</v>
      </c>
      <c r="E110" s="262"/>
      <c r="F110" s="261"/>
      <c r="G110" s="261"/>
      <c r="H110" s="261"/>
      <c r="I110" s="261"/>
      <c r="J110" s="261"/>
      <c r="K110" s="261"/>
      <c r="L110" s="261"/>
      <c r="M110" s="261"/>
      <c r="N110" s="264">
        <f>E110</f>
        <v>0</v>
      </c>
      <c r="O110" s="264">
        <f>N110*VLOOKUP(G100,PRate01,2,FALSE)</f>
        <v>0</v>
      </c>
      <c r="P110" s="264">
        <f>O110*VLOOKUP(H100,PRate01,2,FALSE)</f>
        <v>0</v>
      </c>
      <c r="Q110" s="264">
        <f>P110*VLOOKUP(I100,PRate01,2,FALSE)</f>
        <v>0</v>
      </c>
      <c r="S110" s="37" t="s">
        <v>1000</v>
      </c>
      <c r="T110" s="210"/>
      <c r="V110" s="398">
        <v>9</v>
      </c>
      <c r="W110" s="394">
        <f t="shared" si="126"/>
        <v>0</v>
      </c>
      <c r="X110" s="394">
        <f t="shared" si="127"/>
        <v>0</v>
      </c>
      <c r="Y110" s="397"/>
      <c r="Z110" s="397"/>
      <c r="AA110" s="397"/>
    </row>
    <row r="111" spans="4:30" ht="12.75" hidden="1" customHeight="1" outlineLevel="1" x14ac:dyDescent="0.2">
      <c r="D111" s="37" t="s">
        <v>467</v>
      </c>
      <c r="E111" s="262"/>
      <c r="F111" s="261"/>
      <c r="G111" s="261"/>
      <c r="H111" s="261"/>
      <c r="I111" s="261"/>
      <c r="J111" s="261"/>
      <c r="K111" s="261"/>
      <c r="L111" s="261"/>
      <c r="M111" s="261"/>
      <c r="N111" s="261"/>
      <c r="O111" s="395">
        <f>E111</f>
        <v>0</v>
      </c>
      <c r="P111" s="264">
        <f>O111*VLOOKUP(G100,PRate01,2,FALSE)</f>
        <v>0</v>
      </c>
      <c r="Q111" s="264">
        <f>P111*VLOOKUP(H100,PRate01,2,FALSE)</f>
        <v>0</v>
      </c>
      <c r="S111" s="37" t="s">
        <v>1001</v>
      </c>
      <c r="T111" s="210"/>
      <c r="V111" s="398">
        <v>10</v>
      </c>
      <c r="W111" s="394">
        <f t="shared" si="126"/>
        <v>0</v>
      </c>
      <c r="X111" s="394">
        <f t="shared" si="127"/>
        <v>0</v>
      </c>
      <c r="Y111" s="397"/>
      <c r="Z111" s="397"/>
      <c r="AA111" s="397"/>
    </row>
    <row r="112" spans="4:30" ht="12.75" hidden="1" customHeight="1" outlineLevel="1" x14ac:dyDescent="0.2">
      <c r="D112" s="37" t="s">
        <v>468</v>
      </c>
      <c r="E112" s="262"/>
      <c r="F112" s="261"/>
      <c r="G112" s="261"/>
      <c r="H112" s="261"/>
      <c r="I112" s="261"/>
      <c r="J112" s="261"/>
      <c r="K112" s="261"/>
      <c r="L112" s="261"/>
      <c r="M112" s="261"/>
      <c r="N112" s="261"/>
      <c r="O112" s="391"/>
      <c r="P112" s="395">
        <f>E112</f>
        <v>0</v>
      </c>
      <c r="Q112" s="264">
        <f>P112*VLOOKUP(G100,PRate01,2,FALSE)</f>
        <v>0</v>
      </c>
      <c r="S112" s="37" t="s">
        <v>1002</v>
      </c>
      <c r="T112" s="210"/>
      <c r="V112" s="398">
        <v>11</v>
      </c>
      <c r="W112" s="394">
        <f t="shared" si="126"/>
        <v>0</v>
      </c>
      <c r="X112" s="394">
        <f t="shared" si="127"/>
        <v>0</v>
      </c>
      <c r="Y112" s="397"/>
      <c r="Z112" s="397"/>
      <c r="AA112" s="397"/>
    </row>
    <row r="113" spans="3:30" ht="12.75" hidden="1" customHeight="1" outlineLevel="1" x14ac:dyDescent="0.2">
      <c r="D113" s="37" t="s">
        <v>469</v>
      </c>
      <c r="E113" s="262"/>
      <c r="F113" s="261"/>
      <c r="G113" s="261"/>
      <c r="H113" s="261"/>
      <c r="I113" s="261"/>
      <c r="J113" s="261"/>
      <c r="K113" s="261"/>
      <c r="L113" s="261"/>
      <c r="M113" s="261"/>
      <c r="N113" s="261"/>
      <c r="O113" s="391"/>
      <c r="P113" s="391"/>
      <c r="Q113" s="395">
        <f>E113</f>
        <v>0</v>
      </c>
      <c r="V113" s="398">
        <v>12</v>
      </c>
      <c r="W113" s="399"/>
      <c r="X113" s="394">
        <f t="shared" si="127"/>
        <v>0</v>
      </c>
      <c r="Y113" s="397"/>
      <c r="Z113" s="397"/>
      <c r="AA113" s="397"/>
    </row>
    <row r="114" spans="3:30" ht="12.75" hidden="1" customHeight="1" outlineLevel="1" x14ac:dyDescent="0.2"/>
    <row r="115" spans="3:30" ht="12.75" hidden="1" customHeight="1" outlineLevel="1" x14ac:dyDescent="0.2">
      <c r="Z115" s="542" t="str">
        <f>IF(AC117&lt;&gt;"",MsgNote &amp; VLOOKUP("PRate",WarningMessages,2),"")</f>
        <v/>
      </c>
      <c r="AA115" s="542"/>
      <c r="AB115" s="542"/>
      <c r="AC115" s="542"/>
      <c r="AD115" s="542"/>
    </row>
    <row r="116" spans="3:30" ht="12.75" hidden="1" customHeight="1" outlineLevel="1" x14ac:dyDescent="0.2">
      <c r="L116" s="121"/>
      <c r="M116" s="121"/>
      <c r="N116" s="121"/>
      <c r="O116" s="121"/>
      <c r="P116" s="121"/>
      <c r="Q116" s="121"/>
    </row>
    <row r="117" spans="3:30" ht="12.75" hidden="1" customHeight="1" outlineLevel="1" x14ac:dyDescent="0.2">
      <c r="D117" s="260"/>
      <c r="F117" s="74">
        <f t="shared" ref="F117" si="158">G117-1</f>
        <v>2020</v>
      </c>
      <c r="G117" s="74">
        <f t="shared" ref="G117" si="159">H117-1</f>
        <v>2021</v>
      </c>
      <c r="H117" s="74">
        <f t="shared" ref="H117" si="160">I117-1</f>
        <v>2022</v>
      </c>
      <c r="I117" s="74">
        <f t="shared" ref="I117" si="161">J117-1</f>
        <v>2023</v>
      </c>
      <c r="J117" s="74">
        <f t="shared" ref="J117" si="162">K117-1</f>
        <v>2024</v>
      </c>
      <c r="K117" s="74">
        <f t="shared" ref="K117" si="163">L117-1</f>
        <v>2025</v>
      </c>
      <c r="L117" s="74">
        <f>FirstYear</f>
        <v>2026</v>
      </c>
      <c r="M117" s="74">
        <f>L117+1</f>
        <v>2027</v>
      </c>
      <c r="N117" s="74">
        <f>M117+1</f>
        <v>2028</v>
      </c>
      <c r="O117" s="74">
        <f>N117+1</f>
        <v>2029</v>
      </c>
      <c r="P117" s="74">
        <f>O117+1</f>
        <v>2030</v>
      </c>
      <c r="Q117" s="74">
        <f>P117+1</f>
        <v>2031</v>
      </c>
      <c r="S117" s="675" t="s">
        <v>1288</v>
      </c>
      <c r="T117" s="675"/>
      <c r="Z117" s="673" t="s">
        <v>1291</v>
      </c>
      <c r="AA117" s="673"/>
      <c r="AB117" s="673"/>
      <c r="AC117" s="210"/>
    </row>
    <row r="118" spans="3:30" ht="12.75" hidden="1" customHeight="1" outlineLevel="1" x14ac:dyDescent="0.2">
      <c r="C118" s="396">
        <v>12</v>
      </c>
      <c r="D118" s="674" t="s">
        <v>273</v>
      </c>
      <c r="E118" s="643"/>
      <c r="F118" s="395">
        <f>F102*VLOOKUP(C129,PRate01,3,FALSE)</f>
        <v>0</v>
      </c>
      <c r="G118" s="395">
        <f>G102*VLOOKUP(C128,PRate01,3,FALSE)</f>
        <v>0</v>
      </c>
      <c r="H118" s="395">
        <f>H102*VLOOKUP(C127,PRate01,3,FALSE)</f>
        <v>0</v>
      </c>
      <c r="I118" s="395">
        <f>I102*VLOOKUP(C126,PRate01,3,FALSE)</f>
        <v>0</v>
      </c>
      <c r="J118" s="395">
        <f>J102*VLOOKUP(C125,PRate01,3,FALSE)</f>
        <v>0</v>
      </c>
      <c r="K118" s="395">
        <f t="shared" ref="K118:K123" si="164">K102*VLOOKUP(C124,PRate01,3,FALSE)</f>
        <v>0</v>
      </c>
      <c r="L118" s="395">
        <f t="shared" ref="L118:L124" si="165">L102*VLOOKUP(C123,PRate01,3,FALSE)</f>
        <v>0</v>
      </c>
      <c r="M118" s="395">
        <f t="shared" ref="M118:M125" si="166">M102*VLOOKUP(C122,PRate01,3,FALSE)</f>
        <v>0</v>
      </c>
      <c r="N118" s="395">
        <f t="shared" ref="N118:N126" si="167">N102*VLOOKUP(C121,PRate01,3,FALSE)</f>
        <v>0</v>
      </c>
      <c r="O118" s="395">
        <f t="shared" ref="O118:O127" si="168">O102*VLOOKUP(C120,PRate01,3,FALSE)</f>
        <v>0</v>
      </c>
      <c r="P118" s="395">
        <f t="shared" ref="P118:P128" si="169">P102*VLOOKUP(C119,PRate01,3,FALSE)</f>
        <v>0</v>
      </c>
      <c r="Q118" s="395">
        <f t="shared" ref="Q118:Q129" si="170">Q102*VLOOKUP(C118,PRate01,3,FALSE)</f>
        <v>0</v>
      </c>
      <c r="S118" s="392" t="s">
        <v>992</v>
      </c>
      <c r="T118" s="393"/>
      <c r="X118" s="397"/>
      <c r="Y118" s="397"/>
      <c r="Z118" s="397"/>
      <c r="AA118" s="397"/>
    </row>
    <row r="119" spans="3:30" ht="12.75" hidden="1" customHeight="1" outlineLevel="1" x14ac:dyDescent="0.2">
      <c r="C119" s="396">
        <v>11</v>
      </c>
      <c r="D119" s="674" t="s">
        <v>274</v>
      </c>
      <c r="E119" s="643"/>
      <c r="F119" s="261"/>
      <c r="G119" s="395">
        <f>G103*VLOOKUP(C129,PRate01,3,FALSE)</f>
        <v>0</v>
      </c>
      <c r="H119" s="395">
        <f>H103*VLOOKUP(C128,PRate01,3,FALSE)</f>
        <v>0</v>
      </c>
      <c r="I119" s="395">
        <f>I103*VLOOKUP(C127,PRate01,3,FALSE)</f>
        <v>0</v>
      </c>
      <c r="J119" s="395">
        <f>J103*VLOOKUP(C126,PRate01,3,FALSE)</f>
        <v>0</v>
      </c>
      <c r="K119" s="395">
        <f t="shared" si="164"/>
        <v>0</v>
      </c>
      <c r="L119" s="395">
        <f t="shared" si="165"/>
        <v>0</v>
      </c>
      <c r="M119" s="395">
        <f t="shared" si="166"/>
        <v>0</v>
      </c>
      <c r="N119" s="395">
        <f t="shared" si="167"/>
        <v>0</v>
      </c>
      <c r="O119" s="395">
        <f t="shared" si="168"/>
        <v>0</v>
      </c>
      <c r="P119" s="395">
        <f t="shared" si="169"/>
        <v>0</v>
      </c>
      <c r="Q119" s="395">
        <f t="shared" si="170"/>
        <v>0</v>
      </c>
      <c r="S119" s="37" t="s">
        <v>993</v>
      </c>
      <c r="T119" s="210"/>
      <c r="X119" s="397"/>
      <c r="Y119" s="397"/>
      <c r="Z119" s="37" t="s">
        <v>249</v>
      </c>
      <c r="AA119" s="575"/>
      <c r="AB119" s="575"/>
      <c r="AC119" s="575"/>
      <c r="AD119" s="575"/>
    </row>
    <row r="120" spans="3:30" ht="12.75" hidden="1" customHeight="1" outlineLevel="1" x14ac:dyDescent="0.2">
      <c r="C120" s="396">
        <v>10</v>
      </c>
      <c r="D120" s="674" t="s">
        <v>275</v>
      </c>
      <c r="E120" s="643"/>
      <c r="F120" s="261"/>
      <c r="G120" s="261"/>
      <c r="H120" s="395">
        <f>H104*VLOOKUP(C129,PRate01,3,FALSE)</f>
        <v>0</v>
      </c>
      <c r="I120" s="395">
        <f>I104*VLOOKUP(C128,PRate01,3,FALSE)</f>
        <v>0</v>
      </c>
      <c r="J120" s="395">
        <f>J104*VLOOKUP(C127,PRate01,3,FALSE)</f>
        <v>0</v>
      </c>
      <c r="K120" s="395">
        <f t="shared" si="164"/>
        <v>0</v>
      </c>
      <c r="L120" s="395">
        <f t="shared" si="165"/>
        <v>0</v>
      </c>
      <c r="M120" s="395">
        <f t="shared" si="166"/>
        <v>0</v>
      </c>
      <c r="N120" s="395">
        <f t="shared" si="167"/>
        <v>0</v>
      </c>
      <c r="O120" s="395">
        <f t="shared" si="168"/>
        <v>0</v>
      </c>
      <c r="P120" s="395">
        <f t="shared" si="169"/>
        <v>0</v>
      </c>
      <c r="Q120" s="395">
        <f t="shared" si="170"/>
        <v>0</v>
      </c>
      <c r="S120" s="37" t="s">
        <v>994</v>
      </c>
      <c r="T120" s="210"/>
      <c r="X120" s="397"/>
      <c r="Y120" s="397"/>
      <c r="Z120" s="397"/>
      <c r="AA120" s="397"/>
    </row>
    <row r="121" spans="3:30" ht="12.75" hidden="1" customHeight="1" outlineLevel="1" x14ac:dyDescent="0.2">
      <c r="C121" s="396">
        <v>9</v>
      </c>
      <c r="D121" s="674" t="s">
        <v>276</v>
      </c>
      <c r="E121" s="643"/>
      <c r="F121" s="261"/>
      <c r="G121" s="261"/>
      <c r="H121" s="261"/>
      <c r="I121" s="395">
        <f>I105*VLOOKUP(C129,PRate01,3,FALSE)</f>
        <v>0</v>
      </c>
      <c r="J121" s="395">
        <f>J105*VLOOKUP(C128,PRate01,3,FALSE)</f>
        <v>0</v>
      </c>
      <c r="K121" s="395">
        <f t="shared" si="164"/>
        <v>0</v>
      </c>
      <c r="L121" s="395">
        <f t="shared" si="165"/>
        <v>0</v>
      </c>
      <c r="M121" s="395">
        <f t="shared" si="166"/>
        <v>0</v>
      </c>
      <c r="N121" s="395">
        <f t="shared" si="167"/>
        <v>0</v>
      </c>
      <c r="O121" s="395">
        <f t="shared" si="168"/>
        <v>0</v>
      </c>
      <c r="P121" s="395">
        <f t="shared" si="169"/>
        <v>0</v>
      </c>
      <c r="Q121" s="395">
        <f t="shared" si="170"/>
        <v>0</v>
      </c>
      <c r="S121" s="37" t="s">
        <v>995</v>
      </c>
      <c r="T121" s="210"/>
      <c r="X121" s="397"/>
      <c r="Y121" s="397"/>
      <c r="Z121" s="397"/>
      <c r="AA121" s="397"/>
    </row>
    <row r="122" spans="3:30" ht="12.75" hidden="1" customHeight="1" outlineLevel="1" x14ac:dyDescent="0.2">
      <c r="C122" s="396">
        <v>8</v>
      </c>
      <c r="D122" s="674" t="s">
        <v>277</v>
      </c>
      <c r="E122" s="643"/>
      <c r="F122" s="261"/>
      <c r="G122" s="261"/>
      <c r="H122" s="261"/>
      <c r="I122" s="261"/>
      <c r="J122" s="395">
        <f>J106*VLOOKUP(C129,PRate01,3,FALSE)</f>
        <v>0</v>
      </c>
      <c r="K122" s="395">
        <f t="shared" si="164"/>
        <v>0</v>
      </c>
      <c r="L122" s="395">
        <f t="shared" si="165"/>
        <v>0</v>
      </c>
      <c r="M122" s="395">
        <f t="shared" si="166"/>
        <v>0</v>
      </c>
      <c r="N122" s="395">
        <f t="shared" si="167"/>
        <v>0</v>
      </c>
      <c r="O122" s="395">
        <f t="shared" si="168"/>
        <v>0</v>
      </c>
      <c r="P122" s="395">
        <f t="shared" si="169"/>
        <v>0</v>
      </c>
      <c r="Q122" s="395">
        <f t="shared" si="170"/>
        <v>0</v>
      </c>
      <c r="S122" s="37" t="s">
        <v>996</v>
      </c>
      <c r="T122" s="210"/>
      <c r="X122" s="397"/>
      <c r="Y122" s="397"/>
      <c r="Z122" s="397"/>
      <c r="AA122" s="397"/>
    </row>
    <row r="123" spans="3:30" ht="12.75" hidden="1" customHeight="1" outlineLevel="1" x14ac:dyDescent="0.2">
      <c r="C123" s="396">
        <v>7</v>
      </c>
      <c r="D123" s="674" t="s">
        <v>278</v>
      </c>
      <c r="E123" s="643"/>
      <c r="F123" s="261"/>
      <c r="G123" s="261"/>
      <c r="H123" s="261"/>
      <c r="I123" s="261"/>
      <c r="J123" s="261"/>
      <c r="K123" s="395">
        <f t="shared" si="164"/>
        <v>0</v>
      </c>
      <c r="L123" s="395">
        <f t="shared" si="165"/>
        <v>0</v>
      </c>
      <c r="M123" s="395">
        <f t="shared" si="166"/>
        <v>0</v>
      </c>
      <c r="N123" s="395">
        <f t="shared" si="167"/>
        <v>0</v>
      </c>
      <c r="O123" s="395">
        <f t="shared" si="168"/>
        <v>0</v>
      </c>
      <c r="P123" s="395">
        <f t="shared" si="169"/>
        <v>0</v>
      </c>
      <c r="Q123" s="395">
        <f t="shared" si="170"/>
        <v>0</v>
      </c>
      <c r="S123" s="37" t="s">
        <v>997</v>
      </c>
      <c r="T123" s="210"/>
      <c r="X123" s="397"/>
      <c r="Y123" s="397"/>
      <c r="Z123" s="397"/>
      <c r="AA123" s="397"/>
    </row>
    <row r="124" spans="3:30" ht="12.75" hidden="1" customHeight="1" outlineLevel="1" x14ac:dyDescent="0.2">
      <c r="C124" s="396">
        <v>6</v>
      </c>
      <c r="D124" s="674" t="s">
        <v>464</v>
      </c>
      <c r="E124" s="643"/>
      <c r="F124" s="261"/>
      <c r="G124" s="261"/>
      <c r="H124" s="261"/>
      <c r="I124" s="261"/>
      <c r="J124" s="261"/>
      <c r="K124" s="261"/>
      <c r="L124" s="395">
        <f t="shared" si="165"/>
        <v>0</v>
      </c>
      <c r="M124" s="395">
        <f t="shared" si="166"/>
        <v>0</v>
      </c>
      <c r="N124" s="395">
        <f t="shared" si="167"/>
        <v>0</v>
      </c>
      <c r="O124" s="395">
        <f t="shared" si="168"/>
        <v>0</v>
      </c>
      <c r="P124" s="395">
        <f t="shared" si="169"/>
        <v>0</v>
      </c>
      <c r="Q124" s="395">
        <f t="shared" si="170"/>
        <v>0</v>
      </c>
      <c r="S124" s="37" t="s">
        <v>998</v>
      </c>
      <c r="T124" s="210"/>
      <c r="X124" s="397"/>
      <c r="Y124" s="397"/>
      <c r="Z124" s="397"/>
      <c r="AA124" s="397"/>
    </row>
    <row r="125" spans="3:30" ht="12.75" hidden="1" customHeight="1" outlineLevel="1" x14ac:dyDescent="0.2">
      <c r="C125" s="396">
        <v>5</v>
      </c>
      <c r="D125" s="674" t="s">
        <v>465</v>
      </c>
      <c r="E125" s="643"/>
      <c r="F125" s="261"/>
      <c r="G125" s="261"/>
      <c r="H125" s="261"/>
      <c r="I125" s="261"/>
      <c r="J125" s="261"/>
      <c r="K125" s="261"/>
      <c r="L125" s="261"/>
      <c r="M125" s="395">
        <f t="shared" si="166"/>
        <v>0</v>
      </c>
      <c r="N125" s="395">
        <f t="shared" si="167"/>
        <v>0</v>
      </c>
      <c r="O125" s="395">
        <f t="shared" si="168"/>
        <v>0</v>
      </c>
      <c r="P125" s="395">
        <f t="shared" si="169"/>
        <v>0</v>
      </c>
      <c r="Q125" s="395">
        <f t="shared" si="170"/>
        <v>0</v>
      </c>
      <c r="S125" s="37" t="s">
        <v>999</v>
      </c>
      <c r="T125" s="210"/>
      <c r="X125" s="397"/>
      <c r="Y125" s="397"/>
      <c r="Z125" s="397"/>
      <c r="AA125" s="397"/>
    </row>
    <row r="126" spans="3:30" ht="12.75" hidden="1" customHeight="1" outlineLevel="1" x14ac:dyDescent="0.2">
      <c r="C126" s="396">
        <v>4</v>
      </c>
      <c r="D126" s="674" t="s">
        <v>466</v>
      </c>
      <c r="E126" s="643"/>
      <c r="F126" s="261"/>
      <c r="G126" s="261"/>
      <c r="H126" s="261"/>
      <c r="I126" s="261"/>
      <c r="J126" s="261"/>
      <c r="K126" s="261"/>
      <c r="L126" s="261"/>
      <c r="M126" s="261"/>
      <c r="N126" s="395">
        <f t="shared" si="167"/>
        <v>0</v>
      </c>
      <c r="O126" s="395">
        <f t="shared" si="168"/>
        <v>0</v>
      </c>
      <c r="P126" s="395">
        <f t="shared" si="169"/>
        <v>0</v>
      </c>
      <c r="Q126" s="395">
        <f t="shared" si="170"/>
        <v>0</v>
      </c>
      <c r="S126" s="37" t="s">
        <v>1000</v>
      </c>
      <c r="T126" s="210"/>
      <c r="X126" s="397"/>
      <c r="Y126" s="397"/>
      <c r="Z126" s="397"/>
      <c r="AA126" s="397"/>
    </row>
    <row r="127" spans="3:30" ht="12.75" hidden="1" customHeight="1" outlineLevel="1" x14ac:dyDescent="0.2">
      <c r="C127" s="396">
        <v>3</v>
      </c>
      <c r="D127" s="674" t="s">
        <v>467</v>
      </c>
      <c r="E127" s="643"/>
      <c r="F127" s="261"/>
      <c r="G127" s="261"/>
      <c r="H127" s="261"/>
      <c r="I127" s="261"/>
      <c r="J127" s="261"/>
      <c r="K127" s="261"/>
      <c r="L127" s="261"/>
      <c r="M127" s="261"/>
      <c r="N127" s="261"/>
      <c r="O127" s="395">
        <f t="shared" si="168"/>
        <v>0</v>
      </c>
      <c r="P127" s="395">
        <f t="shared" si="169"/>
        <v>0</v>
      </c>
      <c r="Q127" s="395">
        <f t="shared" si="170"/>
        <v>0</v>
      </c>
      <c r="S127" s="37" t="s">
        <v>1001</v>
      </c>
      <c r="T127" s="210"/>
      <c r="X127" s="397"/>
      <c r="Y127" s="397"/>
      <c r="Z127" s="397"/>
      <c r="AA127" s="397"/>
    </row>
    <row r="128" spans="3:30" ht="12.75" hidden="1" customHeight="1" outlineLevel="1" x14ac:dyDescent="0.2">
      <c r="C128" s="396">
        <v>2</v>
      </c>
      <c r="D128" s="674" t="s">
        <v>468</v>
      </c>
      <c r="E128" s="643"/>
      <c r="F128" s="261"/>
      <c r="G128" s="261"/>
      <c r="H128" s="261"/>
      <c r="I128" s="261"/>
      <c r="J128" s="261"/>
      <c r="K128" s="261"/>
      <c r="L128" s="261"/>
      <c r="M128" s="261"/>
      <c r="N128" s="261"/>
      <c r="O128" s="391"/>
      <c r="P128" s="395">
        <f t="shared" si="169"/>
        <v>0</v>
      </c>
      <c r="Q128" s="395">
        <f t="shared" si="170"/>
        <v>0</v>
      </c>
      <c r="S128" s="37" t="s">
        <v>1002</v>
      </c>
      <c r="T128" s="210"/>
      <c r="X128" s="397"/>
      <c r="Y128" s="397"/>
      <c r="Z128" s="397"/>
      <c r="AA128" s="397"/>
    </row>
    <row r="129" spans="1:30" ht="12.75" hidden="1" customHeight="1" outlineLevel="1" x14ac:dyDescent="0.2">
      <c r="C129" s="396">
        <v>1</v>
      </c>
      <c r="D129" s="674" t="s">
        <v>469</v>
      </c>
      <c r="E129" s="643"/>
      <c r="F129" s="261"/>
      <c r="G129" s="261"/>
      <c r="H129" s="261"/>
      <c r="I129" s="261"/>
      <c r="J129" s="261"/>
      <c r="K129" s="261"/>
      <c r="L129" s="261"/>
      <c r="M129" s="261"/>
      <c r="N129" s="261"/>
      <c r="O129" s="391"/>
      <c r="P129" s="391"/>
      <c r="Q129" s="395">
        <f t="shared" si="170"/>
        <v>0</v>
      </c>
      <c r="S129" s="37" t="s">
        <v>1022</v>
      </c>
      <c r="T129" s="210"/>
    </row>
    <row r="130" spans="1:30" ht="12.75" hidden="1" customHeight="1" outlineLevel="1" x14ac:dyDescent="0.2">
      <c r="K130" s="258" t="s">
        <v>73</v>
      </c>
      <c r="L130" s="263">
        <f>IFERROR((SUM(L118:L123)+IF(MATCH($AC$130,Switch,0)=1,L124,0)),0)</f>
        <v>0</v>
      </c>
      <c r="M130" s="263">
        <f>IFERROR((SUM(M118:M124)+IF(MATCH($AC$130,Switch,0)=1,M125,0)),0)</f>
        <v>0</v>
      </c>
      <c r="N130" s="263">
        <f>IFERROR((SUM(N118:N125)+IF(MATCH($AC$130,Switch,0)=1,N126,0)),0)</f>
        <v>0</v>
      </c>
      <c r="O130" s="263">
        <f>IFERROR((SUM(O118:O126)+IF(MATCH($AC$130,Switch,0)=1,O127,0)),0)</f>
        <v>0</v>
      </c>
      <c r="P130" s="263">
        <f>IFERROR((SUM(P118:P127)+IF(MATCH($AC$130,Switch,0)=1,P128,0)),0)</f>
        <v>0</v>
      </c>
      <c r="Q130" s="263">
        <f>IFERROR((SUM(Q118:Q128)+IF(MATCH($AC$130,Switch,0)=1,Q129,0)),0)</f>
        <v>0</v>
      </c>
      <c r="Z130" s="670" t="s">
        <v>1289</v>
      </c>
      <c r="AA130" s="671"/>
      <c r="AB130" s="672"/>
      <c r="AC130" s="227" t="s">
        <v>9</v>
      </c>
    </row>
    <row r="131" spans="1:30" ht="12.75" hidden="1" customHeight="1" outlineLevel="1" x14ac:dyDescent="0.2"/>
    <row r="132" spans="1:30" ht="12.75" customHeight="1" collapsed="1" x14ac:dyDescent="0.2"/>
    <row r="133" spans="1:30" ht="15.75" x14ac:dyDescent="0.2">
      <c r="A133" s="172"/>
      <c r="B133" s="209">
        <f>IF(G135&lt;&gt;"",1,0)</f>
        <v>0</v>
      </c>
      <c r="C133" s="209">
        <v>4</v>
      </c>
      <c r="D133" s="72" t="str">
        <f>IF(B133=0,MsgNotUsed, CONCATENATE("Persistent ", C133, ": ", G135, " (", F139, "-", Q139, ")"))</f>
        <v>** NOT USED **</v>
      </c>
      <c r="E133" s="113"/>
      <c r="F133" s="113"/>
      <c r="G133" s="113"/>
      <c r="H133" s="113"/>
      <c r="I133" s="113"/>
      <c r="J133" s="154"/>
      <c r="K133" s="113"/>
      <c r="L133" s="113"/>
      <c r="M133" s="113"/>
      <c r="N133" s="224"/>
      <c r="O133" s="224"/>
      <c r="P133" s="224"/>
      <c r="Q133" s="224"/>
      <c r="R133" s="224"/>
      <c r="S133" s="224"/>
      <c r="T133" s="224"/>
      <c r="U133" s="224"/>
      <c r="V133" s="224"/>
      <c r="W133" s="224"/>
      <c r="X133" s="224"/>
      <c r="Y133" s="224"/>
      <c r="Z133" s="224"/>
      <c r="AA133" s="224"/>
      <c r="AB133" s="224"/>
      <c r="AC133" s="224"/>
      <c r="AD133" s="224"/>
    </row>
    <row r="134" spans="1:30" ht="12.75" hidden="1" customHeight="1" outlineLevel="1" x14ac:dyDescent="0.2"/>
    <row r="135" spans="1:30" ht="12.75" hidden="1" customHeight="1" outlineLevel="1" x14ac:dyDescent="0.2">
      <c r="F135" s="37" t="s">
        <v>470</v>
      </c>
      <c r="G135" s="669"/>
      <c r="H135" s="642"/>
      <c r="I135" s="642"/>
      <c r="J135" s="642"/>
      <c r="K135" s="642"/>
      <c r="L135" s="643"/>
    </row>
    <row r="136" spans="1:30" ht="12.75" hidden="1" customHeight="1" outlineLevel="1" x14ac:dyDescent="0.2"/>
    <row r="137" spans="1:30" ht="12.75" hidden="1" customHeight="1" outlineLevel="1" x14ac:dyDescent="0.2">
      <c r="F137" s="37" t="s">
        <v>249</v>
      </c>
      <c r="G137" s="669"/>
      <c r="H137" s="642"/>
      <c r="I137" s="642"/>
      <c r="J137" s="642"/>
      <c r="K137" s="642"/>
      <c r="L137" s="643"/>
      <c r="Z137" s="542" t="str">
        <f>IF(AC139&lt;&gt;"",MsgNote &amp; VLOOKUP("PRate",WarningMessages,2),"")</f>
        <v/>
      </c>
      <c r="AA137" s="542"/>
      <c r="AB137" s="542"/>
      <c r="AC137" s="542"/>
      <c r="AD137" s="542"/>
    </row>
    <row r="138" spans="1:30" ht="12.75" hidden="1" customHeight="1" outlineLevel="1" x14ac:dyDescent="0.2">
      <c r="G138" s="400">
        <v>1</v>
      </c>
      <c r="H138" s="400">
        <v>2</v>
      </c>
      <c r="I138" s="400">
        <v>3</v>
      </c>
      <c r="J138" s="400">
        <v>4</v>
      </c>
      <c r="K138" s="400">
        <v>5</v>
      </c>
      <c r="L138" s="400">
        <v>6</v>
      </c>
      <c r="M138" s="400">
        <v>7</v>
      </c>
      <c r="N138" s="400">
        <v>8</v>
      </c>
      <c r="O138" s="400">
        <v>9</v>
      </c>
      <c r="P138" s="400">
        <v>10</v>
      </c>
      <c r="Q138" s="400">
        <v>11</v>
      </c>
    </row>
    <row r="139" spans="1:30" ht="12.75" hidden="1" customHeight="1" outlineLevel="1" x14ac:dyDescent="0.2">
      <c r="D139" s="260"/>
      <c r="E139" s="74" t="s">
        <v>1052</v>
      </c>
      <c r="F139" s="74">
        <f t="shared" ref="F139" si="171">G139-1</f>
        <v>2020</v>
      </c>
      <c r="G139" s="74">
        <f t="shared" ref="G139" si="172">H139-1</f>
        <v>2021</v>
      </c>
      <c r="H139" s="74">
        <f t="shared" ref="H139" si="173">I139-1</f>
        <v>2022</v>
      </c>
      <c r="I139" s="74">
        <f t="shared" ref="I139" si="174">J139-1</f>
        <v>2023</v>
      </c>
      <c r="J139" s="74">
        <f t="shared" ref="J139" si="175">K139-1</f>
        <v>2024</v>
      </c>
      <c r="K139" s="74">
        <f t="shared" ref="K139" si="176">L139-1</f>
        <v>2025</v>
      </c>
      <c r="L139" s="74">
        <f>FirstYear</f>
        <v>2026</v>
      </c>
      <c r="M139" s="74">
        <f>L139+1</f>
        <v>2027</v>
      </c>
      <c r="N139" s="74">
        <f>M139+1</f>
        <v>2028</v>
      </c>
      <c r="O139" s="74">
        <f>N139+1</f>
        <v>2029</v>
      </c>
      <c r="P139" s="74">
        <f>O139+1</f>
        <v>2030</v>
      </c>
      <c r="Q139" s="74">
        <f>P139+1</f>
        <v>2031</v>
      </c>
      <c r="S139" s="675" t="s">
        <v>1287</v>
      </c>
      <c r="T139" s="675"/>
      <c r="Z139" s="673" t="s">
        <v>1290</v>
      </c>
      <c r="AA139" s="673"/>
      <c r="AB139" s="673"/>
      <c r="AC139" s="210"/>
    </row>
    <row r="140" spans="1:30" ht="12.75" hidden="1" customHeight="1" outlineLevel="1" x14ac:dyDescent="0.2">
      <c r="D140" s="37" t="s">
        <v>273</v>
      </c>
      <c r="E140" s="262"/>
      <c r="F140" s="264">
        <f>E140</f>
        <v>0</v>
      </c>
      <c r="G140" s="264">
        <f t="shared" ref="G140" si="177">F140*VLOOKUP(G138,PRate01,2,FALSE)</f>
        <v>0</v>
      </c>
      <c r="H140" s="264">
        <f t="shared" ref="H140" si="178">G140*VLOOKUP(H138,PRate01,2,FALSE)</f>
        <v>0</v>
      </c>
      <c r="I140" s="264">
        <f t="shared" ref="I140" si="179">H140*VLOOKUP(I138,PRate01,2,FALSE)</f>
        <v>0</v>
      </c>
      <c r="J140" s="264">
        <f t="shared" ref="J140" si="180">I140*VLOOKUP(J138,PRate01,2,FALSE)</f>
        <v>0</v>
      </c>
      <c r="K140" s="264">
        <f t="shared" ref="K140" si="181">J140*VLOOKUP(K138,PRate01,2,FALSE)</f>
        <v>0</v>
      </c>
      <c r="L140" s="264">
        <f t="shared" ref="L140" si="182">K140*VLOOKUP(L138,PRate01,2,FALSE)</f>
        <v>0</v>
      </c>
      <c r="M140" s="264">
        <f t="shared" ref="M140" si="183">L140*VLOOKUP(M138,PRate01,2,FALSE)</f>
        <v>0</v>
      </c>
      <c r="N140" s="264">
        <f t="shared" ref="N140" si="184">M140*VLOOKUP(N138,PRate01,2,FALSE)</f>
        <v>0</v>
      </c>
      <c r="O140" s="264">
        <f t="shared" ref="O140" si="185">N140*VLOOKUP(O138,PRate01,2,FALSE)</f>
        <v>0</v>
      </c>
      <c r="P140" s="264">
        <f t="shared" ref="P140" si="186">O140*VLOOKUP(P138,PRate01,2,FALSE)</f>
        <v>0</v>
      </c>
      <c r="Q140" s="264">
        <f t="shared" ref="Q140" si="187">P140*VLOOKUP(Q138,PRate01,2,FALSE)</f>
        <v>0</v>
      </c>
      <c r="S140" s="392" t="s">
        <v>992</v>
      </c>
      <c r="T140" s="393"/>
      <c r="V140" s="398">
        <v>1</v>
      </c>
      <c r="W140" s="394">
        <f>IF($AC$139&lt;&gt;"",$AC$139,T140)</f>
        <v>0</v>
      </c>
      <c r="X140" s="394">
        <f>IF($AC$155&lt;&gt;"",$AC$155,T156)</f>
        <v>0</v>
      </c>
      <c r="Y140" s="397"/>
      <c r="Z140" s="397"/>
      <c r="AA140" s="397"/>
    </row>
    <row r="141" spans="1:30" ht="12.75" hidden="1" customHeight="1" outlineLevel="1" x14ac:dyDescent="0.2">
      <c r="D141" s="37" t="s">
        <v>274</v>
      </c>
      <c r="E141" s="262"/>
      <c r="F141" s="261"/>
      <c r="G141" s="264">
        <f>E141</f>
        <v>0</v>
      </c>
      <c r="H141" s="264">
        <f t="shared" ref="H141" si="188">G141*VLOOKUP(G138,PRate01,2,FALSE)</f>
        <v>0</v>
      </c>
      <c r="I141" s="264">
        <f t="shared" ref="I141" si="189">H141*VLOOKUP(H138,PRate01,2,FALSE)</f>
        <v>0</v>
      </c>
      <c r="J141" s="264">
        <f t="shared" ref="J141" si="190">I141*VLOOKUP(I138,PRate01,2,FALSE)</f>
        <v>0</v>
      </c>
      <c r="K141" s="264">
        <f t="shared" ref="K141" si="191">J141*VLOOKUP(J138,PRate01,2,FALSE)</f>
        <v>0</v>
      </c>
      <c r="L141" s="264">
        <f t="shared" ref="L141" si="192">K141*VLOOKUP(K138,PRate01,2,FALSE)</f>
        <v>0</v>
      </c>
      <c r="M141" s="264">
        <f t="shared" ref="M141" si="193">L141*VLOOKUP(L138,PRate01,2,FALSE)</f>
        <v>0</v>
      </c>
      <c r="N141" s="264">
        <f t="shared" ref="N141" si="194">M141*VLOOKUP(M138,PRate01,2,FALSE)</f>
        <v>0</v>
      </c>
      <c r="O141" s="264">
        <f t="shared" ref="O141" si="195">N141*VLOOKUP(N138,PRate01,2,FALSE)</f>
        <v>0</v>
      </c>
      <c r="P141" s="264">
        <f t="shared" ref="P141" si="196">O141*VLOOKUP(O138,PRate01,2,FALSE)</f>
        <v>0</v>
      </c>
      <c r="Q141" s="264">
        <f t="shared" ref="Q141" si="197">P141*VLOOKUP(P138,PRate01,2,FALSE)</f>
        <v>0</v>
      </c>
      <c r="S141" s="37" t="s">
        <v>993</v>
      </c>
      <c r="T141" s="210"/>
      <c r="V141" s="398">
        <v>2</v>
      </c>
      <c r="W141" s="394">
        <f t="shared" ref="W141:W150" si="198">IF($AC$139&lt;&gt;"",$AC$139,T141)</f>
        <v>0</v>
      </c>
      <c r="X141" s="394">
        <f t="shared" ref="X141:X151" si="199">IF($AC$155&lt;&gt;"",$AC$155,T157)</f>
        <v>0</v>
      </c>
      <c r="Z141" s="37" t="s">
        <v>249</v>
      </c>
      <c r="AA141" s="575"/>
      <c r="AB141" s="575"/>
      <c r="AC141" s="575"/>
      <c r="AD141" s="575"/>
    </row>
    <row r="142" spans="1:30" ht="12.75" hidden="1" customHeight="1" outlineLevel="1" x14ac:dyDescent="0.2">
      <c r="D142" s="37" t="s">
        <v>275</v>
      </c>
      <c r="E142" s="262"/>
      <c r="F142" s="261"/>
      <c r="G142" s="261"/>
      <c r="H142" s="264">
        <f>E142</f>
        <v>0</v>
      </c>
      <c r="I142" s="264">
        <f t="shared" ref="I142" si="200">H142*VLOOKUP(G138,PRate01,2,FALSE)</f>
        <v>0</v>
      </c>
      <c r="J142" s="264">
        <f t="shared" ref="J142" si="201">I142*VLOOKUP(H138,PRate01,2,FALSE)</f>
        <v>0</v>
      </c>
      <c r="K142" s="264">
        <f t="shared" ref="K142" si="202">J142*VLOOKUP(I138,PRate01,2,FALSE)</f>
        <v>0</v>
      </c>
      <c r="L142" s="264">
        <f t="shared" ref="L142" si="203">K142*VLOOKUP(J138,PRate01,2,FALSE)</f>
        <v>0</v>
      </c>
      <c r="M142" s="264">
        <f t="shared" ref="M142" si="204">L142*VLOOKUP(K138,PRate01,2,FALSE)</f>
        <v>0</v>
      </c>
      <c r="N142" s="264">
        <f t="shared" ref="N142" si="205">M142*VLOOKUP(L138,PRate01,2,FALSE)</f>
        <v>0</v>
      </c>
      <c r="O142" s="264">
        <f t="shared" ref="O142" si="206">N142*VLOOKUP(M138,PRate01,2,FALSE)</f>
        <v>0</v>
      </c>
      <c r="P142" s="264">
        <f t="shared" ref="P142" si="207">O142*VLOOKUP(N138,PRate01,2,FALSE)</f>
        <v>0</v>
      </c>
      <c r="Q142" s="264">
        <f t="shared" ref="Q142" si="208">P142*VLOOKUP(O138,PRate01,2,FALSE)</f>
        <v>0</v>
      </c>
      <c r="S142" s="37" t="s">
        <v>994</v>
      </c>
      <c r="T142" s="210"/>
      <c r="V142" s="398">
        <v>3</v>
      </c>
      <c r="W142" s="394">
        <f t="shared" si="198"/>
        <v>0</v>
      </c>
      <c r="X142" s="394">
        <f t="shared" si="199"/>
        <v>0</v>
      </c>
      <c r="Y142" s="397"/>
      <c r="Z142" s="397"/>
      <c r="AA142" s="397"/>
    </row>
    <row r="143" spans="1:30" ht="12.75" hidden="1" customHeight="1" outlineLevel="1" x14ac:dyDescent="0.2">
      <c r="D143" s="37" t="s">
        <v>276</v>
      </c>
      <c r="E143" s="262"/>
      <c r="F143" s="261"/>
      <c r="G143" s="261"/>
      <c r="H143" s="261"/>
      <c r="I143" s="264">
        <f>E143</f>
        <v>0</v>
      </c>
      <c r="J143" s="264">
        <f t="shared" ref="J143" si="209">I143*VLOOKUP(G138,PRate01,2,FALSE)</f>
        <v>0</v>
      </c>
      <c r="K143" s="264">
        <f t="shared" ref="K143" si="210">J143*VLOOKUP(H138,PRate01,2,FALSE)</f>
        <v>0</v>
      </c>
      <c r="L143" s="264">
        <f t="shared" ref="L143" si="211">K143*VLOOKUP(I138,PRate01,2,FALSE)</f>
        <v>0</v>
      </c>
      <c r="M143" s="264">
        <f t="shared" ref="M143" si="212">L143*VLOOKUP(J138,PRate01,2,FALSE)</f>
        <v>0</v>
      </c>
      <c r="N143" s="264">
        <f t="shared" ref="N143" si="213">M143*VLOOKUP(K138,PRate01,2,FALSE)</f>
        <v>0</v>
      </c>
      <c r="O143" s="264">
        <f t="shared" ref="O143" si="214">N143*VLOOKUP(L138,PRate01,2,FALSE)</f>
        <v>0</v>
      </c>
      <c r="P143" s="264">
        <f t="shared" ref="P143" si="215">O143*VLOOKUP(M138,PRate01,2,FALSE)</f>
        <v>0</v>
      </c>
      <c r="Q143" s="264">
        <f t="shared" ref="Q143" si="216">P143*VLOOKUP(N138,PRate01,2,FALSE)</f>
        <v>0</v>
      </c>
      <c r="S143" s="37" t="s">
        <v>995</v>
      </c>
      <c r="T143" s="210"/>
      <c r="V143" s="398">
        <v>4</v>
      </c>
      <c r="W143" s="394">
        <f t="shared" si="198"/>
        <v>0</v>
      </c>
      <c r="X143" s="394">
        <f t="shared" si="199"/>
        <v>0</v>
      </c>
      <c r="Y143" s="397"/>
      <c r="Z143" s="397"/>
      <c r="AA143" s="397"/>
    </row>
    <row r="144" spans="1:30" ht="12.75" hidden="1" customHeight="1" outlineLevel="1" x14ac:dyDescent="0.2">
      <c r="D144" s="37" t="s">
        <v>277</v>
      </c>
      <c r="E144" s="262"/>
      <c r="F144" s="261"/>
      <c r="G144" s="261"/>
      <c r="H144" s="261"/>
      <c r="I144" s="261"/>
      <c r="J144" s="264">
        <f>E144</f>
        <v>0</v>
      </c>
      <c r="K144" s="264">
        <f t="shared" ref="K144" si="217">J144*VLOOKUP(G138,PRate01,2,FALSE)</f>
        <v>0</v>
      </c>
      <c r="L144" s="264">
        <f t="shared" ref="L144" si="218">K144*VLOOKUP(H138,PRate01,2,FALSE)</f>
        <v>0</v>
      </c>
      <c r="M144" s="264">
        <f t="shared" ref="M144" si="219">L144*VLOOKUP(I138,PRate01,2,FALSE)</f>
        <v>0</v>
      </c>
      <c r="N144" s="264">
        <f t="shared" ref="N144" si="220">M144*VLOOKUP(J138,PRate01,2,FALSE)</f>
        <v>0</v>
      </c>
      <c r="O144" s="264">
        <f t="shared" ref="O144" si="221">N144*VLOOKUP(K138,PRate01,2,FALSE)</f>
        <v>0</v>
      </c>
      <c r="P144" s="264">
        <f t="shared" ref="P144" si="222">O144*VLOOKUP(L138,PRate01,2,FALSE)</f>
        <v>0</v>
      </c>
      <c r="Q144" s="264">
        <f t="shared" ref="Q144" si="223">P144*VLOOKUP(M138,PRate01,2,FALSE)</f>
        <v>0</v>
      </c>
      <c r="S144" s="37" t="s">
        <v>996</v>
      </c>
      <c r="T144" s="210"/>
      <c r="V144" s="398">
        <v>5</v>
      </c>
      <c r="W144" s="394">
        <f t="shared" si="198"/>
        <v>0</v>
      </c>
      <c r="X144" s="394">
        <f t="shared" si="199"/>
        <v>0</v>
      </c>
      <c r="Y144" s="397"/>
      <c r="Z144" s="397"/>
      <c r="AA144" s="397"/>
    </row>
    <row r="145" spans="3:30" ht="12.75" hidden="1" customHeight="1" outlineLevel="1" x14ac:dyDescent="0.2">
      <c r="D145" s="37" t="s">
        <v>278</v>
      </c>
      <c r="E145" s="262"/>
      <c r="F145" s="261"/>
      <c r="G145" s="261"/>
      <c r="H145" s="261"/>
      <c r="I145" s="261"/>
      <c r="J145" s="261"/>
      <c r="K145" s="264">
        <f>E145</f>
        <v>0</v>
      </c>
      <c r="L145" s="264">
        <f t="shared" ref="L145" si="224">K145*VLOOKUP(G138,PRate01,2,FALSE)</f>
        <v>0</v>
      </c>
      <c r="M145" s="264">
        <f t="shared" ref="M145" si="225">L145*VLOOKUP(H138,PRate01,2,FALSE)</f>
        <v>0</v>
      </c>
      <c r="N145" s="264">
        <f t="shared" ref="N145" si="226">M145*VLOOKUP(I138,PRate01,2,FALSE)</f>
        <v>0</v>
      </c>
      <c r="O145" s="264">
        <f t="shared" ref="O145" si="227">N145*VLOOKUP(J138,PRate01,2,FALSE)</f>
        <v>0</v>
      </c>
      <c r="P145" s="264">
        <f t="shared" ref="P145" si="228">O145*VLOOKUP(K138,PRate01,2,FALSE)</f>
        <v>0</v>
      </c>
      <c r="Q145" s="264">
        <f t="shared" ref="Q145" si="229">P145*VLOOKUP(L138,PRate01,2,FALSE)</f>
        <v>0</v>
      </c>
      <c r="S145" s="37" t="s">
        <v>997</v>
      </c>
      <c r="T145" s="210"/>
      <c r="V145" s="398">
        <v>6</v>
      </c>
      <c r="W145" s="394">
        <f t="shared" si="198"/>
        <v>0</v>
      </c>
      <c r="X145" s="394">
        <f t="shared" si="199"/>
        <v>0</v>
      </c>
      <c r="Y145" s="397"/>
      <c r="Z145" s="397"/>
      <c r="AA145" s="397"/>
    </row>
    <row r="146" spans="3:30" ht="12.75" hidden="1" customHeight="1" outlineLevel="1" x14ac:dyDescent="0.2">
      <c r="D146" s="37" t="s">
        <v>464</v>
      </c>
      <c r="E146" s="262"/>
      <c r="F146" s="261"/>
      <c r="G146" s="261"/>
      <c r="H146" s="261"/>
      <c r="I146" s="261"/>
      <c r="J146" s="261"/>
      <c r="K146" s="261"/>
      <c r="L146" s="264">
        <f>E146</f>
        <v>0</v>
      </c>
      <c r="M146" s="264">
        <f>L146*VLOOKUP(G138,PRate01,2,FALSE)</f>
        <v>0</v>
      </c>
      <c r="N146" s="264">
        <f>M146*VLOOKUP(H138,PRate01,2,FALSE)</f>
        <v>0</v>
      </c>
      <c r="O146" s="264">
        <f>N146*VLOOKUP(I138,PRate01,2,FALSE)</f>
        <v>0</v>
      </c>
      <c r="P146" s="264">
        <f>O146*VLOOKUP(J138,PRate01,2,FALSE)</f>
        <v>0</v>
      </c>
      <c r="Q146" s="264">
        <f>P146*VLOOKUP(K138,PRate01,2,FALSE)</f>
        <v>0</v>
      </c>
      <c r="S146" s="37" t="s">
        <v>998</v>
      </c>
      <c r="T146" s="210"/>
      <c r="V146" s="398">
        <v>7</v>
      </c>
      <c r="W146" s="394">
        <f t="shared" si="198"/>
        <v>0</v>
      </c>
      <c r="X146" s="394">
        <f t="shared" si="199"/>
        <v>0</v>
      </c>
      <c r="Y146" s="397"/>
      <c r="Z146" s="397"/>
      <c r="AA146" s="397"/>
    </row>
    <row r="147" spans="3:30" ht="12.75" hidden="1" customHeight="1" outlineLevel="1" x14ac:dyDescent="0.2">
      <c r="D147" s="37" t="s">
        <v>465</v>
      </c>
      <c r="E147" s="262"/>
      <c r="F147" s="261"/>
      <c r="G147" s="261"/>
      <c r="H147" s="261"/>
      <c r="I147" s="261"/>
      <c r="J147" s="261"/>
      <c r="K147" s="261"/>
      <c r="L147" s="261"/>
      <c r="M147" s="264">
        <f>E147</f>
        <v>0</v>
      </c>
      <c r="N147" s="264">
        <f>M147*VLOOKUP(G138,PRate01,2,FALSE)</f>
        <v>0</v>
      </c>
      <c r="O147" s="264">
        <f>N147*VLOOKUP(H138,PRate01,2,FALSE)</f>
        <v>0</v>
      </c>
      <c r="P147" s="264">
        <f>O147*VLOOKUP(I138,PRate01,2,FALSE)</f>
        <v>0</v>
      </c>
      <c r="Q147" s="264">
        <f>P147*VLOOKUP(J138,PRate01,2,FALSE)</f>
        <v>0</v>
      </c>
      <c r="S147" s="37" t="s">
        <v>999</v>
      </c>
      <c r="T147" s="210"/>
      <c r="V147" s="398">
        <v>8</v>
      </c>
      <c r="W147" s="394">
        <f t="shared" si="198"/>
        <v>0</v>
      </c>
      <c r="X147" s="394">
        <f t="shared" si="199"/>
        <v>0</v>
      </c>
      <c r="Y147" s="397"/>
      <c r="Z147" s="397"/>
      <c r="AA147" s="397"/>
    </row>
    <row r="148" spans="3:30" ht="12.75" hidden="1" customHeight="1" outlineLevel="1" x14ac:dyDescent="0.2">
      <c r="D148" s="37" t="s">
        <v>466</v>
      </c>
      <c r="E148" s="262"/>
      <c r="F148" s="261"/>
      <c r="G148" s="261"/>
      <c r="H148" s="261"/>
      <c r="I148" s="261"/>
      <c r="J148" s="261"/>
      <c r="K148" s="261"/>
      <c r="L148" s="261"/>
      <c r="M148" s="261"/>
      <c r="N148" s="264">
        <f>E148</f>
        <v>0</v>
      </c>
      <c r="O148" s="264">
        <f>N148*VLOOKUP(G138,PRate01,2,FALSE)</f>
        <v>0</v>
      </c>
      <c r="P148" s="264">
        <f>O148*VLOOKUP(H138,PRate01,2,FALSE)</f>
        <v>0</v>
      </c>
      <c r="Q148" s="264">
        <f>P148*VLOOKUP(I138,PRate01,2,FALSE)</f>
        <v>0</v>
      </c>
      <c r="S148" s="37" t="s">
        <v>1000</v>
      </c>
      <c r="T148" s="210"/>
      <c r="V148" s="398">
        <v>9</v>
      </c>
      <c r="W148" s="394">
        <f t="shared" si="198"/>
        <v>0</v>
      </c>
      <c r="X148" s="394">
        <f t="shared" si="199"/>
        <v>0</v>
      </c>
      <c r="Y148" s="397"/>
      <c r="Z148" s="397"/>
      <c r="AA148" s="397"/>
    </row>
    <row r="149" spans="3:30" ht="12.75" hidden="1" customHeight="1" outlineLevel="1" x14ac:dyDescent="0.2">
      <c r="D149" s="37" t="s">
        <v>467</v>
      </c>
      <c r="E149" s="262"/>
      <c r="F149" s="261"/>
      <c r="G149" s="261"/>
      <c r="H149" s="261"/>
      <c r="I149" s="261"/>
      <c r="J149" s="261"/>
      <c r="K149" s="261"/>
      <c r="L149" s="261"/>
      <c r="M149" s="261"/>
      <c r="N149" s="261"/>
      <c r="O149" s="395">
        <f>E149</f>
        <v>0</v>
      </c>
      <c r="P149" s="264">
        <f>O149*VLOOKUP(G138,PRate01,2,FALSE)</f>
        <v>0</v>
      </c>
      <c r="Q149" s="264">
        <f>P149*VLOOKUP(H138,PRate01,2,FALSE)</f>
        <v>0</v>
      </c>
      <c r="S149" s="37" t="s">
        <v>1001</v>
      </c>
      <c r="T149" s="210"/>
      <c r="V149" s="398">
        <v>10</v>
      </c>
      <c r="W149" s="394">
        <f t="shared" si="198"/>
        <v>0</v>
      </c>
      <c r="X149" s="394">
        <f t="shared" si="199"/>
        <v>0</v>
      </c>
      <c r="Y149" s="397"/>
      <c r="Z149" s="397"/>
      <c r="AA149" s="397"/>
    </row>
    <row r="150" spans="3:30" ht="12.75" hidden="1" customHeight="1" outlineLevel="1" x14ac:dyDescent="0.2">
      <c r="D150" s="37" t="s">
        <v>468</v>
      </c>
      <c r="E150" s="262"/>
      <c r="F150" s="261"/>
      <c r="G150" s="261"/>
      <c r="H150" s="261"/>
      <c r="I150" s="261"/>
      <c r="J150" s="261"/>
      <c r="K150" s="261"/>
      <c r="L150" s="261"/>
      <c r="M150" s="261"/>
      <c r="N150" s="261"/>
      <c r="O150" s="391"/>
      <c r="P150" s="395">
        <f>E150</f>
        <v>0</v>
      </c>
      <c r="Q150" s="264">
        <f>P150*VLOOKUP(G138,PRate01,2,FALSE)</f>
        <v>0</v>
      </c>
      <c r="S150" s="37" t="s">
        <v>1002</v>
      </c>
      <c r="T150" s="210"/>
      <c r="V150" s="398">
        <v>11</v>
      </c>
      <c r="W150" s="394">
        <f t="shared" si="198"/>
        <v>0</v>
      </c>
      <c r="X150" s="394">
        <f t="shared" si="199"/>
        <v>0</v>
      </c>
      <c r="Y150" s="397"/>
      <c r="Z150" s="397"/>
      <c r="AA150" s="397"/>
    </row>
    <row r="151" spans="3:30" ht="12.75" hidden="1" customHeight="1" outlineLevel="1" x14ac:dyDescent="0.2">
      <c r="D151" s="37" t="s">
        <v>469</v>
      </c>
      <c r="E151" s="262"/>
      <c r="F151" s="261"/>
      <c r="G151" s="261"/>
      <c r="H151" s="261"/>
      <c r="I151" s="261"/>
      <c r="J151" s="261"/>
      <c r="K151" s="261"/>
      <c r="L151" s="261"/>
      <c r="M151" s="261"/>
      <c r="N151" s="261"/>
      <c r="O151" s="391"/>
      <c r="P151" s="391"/>
      <c r="Q151" s="395">
        <f>E151</f>
        <v>0</v>
      </c>
      <c r="V151" s="398">
        <v>12</v>
      </c>
      <c r="W151" s="399"/>
      <c r="X151" s="394">
        <f t="shared" si="199"/>
        <v>0</v>
      </c>
      <c r="Y151" s="397"/>
      <c r="Z151" s="397"/>
      <c r="AA151" s="397"/>
    </row>
    <row r="152" spans="3:30" ht="12.75" hidden="1" customHeight="1" outlineLevel="1" x14ac:dyDescent="0.2"/>
    <row r="153" spans="3:30" ht="12.75" hidden="1" customHeight="1" outlineLevel="1" x14ac:dyDescent="0.2">
      <c r="Z153" s="542" t="str">
        <f>IF(AC155&lt;&gt;"",MsgNote &amp; VLOOKUP("PRate",WarningMessages,2),"")</f>
        <v/>
      </c>
      <c r="AA153" s="542"/>
      <c r="AB153" s="542"/>
      <c r="AC153" s="542"/>
      <c r="AD153" s="542"/>
    </row>
    <row r="154" spans="3:30" ht="12.75" hidden="1" customHeight="1" outlineLevel="1" x14ac:dyDescent="0.2">
      <c r="L154" s="121"/>
      <c r="M154" s="121"/>
      <c r="N154" s="121"/>
      <c r="O154" s="121"/>
      <c r="P154" s="121"/>
      <c r="Q154" s="121"/>
    </row>
    <row r="155" spans="3:30" ht="12.75" hidden="1" customHeight="1" outlineLevel="1" x14ac:dyDescent="0.2">
      <c r="D155" s="260"/>
      <c r="F155" s="74">
        <f t="shared" ref="F155" si="230">G155-1</f>
        <v>2020</v>
      </c>
      <c r="G155" s="74">
        <f t="shared" ref="G155" si="231">H155-1</f>
        <v>2021</v>
      </c>
      <c r="H155" s="74">
        <f t="shared" ref="H155" si="232">I155-1</f>
        <v>2022</v>
      </c>
      <c r="I155" s="74">
        <f t="shared" ref="I155" si="233">J155-1</f>
        <v>2023</v>
      </c>
      <c r="J155" s="74">
        <f t="shared" ref="J155" si="234">K155-1</f>
        <v>2024</v>
      </c>
      <c r="K155" s="74">
        <f t="shared" ref="K155" si="235">L155-1</f>
        <v>2025</v>
      </c>
      <c r="L155" s="74">
        <f>FirstYear</f>
        <v>2026</v>
      </c>
      <c r="M155" s="74">
        <f>L155+1</f>
        <v>2027</v>
      </c>
      <c r="N155" s="74">
        <f>M155+1</f>
        <v>2028</v>
      </c>
      <c r="O155" s="74">
        <f>N155+1</f>
        <v>2029</v>
      </c>
      <c r="P155" s="74">
        <f>O155+1</f>
        <v>2030</v>
      </c>
      <c r="Q155" s="74">
        <f>P155+1</f>
        <v>2031</v>
      </c>
      <c r="S155" s="675" t="s">
        <v>1288</v>
      </c>
      <c r="T155" s="675"/>
      <c r="Z155" s="673" t="s">
        <v>1291</v>
      </c>
      <c r="AA155" s="673"/>
      <c r="AB155" s="673"/>
      <c r="AC155" s="210"/>
    </row>
    <row r="156" spans="3:30" ht="12.75" hidden="1" customHeight="1" outlineLevel="1" x14ac:dyDescent="0.2">
      <c r="C156" s="396">
        <v>12</v>
      </c>
      <c r="D156" s="674" t="s">
        <v>273</v>
      </c>
      <c r="E156" s="643"/>
      <c r="F156" s="395">
        <f>F140*VLOOKUP(C167,PRate01,3,FALSE)</f>
        <v>0</v>
      </c>
      <c r="G156" s="395">
        <f>G140*VLOOKUP(C166,PRate01,3,FALSE)</f>
        <v>0</v>
      </c>
      <c r="H156" s="395">
        <f>H140*VLOOKUP(C165,PRate01,3,FALSE)</f>
        <v>0</v>
      </c>
      <c r="I156" s="395">
        <f>I140*VLOOKUP(C164,PRate01,3,FALSE)</f>
        <v>0</v>
      </c>
      <c r="J156" s="395">
        <f>J140*VLOOKUP(C163,PRate01,3,FALSE)</f>
        <v>0</v>
      </c>
      <c r="K156" s="395">
        <f t="shared" ref="K156:K161" si="236">K140*VLOOKUP(C162,PRate01,3,FALSE)</f>
        <v>0</v>
      </c>
      <c r="L156" s="395">
        <f t="shared" ref="L156:L162" si="237">L140*VLOOKUP(C161,PRate01,3,FALSE)</f>
        <v>0</v>
      </c>
      <c r="M156" s="395">
        <f t="shared" ref="M156:M163" si="238">M140*VLOOKUP(C160,PRate01,3,FALSE)</f>
        <v>0</v>
      </c>
      <c r="N156" s="395">
        <f t="shared" ref="N156:N164" si="239">N140*VLOOKUP(C159,PRate01,3,FALSE)</f>
        <v>0</v>
      </c>
      <c r="O156" s="395">
        <f t="shared" ref="O156:O165" si="240">O140*VLOOKUP(C158,PRate01,3,FALSE)</f>
        <v>0</v>
      </c>
      <c r="P156" s="395">
        <f t="shared" ref="P156:P166" si="241">P140*VLOOKUP(C157,PRate01,3,FALSE)</f>
        <v>0</v>
      </c>
      <c r="Q156" s="395">
        <f t="shared" ref="Q156:Q167" si="242">Q140*VLOOKUP(C156,PRate01,3,FALSE)</f>
        <v>0</v>
      </c>
      <c r="S156" s="392" t="s">
        <v>992</v>
      </c>
      <c r="T156" s="393"/>
      <c r="X156" s="397"/>
      <c r="Y156" s="397"/>
      <c r="Z156" s="397"/>
      <c r="AA156" s="397"/>
    </row>
    <row r="157" spans="3:30" ht="12.75" hidden="1" customHeight="1" outlineLevel="1" x14ac:dyDescent="0.2">
      <c r="C157" s="396">
        <v>11</v>
      </c>
      <c r="D157" s="674" t="s">
        <v>274</v>
      </c>
      <c r="E157" s="643"/>
      <c r="F157" s="261"/>
      <c r="G157" s="395">
        <f>G141*VLOOKUP(C167,PRate01,3,FALSE)</f>
        <v>0</v>
      </c>
      <c r="H157" s="395">
        <f>H141*VLOOKUP(C166,PRate01,3,FALSE)</f>
        <v>0</v>
      </c>
      <c r="I157" s="395">
        <f>I141*VLOOKUP(C165,PRate01,3,FALSE)</f>
        <v>0</v>
      </c>
      <c r="J157" s="395">
        <f>J141*VLOOKUP(C164,PRate01,3,FALSE)</f>
        <v>0</v>
      </c>
      <c r="K157" s="395">
        <f t="shared" si="236"/>
        <v>0</v>
      </c>
      <c r="L157" s="395">
        <f t="shared" si="237"/>
        <v>0</v>
      </c>
      <c r="M157" s="395">
        <f t="shared" si="238"/>
        <v>0</v>
      </c>
      <c r="N157" s="395">
        <f t="shared" si="239"/>
        <v>0</v>
      </c>
      <c r="O157" s="395">
        <f t="shared" si="240"/>
        <v>0</v>
      </c>
      <c r="P157" s="395">
        <f t="shared" si="241"/>
        <v>0</v>
      </c>
      <c r="Q157" s="395">
        <f t="shared" si="242"/>
        <v>0</v>
      </c>
      <c r="S157" s="37" t="s">
        <v>993</v>
      </c>
      <c r="T157" s="210"/>
      <c r="X157" s="397"/>
      <c r="Y157" s="397"/>
      <c r="Z157" s="37" t="s">
        <v>249</v>
      </c>
      <c r="AA157" s="575"/>
      <c r="AB157" s="575"/>
      <c r="AC157" s="575"/>
      <c r="AD157" s="575"/>
    </row>
    <row r="158" spans="3:30" ht="12.75" hidden="1" customHeight="1" outlineLevel="1" x14ac:dyDescent="0.2">
      <c r="C158" s="396">
        <v>10</v>
      </c>
      <c r="D158" s="674" t="s">
        <v>275</v>
      </c>
      <c r="E158" s="643"/>
      <c r="F158" s="261"/>
      <c r="G158" s="261"/>
      <c r="H158" s="395">
        <f>H142*VLOOKUP(C167,PRate01,3,FALSE)</f>
        <v>0</v>
      </c>
      <c r="I158" s="395">
        <f>I142*VLOOKUP(C166,PRate01,3,FALSE)</f>
        <v>0</v>
      </c>
      <c r="J158" s="395">
        <f>J142*VLOOKUP(C165,PRate01,3,FALSE)</f>
        <v>0</v>
      </c>
      <c r="K158" s="395">
        <f t="shared" si="236"/>
        <v>0</v>
      </c>
      <c r="L158" s="395">
        <f t="shared" si="237"/>
        <v>0</v>
      </c>
      <c r="M158" s="395">
        <f t="shared" si="238"/>
        <v>0</v>
      </c>
      <c r="N158" s="395">
        <f t="shared" si="239"/>
        <v>0</v>
      </c>
      <c r="O158" s="395">
        <f t="shared" si="240"/>
        <v>0</v>
      </c>
      <c r="P158" s="395">
        <f t="shared" si="241"/>
        <v>0</v>
      </c>
      <c r="Q158" s="395">
        <f t="shared" si="242"/>
        <v>0</v>
      </c>
      <c r="S158" s="37" t="s">
        <v>994</v>
      </c>
      <c r="T158" s="210"/>
      <c r="X158" s="397"/>
      <c r="Y158" s="397"/>
      <c r="Z158" s="397"/>
      <c r="AA158" s="397"/>
    </row>
    <row r="159" spans="3:30" ht="12.75" hidden="1" customHeight="1" outlineLevel="1" x14ac:dyDescent="0.2">
      <c r="C159" s="396">
        <v>9</v>
      </c>
      <c r="D159" s="674" t="s">
        <v>276</v>
      </c>
      <c r="E159" s="643"/>
      <c r="F159" s="261"/>
      <c r="G159" s="261"/>
      <c r="H159" s="261"/>
      <c r="I159" s="395">
        <f>I143*VLOOKUP(C167,PRate01,3,FALSE)</f>
        <v>0</v>
      </c>
      <c r="J159" s="395">
        <f>J143*VLOOKUP(C166,PRate01,3,FALSE)</f>
        <v>0</v>
      </c>
      <c r="K159" s="395">
        <f t="shared" si="236"/>
        <v>0</v>
      </c>
      <c r="L159" s="395">
        <f t="shared" si="237"/>
        <v>0</v>
      </c>
      <c r="M159" s="395">
        <f t="shared" si="238"/>
        <v>0</v>
      </c>
      <c r="N159" s="395">
        <f t="shared" si="239"/>
        <v>0</v>
      </c>
      <c r="O159" s="395">
        <f t="shared" si="240"/>
        <v>0</v>
      </c>
      <c r="P159" s="395">
        <f t="shared" si="241"/>
        <v>0</v>
      </c>
      <c r="Q159" s="395">
        <f t="shared" si="242"/>
        <v>0</v>
      </c>
      <c r="S159" s="37" t="s">
        <v>995</v>
      </c>
      <c r="T159" s="210"/>
      <c r="X159" s="397"/>
      <c r="Y159" s="397"/>
      <c r="Z159" s="397"/>
      <c r="AA159" s="397"/>
    </row>
    <row r="160" spans="3:30" ht="12.75" hidden="1" customHeight="1" outlineLevel="1" x14ac:dyDescent="0.2">
      <c r="C160" s="396">
        <v>8</v>
      </c>
      <c r="D160" s="674" t="s">
        <v>277</v>
      </c>
      <c r="E160" s="643"/>
      <c r="F160" s="261"/>
      <c r="G160" s="261"/>
      <c r="H160" s="261"/>
      <c r="I160" s="261"/>
      <c r="J160" s="395">
        <f>J144*VLOOKUP(C167,PRate01,3,FALSE)</f>
        <v>0</v>
      </c>
      <c r="K160" s="395">
        <f t="shared" si="236"/>
        <v>0</v>
      </c>
      <c r="L160" s="395">
        <f t="shared" si="237"/>
        <v>0</v>
      </c>
      <c r="M160" s="395">
        <f t="shared" si="238"/>
        <v>0</v>
      </c>
      <c r="N160" s="395">
        <f t="shared" si="239"/>
        <v>0</v>
      </c>
      <c r="O160" s="395">
        <f t="shared" si="240"/>
        <v>0</v>
      </c>
      <c r="P160" s="395">
        <f t="shared" si="241"/>
        <v>0</v>
      </c>
      <c r="Q160" s="395">
        <f t="shared" si="242"/>
        <v>0</v>
      </c>
      <c r="S160" s="37" t="s">
        <v>996</v>
      </c>
      <c r="T160" s="210"/>
      <c r="X160" s="397"/>
      <c r="Y160" s="397"/>
      <c r="Z160" s="397"/>
      <c r="AA160" s="397"/>
    </row>
    <row r="161" spans="1:30" ht="12.75" hidden="1" customHeight="1" outlineLevel="1" x14ac:dyDescent="0.2">
      <c r="C161" s="396">
        <v>7</v>
      </c>
      <c r="D161" s="674" t="s">
        <v>278</v>
      </c>
      <c r="E161" s="643"/>
      <c r="F161" s="261"/>
      <c r="G161" s="261"/>
      <c r="H161" s="261"/>
      <c r="I161" s="261"/>
      <c r="J161" s="261"/>
      <c r="K161" s="395">
        <f t="shared" si="236"/>
        <v>0</v>
      </c>
      <c r="L161" s="395">
        <f t="shared" si="237"/>
        <v>0</v>
      </c>
      <c r="M161" s="395">
        <f t="shared" si="238"/>
        <v>0</v>
      </c>
      <c r="N161" s="395">
        <f t="shared" si="239"/>
        <v>0</v>
      </c>
      <c r="O161" s="395">
        <f t="shared" si="240"/>
        <v>0</v>
      </c>
      <c r="P161" s="395">
        <f t="shared" si="241"/>
        <v>0</v>
      </c>
      <c r="Q161" s="395">
        <f t="shared" si="242"/>
        <v>0</v>
      </c>
      <c r="S161" s="37" t="s">
        <v>997</v>
      </c>
      <c r="T161" s="210"/>
      <c r="X161" s="397"/>
      <c r="Y161" s="397"/>
      <c r="Z161" s="397"/>
      <c r="AA161" s="397"/>
    </row>
    <row r="162" spans="1:30" ht="12.75" hidden="1" customHeight="1" outlineLevel="1" x14ac:dyDescent="0.2">
      <c r="C162" s="396">
        <v>6</v>
      </c>
      <c r="D162" s="674" t="s">
        <v>464</v>
      </c>
      <c r="E162" s="643"/>
      <c r="F162" s="261"/>
      <c r="G162" s="261"/>
      <c r="H162" s="261"/>
      <c r="I162" s="261"/>
      <c r="J162" s="261"/>
      <c r="K162" s="261"/>
      <c r="L162" s="395">
        <f t="shared" si="237"/>
        <v>0</v>
      </c>
      <c r="M162" s="395">
        <f t="shared" si="238"/>
        <v>0</v>
      </c>
      <c r="N162" s="395">
        <f t="shared" si="239"/>
        <v>0</v>
      </c>
      <c r="O162" s="395">
        <f t="shared" si="240"/>
        <v>0</v>
      </c>
      <c r="P162" s="395">
        <f t="shared" si="241"/>
        <v>0</v>
      </c>
      <c r="Q162" s="395">
        <f t="shared" si="242"/>
        <v>0</v>
      </c>
      <c r="S162" s="37" t="s">
        <v>998</v>
      </c>
      <c r="T162" s="210"/>
      <c r="X162" s="397"/>
      <c r="Y162" s="397"/>
      <c r="Z162" s="397"/>
      <c r="AA162" s="397"/>
    </row>
    <row r="163" spans="1:30" ht="12.75" hidden="1" customHeight="1" outlineLevel="1" x14ac:dyDescent="0.2">
      <c r="C163" s="396">
        <v>5</v>
      </c>
      <c r="D163" s="674" t="s">
        <v>465</v>
      </c>
      <c r="E163" s="643"/>
      <c r="F163" s="261"/>
      <c r="G163" s="261"/>
      <c r="H163" s="261"/>
      <c r="I163" s="261"/>
      <c r="J163" s="261"/>
      <c r="K163" s="261"/>
      <c r="L163" s="261"/>
      <c r="M163" s="395">
        <f t="shared" si="238"/>
        <v>0</v>
      </c>
      <c r="N163" s="395">
        <f t="shared" si="239"/>
        <v>0</v>
      </c>
      <c r="O163" s="395">
        <f t="shared" si="240"/>
        <v>0</v>
      </c>
      <c r="P163" s="395">
        <f t="shared" si="241"/>
        <v>0</v>
      </c>
      <c r="Q163" s="395">
        <f t="shared" si="242"/>
        <v>0</v>
      </c>
      <c r="S163" s="37" t="s">
        <v>999</v>
      </c>
      <c r="T163" s="210"/>
      <c r="X163" s="397"/>
      <c r="Y163" s="397"/>
      <c r="Z163" s="397"/>
      <c r="AA163" s="397"/>
    </row>
    <row r="164" spans="1:30" ht="12.75" hidden="1" customHeight="1" outlineLevel="1" x14ac:dyDescent="0.2">
      <c r="C164" s="396">
        <v>4</v>
      </c>
      <c r="D164" s="674" t="s">
        <v>466</v>
      </c>
      <c r="E164" s="643"/>
      <c r="F164" s="261"/>
      <c r="G164" s="261"/>
      <c r="H164" s="261"/>
      <c r="I164" s="261"/>
      <c r="J164" s="261"/>
      <c r="K164" s="261"/>
      <c r="L164" s="261"/>
      <c r="M164" s="261"/>
      <c r="N164" s="395">
        <f t="shared" si="239"/>
        <v>0</v>
      </c>
      <c r="O164" s="395">
        <f t="shared" si="240"/>
        <v>0</v>
      </c>
      <c r="P164" s="395">
        <f t="shared" si="241"/>
        <v>0</v>
      </c>
      <c r="Q164" s="395">
        <f t="shared" si="242"/>
        <v>0</v>
      </c>
      <c r="S164" s="37" t="s">
        <v>1000</v>
      </c>
      <c r="T164" s="210"/>
      <c r="X164" s="397"/>
      <c r="Y164" s="397"/>
      <c r="Z164" s="397"/>
      <c r="AA164" s="397"/>
    </row>
    <row r="165" spans="1:30" ht="12.75" hidden="1" customHeight="1" outlineLevel="1" x14ac:dyDescent="0.2">
      <c r="C165" s="396">
        <v>3</v>
      </c>
      <c r="D165" s="674" t="s">
        <v>467</v>
      </c>
      <c r="E165" s="643"/>
      <c r="F165" s="261"/>
      <c r="G165" s="261"/>
      <c r="H165" s="261"/>
      <c r="I165" s="261"/>
      <c r="J165" s="261"/>
      <c r="K165" s="261"/>
      <c r="L165" s="261"/>
      <c r="M165" s="261"/>
      <c r="N165" s="261"/>
      <c r="O165" s="395">
        <f t="shared" si="240"/>
        <v>0</v>
      </c>
      <c r="P165" s="395">
        <f t="shared" si="241"/>
        <v>0</v>
      </c>
      <c r="Q165" s="395">
        <f t="shared" si="242"/>
        <v>0</v>
      </c>
      <c r="S165" s="37" t="s">
        <v>1001</v>
      </c>
      <c r="T165" s="210"/>
      <c r="X165" s="397"/>
      <c r="Y165" s="397"/>
      <c r="Z165" s="397"/>
      <c r="AA165" s="397"/>
    </row>
    <row r="166" spans="1:30" ht="12.75" hidden="1" customHeight="1" outlineLevel="1" x14ac:dyDescent="0.2">
      <c r="C166" s="396">
        <v>2</v>
      </c>
      <c r="D166" s="674" t="s">
        <v>468</v>
      </c>
      <c r="E166" s="643"/>
      <c r="F166" s="261"/>
      <c r="G166" s="261"/>
      <c r="H166" s="261"/>
      <c r="I166" s="261"/>
      <c r="J166" s="261"/>
      <c r="K166" s="261"/>
      <c r="L166" s="261"/>
      <c r="M166" s="261"/>
      <c r="N166" s="261"/>
      <c r="O166" s="391"/>
      <c r="P166" s="395">
        <f t="shared" si="241"/>
        <v>0</v>
      </c>
      <c r="Q166" s="395">
        <f t="shared" si="242"/>
        <v>0</v>
      </c>
      <c r="S166" s="37" t="s">
        <v>1002</v>
      </c>
      <c r="T166" s="210"/>
      <c r="X166" s="397"/>
      <c r="Y166" s="397"/>
      <c r="Z166" s="397"/>
      <c r="AA166" s="397"/>
    </row>
    <row r="167" spans="1:30" ht="12.75" hidden="1" customHeight="1" outlineLevel="1" x14ac:dyDescent="0.2">
      <c r="C167" s="396">
        <v>1</v>
      </c>
      <c r="D167" s="674" t="s">
        <v>469</v>
      </c>
      <c r="E167" s="643"/>
      <c r="F167" s="261"/>
      <c r="G167" s="261"/>
      <c r="H167" s="261"/>
      <c r="I167" s="261"/>
      <c r="J167" s="261"/>
      <c r="K167" s="261"/>
      <c r="L167" s="261"/>
      <c r="M167" s="261"/>
      <c r="N167" s="261"/>
      <c r="O167" s="391"/>
      <c r="P167" s="391"/>
      <c r="Q167" s="395">
        <f t="shared" si="242"/>
        <v>0</v>
      </c>
      <c r="S167" s="37" t="s">
        <v>1022</v>
      </c>
      <c r="T167" s="210"/>
    </row>
    <row r="168" spans="1:30" ht="12.75" hidden="1" customHeight="1" outlineLevel="1" x14ac:dyDescent="0.2">
      <c r="K168" s="258" t="s">
        <v>73</v>
      </c>
      <c r="L168" s="263">
        <f>IFERROR((SUM(L156:L161)+IF(MATCH($AC$168,Switch,0)=1,L162,0)),0)</f>
        <v>0</v>
      </c>
      <c r="M168" s="263">
        <f>IFERROR((SUM(M156:M162)+IF(MATCH($AC$168,Switch,0)=1,M163,0)),0)</f>
        <v>0</v>
      </c>
      <c r="N168" s="263">
        <f>IFERROR((SUM(N156:N163)+IF(MATCH($AC$168,Switch,0)=1,N164,0)),0)</f>
        <v>0</v>
      </c>
      <c r="O168" s="263">
        <f>IFERROR((SUM(O156:O164)+IF(MATCH($AC$168,Switch,0)=1,O165,0)),0)</f>
        <v>0</v>
      </c>
      <c r="P168" s="263">
        <f>IFERROR((SUM(P156:P165)+IF(MATCH($AC$168,Switch,0)=1,P166,0)),0)</f>
        <v>0</v>
      </c>
      <c r="Q168" s="263">
        <f>IFERROR((SUM(Q156:Q166)+IF(MATCH($AC$168,Switch,0)=1,Q167,0)),0)</f>
        <v>0</v>
      </c>
      <c r="Z168" s="670" t="s">
        <v>1289</v>
      </c>
      <c r="AA168" s="671"/>
      <c r="AB168" s="672"/>
      <c r="AC168" s="227" t="s">
        <v>9</v>
      </c>
    </row>
    <row r="169" spans="1:30" ht="12.75" hidden="1" customHeight="1" outlineLevel="1" x14ac:dyDescent="0.2"/>
    <row r="170" spans="1:30" ht="12.75" customHeight="1" collapsed="1" x14ac:dyDescent="0.2"/>
    <row r="171" spans="1:30" ht="15.75" x14ac:dyDescent="0.2">
      <c r="A171" s="172"/>
      <c r="B171" s="209">
        <f>IF(G173&lt;&gt;"",1,0)</f>
        <v>0</v>
      </c>
      <c r="C171" s="209">
        <v>5</v>
      </c>
      <c r="D171" s="72" t="str">
        <f>IF(B171=0,MsgNotUsed, CONCATENATE("Persistent ", C171, ": ", G173, " (", F177, "-", Q177, ")"))</f>
        <v>** NOT USED **</v>
      </c>
      <c r="E171" s="113"/>
      <c r="F171" s="113"/>
      <c r="G171" s="113"/>
      <c r="H171" s="113"/>
      <c r="I171" s="113"/>
      <c r="J171" s="154"/>
      <c r="K171" s="113"/>
      <c r="L171" s="113"/>
      <c r="M171" s="113"/>
      <c r="N171" s="224"/>
      <c r="O171" s="224"/>
      <c r="P171" s="224"/>
      <c r="Q171" s="224"/>
      <c r="R171" s="224"/>
      <c r="S171" s="224"/>
      <c r="T171" s="224"/>
      <c r="U171" s="224"/>
      <c r="V171" s="224"/>
      <c r="W171" s="224"/>
      <c r="X171" s="224"/>
      <c r="Y171" s="224"/>
      <c r="Z171" s="224"/>
      <c r="AA171" s="224"/>
      <c r="AB171" s="224"/>
      <c r="AC171" s="224"/>
      <c r="AD171" s="224"/>
    </row>
    <row r="172" spans="1:30" ht="12.75" hidden="1" customHeight="1" outlineLevel="1" x14ac:dyDescent="0.2"/>
    <row r="173" spans="1:30" ht="12.75" hidden="1" customHeight="1" outlineLevel="1" x14ac:dyDescent="0.2">
      <c r="F173" s="37" t="s">
        <v>470</v>
      </c>
      <c r="G173" s="669"/>
      <c r="H173" s="642"/>
      <c r="I173" s="642"/>
      <c r="J173" s="642"/>
      <c r="K173" s="642"/>
      <c r="L173" s="643"/>
    </row>
    <row r="174" spans="1:30" ht="12.75" hidden="1" customHeight="1" outlineLevel="1" x14ac:dyDescent="0.2"/>
    <row r="175" spans="1:30" ht="12.75" hidden="1" customHeight="1" outlineLevel="1" x14ac:dyDescent="0.2">
      <c r="F175" s="37" t="s">
        <v>249</v>
      </c>
      <c r="G175" s="669"/>
      <c r="H175" s="642"/>
      <c r="I175" s="642"/>
      <c r="J175" s="642"/>
      <c r="K175" s="642"/>
      <c r="L175" s="643"/>
      <c r="Z175" s="542" t="str">
        <f>IF(AC177&lt;&gt;"",MsgNote &amp; VLOOKUP("PRate",WarningMessages,2),"")</f>
        <v/>
      </c>
      <c r="AA175" s="542"/>
      <c r="AB175" s="542"/>
      <c r="AC175" s="542"/>
      <c r="AD175" s="542"/>
    </row>
    <row r="176" spans="1:30" ht="12.75" hidden="1" customHeight="1" outlineLevel="1" x14ac:dyDescent="0.2">
      <c r="G176" s="400">
        <v>1</v>
      </c>
      <c r="H176" s="400">
        <v>2</v>
      </c>
      <c r="I176" s="400">
        <v>3</v>
      </c>
      <c r="J176" s="400">
        <v>4</v>
      </c>
      <c r="K176" s="400">
        <v>5</v>
      </c>
      <c r="L176" s="400">
        <v>6</v>
      </c>
      <c r="M176" s="400">
        <v>7</v>
      </c>
      <c r="N176" s="400">
        <v>8</v>
      </c>
      <c r="O176" s="400">
        <v>9</v>
      </c>
      <c r="P176" s="400">
        <v>10</v>
      </c>
      <c r="Q176" s="400">
        <v>11</v>
      </c>
    </row>
    <row r="177" spans="4:30" ht="12.75" hidden="1" customHeight="1" outlineLevel="1" x14ac:dyDescent="0.2">
      <c r="D177" s="260"/>
      <c r="E177" s="74" t="s">
        <v>1052</v>
      </c>
      <c r="F177" s="74">
        <f t="shared" ref="F177" si="243">G177-1</f>
        <v>2020</v>
      </c>
      <c r="G177" s="74">
        <f t="shared" ref="G177" si="244">H177-1</f>
        <v>2021</v>
      </c>
      <c r="H177" s="74">
        <f t="shared" ref="H177" si="245">I177-1</f>
        <v>2022</v>
      </c>
      <c r="I177" s="74">
        <f t="shared" ref="I177" si="246">J177-1</f>
        <v>2023</v>
      </c>
      <c r="J177" s="74">
        <f t="shared" ref="J177" si="247">K177-1</f>
        <v>2024</v>
      </c>
      <c r="K177" s="74">
        <f t="shared" ref="K177" si="248">L177-1</f>
        <v>2025</v>
      </c>
      <c r="L177" s="74">
        <f>FirstYear</f>
        <v>2026</v>
      </c>
      <c r="M177" s="74">
        <f>L177+1</f>
        <v>2027</v>
      </c>
      <c r="N177" s="74">
        <f>M177+1</f>
        <v>2028</v>
      </c>
      <c r="O177" s="74">
        <f>N177+1</f>
        <v>2029</v>
      </c>
      <c r="P177" s="74">
        <f>O177+1</f>
        <v>2030</v>
      </c>
      <c r="Q177" s="74">
        <f>P177+1</f>
        <v>2031</v>
      </c>
      <c r="S177" s="675" t="s">
        <v>1287</v>
      </c>
      <c r="T177" s="675"/>
      <c r="Z177" s="673" t="s">
        <v>1290</v>
      </c>
      <c r="AA177" s="673"/>
      <c r="AB177" s="673"/>
      <c r="AC177" s="210"/>
    </row>
    <row r="178" spans="4:30" ht="12.75" hidden="1" customHeight="1" outlineLevel="1" x14ac:dyDescent="0.2">
      <c r="D178" s="37" t="s">
        <v>273</v>
      </c>
      <c r="E178" s="262"/>
      <c r="F178" s="264">
        <f>E178</f>
        <v>0</v>
      </c>
      <c r="G178" s="264">
        <f t="shared" ref="G178" si="249">F178*VLOOKUP(G176,PRate01,2,FALSE)</f>
        <v>0</v>
      </c>
      <c r="H178" s="264">
        <f t="shared" ref="H178" si="250">G178*VLOOKUP(H176,PRate01,2,FALSE)</f>
        <v>0</v>
      </c>
      <c r="I178" s="264">
        <f t="shared" ref="I178" si="251">H178*VLOOKUP(I176,PRate01,2,FALSE)</f>
        <v>0</v>
      </c>
      <c r="J178" s="264">
        <f t="shared" ref="J178" si="252">I178*VLOOKUP(J176,PRate01,2,FALSE)</f>
        <v>0</v>
      </c>
      <c r="K178" s="264">
        <f t="shared" ref="K178" si="253">J178*VLOOKUP(K176,PRate01,2,FALSE)</f>
        <v>0</v>
      </c>
      <c r="L178" s="264">
        <f t="shared" ref="L178" si="254">K178*VLOOKUP(L176,PRate01,2,FALSE)</f>
        <v>0</v>
      </c>
      <c r="M178" s="264">
        <f t="shared" ref="M178" si="255">L178*VLOOKUP(M176,PRate01,2,FALSE)</f>
        <v>0</v>
      </c>
      <c r="N178" s="264">
        <f t="shared" ref="N178" si="256">M178*VLOOKUP(N176,PRate01,2,FALSE)</f>
        <v>0</v>
      </c>
      <c r="O178" s="264">
        <f t="shared" ref="O178" si="257">N178*VLOOKUP(O176,PRate01,2,FALSE)</f>
        <v>0</v>
      </c>
      <c r="P178" s="264">
        <f t="shared" ref="P178" si="258">O178*VLOOKUP(P176,PRate01,2,FALSE)</f>
        <v>0</v>
      </c>
      <c r="Q178" s="264">
        <f t="shared" ref="Q178" si="259">P178*VLOOKUP(Q176,PRate01,2,FALSE)</f>
        <v>0</v>
      </c>
      <c r="S178" s="392" t="s">
        <v>992</v>
      </c>
      <c r="T178" s="393"/>
      <c r="V178" s="398">
        <v>1</v>
      </c>
      <c r="W178" s="394">
        <f>IF($AC$177&lt;&gt;"",$AC$177,T178)</f>
        <v>0</v>
      </c>
      <c r="X178" s="394">
        <f>IF($AC$193&lt;&gt;"",$AC$193,T194)</f>
        <v>0</v>
      </c>
      <c r="Y178" s="397"/>
      <c r="Z178" s="397"/>
      <c r="AA178" s="397"/>
    </row>
    <row r="179" spans="4:30" ht="12.75" hidden="1" customHeight="1" outlineLevel="1" x14ac:dyDescent="0.2">
      <c r="D179" s="37" t="s">
        <v>274</v>
      </c>
      <c r="E179" s="262"/>
      <c r="F179" s="261"/>
      <c r="G179" s="264">
        <f>E179</f>
        <v>0</v>
      </c>
      <c r="H179" s="264">
        <f t="shared" ref="H179" si="260">G179*VLOOKUP(G176,PRate01,2,FALSE)</f>
        <v>0</v>
      </c>
      <c r="I179" s="264">
        <f t="shared" ref="I179" si="261">H179*VLOOKUP(H176,PRate01,2,FALSE)</f>
        <v>0</v>
      </c>
      <c r="J179" s="264">
        <f t="shared" ref="J179" si="262">I179*VLOOKUP(I176,PRate01,2,FALSE)</f>
        <v>0</v>
      </c>
      <c r="K179" s="264">
        <f t="shared" ref="K179" si="263">J179*VLOOKUP(J176,PRate01,2,FALSE)</f>
        <v>0</v>
      </c>
      <c r="L179" s="264">
        <f t="shared" ref="L179" si="264">K179*VLOOKUP(K176,PRate01,2,FALSE)</f>
        <v>0</v>
      </c>
      <c r="M179" s="264">
        <f t="shared" ref="M179" si="265">L179*VLOOKUP(L176,PRate01,2,FALSE)</f>
        <v>0</v>
      </c>
      <c r="N179" s="264">
        <f t="shared" ref="N179" si="266">M179*VLOOKUP(M176,PRate01,2,FALSE)</f>
        <v>0</v>
      </c>
      <c r="O179" s="264">
        <f t="shared" ref="O179" si="267">N179*VLOOKUP(N176,PRate01,2,FALSE)</f>
        <v>0</v>
      </c>
      <c r="P179" s="264">
        <f t="shared" ref="P179" si="268">O179*VLOOKUP(O176,PRate01,2,FALSE)</f>
        <v>0</v>
      </c>
      <c r="Q179" s="264">
        <f t="shared" ref="Q179" si="269">P179*VLOOKUP(P176,PRate01,2,FALSE)</f>
        <v>0</v>
      </c>
      <c r="S179" s="37" t="s">
        <v>993</v>
      </c>
      <c r="T179" s="210"/>
      <c r="V179" s="398">
        <v>2</v>
      </c>
      <c r="W179" s="394">
        <f t="shared" ref="W179:W188" si="270">IF($AC$177&lt;&gt;"",$AC$177,T179)</f>
        <v>0</v>
      </c>
      <c r="X179" s="394">
        <f t="shared" ref="X179:X189" si="271">IF($AC$193&lt;&gt;"",$AC$193,T195)</f>
        <v>0</v>
      </c>
      <c r="Z179" s="37" t="s">
        <v>249</v>
      </c>
      <c r="AA179" s="575"/>
      <c r="AB179" s="575"/>
      <c r="AC179" s="575"/>
      <c r="AD179" s="575"/>
    </row>
    <row r="180" spans="4:30" ht="12.75" hidden="1" customHeight="1" outlineLevel="1" x14ac:dyDescent="0.2">
      <c r="D180" s="37" t="s">
        <v>275</v>
      </c>
      <c r="E180" s="262"/>
      <c r="F180" s="261"/>
      <c r="G180" s="261"/>
      <c r="H180" s="264">
        <f>E180</f>
        <v>0</v>
      </c>
      <c r="I180" s="264">
        <f t="shared" ref="I180" si="272">H180*VLOOKUP(G176,PRate01,2,FALSE)</f>
        <v>0</v>
      </c>
      <c r="J180" s="264">
        <f t="shared" ref="J180" si="273">I180*VLOOKUP(H176,PRate01,2,FALSE)</f>
        <v>0</v>
      </c>
      <c r="K180" s="264">
        <f t="shared" ref="K180" si="274">J180*VLOOKUP(I176,PRate01,2,FALSE)</f>
        <v>0</v>
      </c>
      <c r="L180" s="264">
        <f t="shared" ref="L180" si="275">K180*VLOOKUP(J176,PRate01,2,FALSE)</f>
        <v>0</v>
      </c>
      <c r="M180" s="264">
        <f t="shared" ref="M180" si="276">L180*VLOOKUP(K176,PRate01,2,FALSE)</f>
        <v>0</v>
      </c>
      <c r="N180" s="264">
        <f t="shared" ref="N180" si="277">M180*VLOOKUP(L176,PRate01,2,FALSE)</f>
        <v>0</v>
      </c>
      <c r="O180" s="264">
        <f t="shared" ref="O180" si="278">N180*VLOOKUP(M176,PRate01,2,FALSE)</f>
        <v>0</v>
      </c>
      <c r="P180" s="264">
        <f t="shared" ref="P180" si="279">O180*VLOOKUP(N176,PRate01,2,FALSE)</f>
        <v>0</v>
      </c>
      <c r="Q180" s="264">
        <f t="shared" ref="Q180" si="280">P180*VLOOKUP(O176,PRate01,2,FALSE)</f>
        <v>0</v>
      </c>
      <c r="S180" s="37" t="s">
        <v>994</v>
      </c>
      <c r="T180" s="210"/>
      <c r="V180" s="398">
        <v>3</v>
      </c>
      <c r="W180" s="394">
        <f t="shared" si="270"/>
        <v>0</v>
      </c>
      <c r="X180" s="394">
        <f t="shared" si="271"/>
        <v>0</v>
      </c>
      <c r="Y180" s="397"/>
      <c r="Z180" s="397"/>
      <c r="AA180" s="397"/>
    </row>
    <row r="181" spans="4:30" ht="12.75" hidden="1" customHeight="1" outlineLevel="1" x14ac:dyDescent="0.2">
      <c r="D181" s="37" t="s">
        <v>276</v>
      </c>
      <c r="E181" s="262"/>
      <c r="F181" s="261"/>
      <c r="G181" s="261"/>
      <c r="H181" s="261"/>
      <c r="I181" s="264">
        <f>E181</f>
        <v>0</v>
      </c>
      <c r="J181" s="264">
        <f t="shared" ref="J181" si="281">I181*VLOOKUP(G176,PRate01,2,FALSE)</f>
        <v>0</v>
      </c>
      <c r="K181" s="264">
        <f t="shared" ref="K181" si="282">J181*VLOOKUP(H176,PRate01,2,FALSE)</f>
        <v>0</v>
      </c>
      <c r="L181" s="264">
        <f t="shared" ref="L181" si="283">K181*VLOOKUP(I176,PRate01,2,FALSE)</f>
        <v>0</v>
      </c>
      <c r="M181" s="264">
        <f t="shared" ref="M181" si="284">L181*VLOOKUP(J176,PRate01,2,FALSE)</f>
        <v>0</v>
      </c>
      <c r="N181" s="264">
        <f t="shared" ref="N181" si="285">M181*VLOOKUP(K176,PRate01,2,FALSE)</f>
        <v>0</v>
      </c>
      <c r="O181" s="264">
        <f t="shared" ref="O181" si="286">N181*VLOOKUP(L176,PRate01,2,FALSE)</f>
        <v>0</v>
      </c>
      <c r="P181" s="264">
        <f t="shared" ref="P181" si="287">O181*VLOOKUP(M176,PRate01,2,FALSE)</f>
        <v>0</v>
      </c>
      <c r="Q181" s="264">
        <f t="shared" ref="Q181" si="288">P181*VLOOKUP(N176,PRate01,2,FALSE)</f>
        <v>0</v>
      </c>
      <c r="S181" s="37" t="s">
        <v>995</v>
      </c>
      <c r="T181" s="210"/>
      <c r="V181" s="398">
        <v>4</v>
      </c>
      <c r="W181" s="394">
        <f t="shared" si="270"/>
        <v>0</v>
      </c>
      <c r="X181" s="394">
        <f t="shared" si="271"/>
        <v>0</v>
      </c>
      <c r="Y181" s="397"/>
      <c r="Z181" s="397"/>
      <c r="AA181" s="397"/>
    </row>
    <row r="182" spans="4:30" ht="12.75" hidden="1" customHeight="1" outlineLevel="1" x14ac:dyDescent="0.2">
      <c r="D182" s="37" t="s">
        <v>277</v>
      </c>
      <c r="E182" s="262"/>
      <c r="F182" s="261"/>
      <c r="G182" s="261"/>
      <c r="H182" s="261"/>
      <c r="I182" s="261"/>
      <c r="J182" s="264">
        <f>E182</f>
        <v>0</v>
      </c>
      <c r="K182" s="264">
        <f t="shared" ref="K182" si="289">J182*VLOOKUP(G176,PRate01,2,FALSE)</f>
        <v>0</v>
      </c>
      <c r="L182" s="264">
        <f t="shared" ref="L182" si="290">K182*VLOOKUP(H176,PRate01,2,FALSE)</f>
        <v>0</v>
      </c>
      <c r="M182" s="264">
        <f t="shared" ref="M182" si="291">L182*VLOOKUP(I176,PRate01,2,FALSE)</f>
        <v>0</v>
      </c>
      <c r="N182" s="264">
        <f t="shared" ref="N182" si="292">M182*VLOOKUP(J176,PRate01,2,FALSE)</f>
        <v>0</v>
      </c>
      <c r="O182" s="264">
        <f t="shared" ref="O182" si="293">N182*VLOOKUP(K176,PRate01,2,FALSE)</f>
        <v>0</v>
      </c>
      <c r="P182" s="264">
        <f t="shared" ref="P182" si="294">O182*VLOOKUP(L176,PRate01,2,FALSE)</f>
        <v>0</v>
      </c>
      <c r="Q182" s="264">
        <f t="shared" ref="Q182" si="295">P182*VLOOKUP(M176,PRate01,2,FALSE)</f>
        <v>0</v>
      </c>
      <c r="S182" s="37" t="s">
        <v>996</v>
      </c>
      <c r="T182" s="210"/>
      <c r="V182" s="398">
        <v>5</v>
      </c>
      <c r="W182" s="394">
        <f t="shared" si="270"/>
        <v>0</v>
      </c>
      <c r="X182" s="394">
        <f t="shared" si="271"/>
        <v>0</v>
      </c>
      <c r="Y182" s="397"/>
      <c r="Z182" s="397"/>
      <c r="AA182" s="397"/>
    </row>
    <row r="183" spans="4:30" ht="12.75" hidden="1" customHeight="1" outlineLevel="1" x14ac:dyDescent="0.2">
      <c r="D183" s="37" t="s">
        <v>278</v>
      </c>
      <c r="E183" s="262"/>
      <c r="F183" s="261"/>
      <c r="G183" s="261"/>
      <c r="H183" s="261"/>
      <c r="I183" s="261"/>
      <c r="J183" s="261"/>
      <c r="K183" s="264">
        <f>E183</f>
        <v>0</v>
      </c>
      <c r="L183" s="264">
        <f t="shared" ref="L183" si="296">K183*VLOOKUP(G176,PRate01,2,FALSE)</f>
        <v>0</v>
      </c>
      <c r="M183" s="264">
        <f t="shared" ref="M183" si="297">L183*VLOOKUP(H176,PRate01,2,FALSE)</f>
        <v>0</v>
      </c>
      <c r="N183" s="264">
        <f t="shared" ref="N183" si="298">M183*VLOOKUP(I176,PRate01,2,FALSE)</f>
        <v>0</v>
      </c>
      <c r="O183" s="264">
        <f t="shared" ref="O183" si="299">N183*VLOOKUP(J176,PRate01,2,FALSE)</f>
        <v>0</v>
      </c>
      <c r="P183" s="264">
        <f t="shared" ref="P183" si="300">O183*VLOOKUP(K176,PRate01,2,FALSE)</f>
        <v>0</v>
      </c>
      <c r="Q183" s="264">
        <f t="shared" ref="Q183" si="301">P183*VLOOKUP(L176,PRate01,2,FALSE)</f>
        <v>0</v>
      </c>
      <c r="S183" s="37" t="s">
        <v>997</v>
      </c>
      <c r="T183" s="210"/>
      <c r="V183" s="398">
        <v>6</v>
      </c>
      <c r="W183" s="394">
        <f t="shared" si="270"/>
        <v>0</v>
      </c>
      <c r="X183" s="394">
        <f t="shared" si="271"/>
        <v>0</v>
      </c>
      <c r="Y183" s="397"/>
      <c r="Z183" s="397"/>
      <c r="AA183" s="397"/>
    </row>
    <row r="184" spans="4:30" ht="12.75" hidden="1" customHeight="1" outlineLevel="1" x14ac:dyDescent="0.2">
      <c r="D184" s="37" t="s">
        <v>464</v>
      </c>
      <c r="E184" s="262"/>
      <c r="F184" s="261"/>
      <c r="G184" s="261"/>
      <c r="H184" s="261"/>
      <c r="I184" s="261"/>
      <c r="J184" s="261"/>
      <c r="K184" s="261"/>
      <c r="L184" s="264">
        <f>E184</f>
        <v>0</v>
      </c>
      <c r="M184" s="264">
        <f>L184*VLOOKUP(G176,PRate01,2,FALSE)</f>
        <v>0</v>
      </c>
      <c r="N184" s="264">
        <f>M184*VLOOKUP(H176,PRate01,2,FALSE)</f>
        <v>0</v>
      </c>
      <c r="O184" s="264">
        <f>N184*VLOOKUP(I176,PRate01,2,FALSE)</f>
        <v>0</v>
      </c>
      <c r="P184" s="264">
        <f>O184*VLOOKUP(J176,PRate01,2,FALSE)</f>
        <v>0</v>
      </c>
      <c r="Q184" s="264">
        <f>P184*VLOOKUP(K176,PRate01,2,FALSE)</f>
        <v>0</v>
      </c>
      <c r="S184" s="37" t="s">
        <v>998</v>
      </c>
      <c r="T184" s="210"/>
      <c r="V184" s="398">
        <v>7</v>
      </c>
      <c r="W184" s="394">
        <f t="shared" si="270"/>
        <v>0</v>
      </c>
      <c r="X184" s="394">
        <f t="shared" si="271"/>
        <v>0</v>
      </c>
      <c r="Y184" s="397"/>
      <c r="Z184" s="397"/>
      <c r="AA184" s="397"/>
    </row>
    <row r="185" spans="4:30" ht="12.75" hidden="1" customHeight="1" outlineLevel="1" x14ac:dyDescent="0.2">
      <c r="D185" s="37" t="s">
        <v>465</v>
      </c>
      <c r="E185" s="262"/>
      <c r="F185" s="261"/>
      <c r="G185" s="261"/>
      <c r="H185" s="261"/>
      <c r="I185" s="261"/>
      <c r="J185" s="261"/>
      <c r="K185" s="261"/>
      <c r="L185" s="261"/>
      <c r="M185" s="264">
        <f>E185</f>
        <v>0</v>
      </c>
      <c r="N185" s="264">
        <f>M185*VLOOKUP(G176,PRate01,2,FALSE)</f>
        <v>0</v>
      </c>
      <c r="O185" s="264">
        <f>N185*VLOOKUP(H176,PRate01,2,FALSE)</f>
        <v>0</v>
      </c>
      <c r="P185" s="264">
        <f>O185*VLOOKUP(I176,PRate01,2,FALSE)</f>
        <v>0</v>
      </c>
      <c r="Q185" s="264">
        <f>P185*VLOOKUP(J176,PRate01,2,FALSE)</f>
        <v>0</v>
      </c>
      <c r="S185" s="37" t="s">
        <v>999</v>
      </c>
      <c r="T185" s="210"/>
      <c r="V185" s="398">
        <v>8</v>
      </c>
      <c r="W185" s="394">
        <f t="shared" si="270"/>
        <v>0</v>
      </c>
      <c r="X185" s="394">
        <f t="shared" si="271"/>
        <v>0</v>
      </c>
      <c r="Y185" s="397"/>
      <c r="Z185" s="397"/>
      <c r="AA185" s="397"/>
    </row>
    <row r="186" spans="4:30" ht="12.75" hidden="1" customHeight="1" outlineLevel="1" x14ac:dyDescent="0.2">
      <c r="D186" s="37" t="s">
        <v>466</v>
      </c>
      <c r="E186" s="262"/>
      <c r="F186" s="261"/>
      <c r="G186" s="261"/>
      <c r="H186" s="261"/>
      <c r="I186" s="261"/>
      <c r="J186" s="261"/>
      <c r="K186" s="261"/>
      <c r="L186" s="261"/>
      <c r="M186" s="261"/>
      <c r="N186" s="264">
        <f>E186</f>
        <v>0</v>
      </c>
      <c r="O186" s="264">
        <f>N186*VLOOKUP(G176,PRate01,2,FALSE)</f>
        <v>0</v>
      </c>
      <c r="P186" s="264">
        <f>O186*VLOOKUP(H176,PRate01,2,FALSE)</f>
        <v>0</v>
      </c>
      <c r="Q186" s="264">
        <f>P186*VLOOKUP(I176,PRate01,2,FALSE)</f>
        <v>0</v>
      </c>
      <c r="S186" s="37" t="s">
        <v>1000</v>
      </c>
      <c r="T186" s="210"/>
      <c r="V186" s="398">
        <v>9</v>
      </c>
      <c r="W186" s="394">
        <f t="shared" si="270"/>
        <v>0</v>
      </c>
      <c r="X186" s="394">
        <f t="shared" si="271"/>
        <v>0</v>
      </c>
      <c r="Y186" s="397"/>
      <c r="Z186" s="397"/>
      <c r="AA186" s="397"/>
    </row>
    <row r="187" spans="4:30" ht="12.75" hidden="1" customHeight="1" outlineLevel="1" x14ac:dyDescent="0.2">
      <c r="D187" s="37" t="s">
        <v>467</v>
      </c>
      <c r="E187" s="262"/>
      <c r="F187" s="261"/>
      <c r="G187" s="261"/>
      <c r="H187" s="261"/>
      <c r="I187" s="261"/>
      <c r="J187" s="261"/>
      <c r="K187" s="261"/>
      <c r="L187" s="261"/>
      <c r="M187" s="261"/>
      <c r="N187" s="261"/>
      <c r="O187" s="395">
        <f>E187</f>
        <v>0</v>
      </c>
      <c r="P187" s="264">
        <f>O187*VLOOKUP(G176,PRate01,2,FALSE)</f>
        <v>0</v>
      </c>
      <c r="Q187" s="264">
        <f>P187*VLOOKUP(H176,PRate01,2,FALSE)</f>
        <v>0</v>
      </c>
      <c r="S187" s="37" t="s">
        <v>1001</v>
      </c>
      <c r="T187" s="210"/>
      <c r="V187" s="398">
        <v>10</v>
      </c>
      <c r="W187" s="394">
        <f t="shared" si="270"/>
        <v>0</v>
      </c>
      <c r="X187" s="394">
        <f t="shared" si="271"/>
        <v>0</v>
      </c>
      <c r="Y187" s="397"/>
      <c r="Z187" s="397"/>
      <c r="AA187" s="397"/>
    </row>
    <row r="188" spans="4:30" ht="12.75" hidden="1" customHeight="1" outlineLevel="1" x14ac:dyDescent="0.2">
      <c r="D188" s="37" t="s">
        <v>468</v>
      </c>
      <c r="E188" s="262"/>
      <c r="F188" s="261"/>
      <c r="G188" s="261"/>
      <c r="H188" s="261"/>
      <c r="I188" s="261"/>
      <c r="J188" s="261"/>
      <c r="K188" s="261"/>
      <c r="L188" s="261"/>
      <c r="M188" s="261"/>
      <c r="N188" s="261"/>
      <c r="O188" s="391"/>
      <c r="P188" s="395">
        <f>E188</f>
        <v>0</v>
      </c>
      <c r="Q188" s="264">
        <f>P188*VLOOKUP(G176,PRate01,2,FALSE)</f>
        <v>0</v>
      </c>
      <c r="S188" s="37" t="s">
        <v>1002</v>
      </c>
      <c r="T188" s="210"/>
      <c r="V188" s="398">
        <v>11</v>
      </c>
      <c r="W188" s="394">
        <f t="shared" si="270"/>
        <v>0</v>
      </c>
      <c r="X188" s="394">
        <f t="shared" si="271"/>
        <v>0</v>
      </c>
      <c r="Y188" s="397"/>
      <c r="Z188" s="397"/>
      <c r="AA188" s="397"/>
    </row>
    <row r="189" spans="4:30" ht="12.75" hidden="1" customHeight="1" outlineLevel="1" x14ac:dyDescent="0.2">
      <c r="D189" s="37" t="s">
        <v>469</v>
      </c>
      <c r="E189" s="262"/>
      <c r="F189" s="261"/>
      <c r="G189" s="261"/>
      <c r="H189" s="261"/>
      <c r="I189" s="261"/>
      <c r="J189" s="261"/>
      <c r="K189" s="261"/>
      <c r="L189" s="261"/>
      <c r="M189" s="261"/>
      <c r="N189" s="261"/>
      <c r="O189" s="391"/>
      <c r="P189" s="391"/>
      <c r="Q189" s="395">
        <f>E189</f>
        <v>0</v>
      </c>
      <c r="V189" s="398">
        <v>12</v>
      </c>
      <c r="W189" s="399"/>
      <c r="X189" s="394">
        <f t="shared" si="271"/>
        <v>0</v>
      </c>
      <c r="Y189" s="397"/>
      <c r="Z189" s="397"/>
      <c r="AA189" s="397"/>
    </row>
    <row r="190" spans="4:30" ht="12.75" hidden="1" customHeight="1" outlineLevel="1" x14ac:dyDescent="0.2"/>
    <row r="191" spans="4:30" ht="12.75" hidden="1" customHeight="1" outlineLevel="1" x14ac:dyDescent="0.2">
      <c r="Z191" s="542" t="str">
        <f>IF(AC193&lt;&gt;"",MsgNote &amp; VLOOKUP("PRate",WarningMessages,2),"")</f>
        <v/>
      </c>
      <c r="AA191" s="542"/>
      <c r="AB191" s="542"/>
      <c r="AC191" s="542"/>
      <c r="AD191" s="542"/>
    </row>
    <row r="192" spans="4:30" ht="12.75" hidden="1" customHeight="1" outlineLevel="1" x14ac:dyDescent="0.2">
      <c r="L192" s="121"/>
      <c r="M192" s="121"/>
      <c r="N192" s="121"/>
      <c r="O192" s="121"/>
      <c r="P192" s="121"/>
      <c r="Q192" s="121"/>
    </row>
    <row r="193" spans="3:30" ht="12.75" hidden="1" customHeight="1" outlineLevel="1" x14ac:dyDescent="0.2">
      <c r="D193" s="260"/>
      <c r="F193" s="74">
        <f t="shared" ref="F193" si="302">G193-1</f>
        <v>2020</v>
      </c>
      <c r="G193" s="74">
        <f t="shared" ref="G193" si="303">H193-1</f>
        <v>2021</v>
      </c>
      <c r="H193" s="74">
        <f t="shared" ref="H193" si="304">I193-1</f>
        <v>2022</v>
      </c>
      <c r="I193" s="74">
        <f t="shared" ref="I193" si="305">J193-1</f>
        <v>2023</v>
      </c>
      <c r="J193" s="74">
        <f t="shared" ref="J193" si="306">K193-1</f>
        <v>2024</v>
      </c>
      <c r="K193" s="74">
        <f t="shared" ref="K193" si="307">L193-1</f>
        <v>2025</v>
      </c>
      <c r="L193" s="74">
        <f>FirstYear</f>
        <v>2026</v>
      </c>
      <c r="M193" s="74">
        <f>L193+1</f>
        <v>2027</v>
      </c>
      <c r="N193" s="74">
        <f>M193+1</f>
        <v>2028</v>
      </c>
      <c r="O193" s="74">
        <f>N193+1</f>
        <v>2029</v>
      </c>
      <c r="P193" s="74">
        <f>O193+1</f>
        <v>2030</v>
      </c>
      <c r="Q193" s="74">
        <f>P193+1</f>
        <v>2031</v>
      </c>
      <c r="S193" s="675" t="s">
        <v>1288</v>
      </c>
      <c r="T193" s="675"/>
      <c r="Z193" s="673" t="s">
        <v>1291</v>
      </c>
      <c r="AA193" s="673"/>
      <c r="AB193" s="673"/>
      <c r="AC193" s="210"/>
    </row>
    <row r="194" spans="3:30" ht="12.75" hidden="1" customHeight="1" outlineLevel="1" x14ac:dyDescent="0.2">
      <c r="C194" s="396">
        <v>12</v>
      </c>
      <c r="D194" s="674" t="s">
        <v>273</v>
      </c>
      <c r="E194" s="643"/>
      <c r="F194" s="395">
        <f>F178*VLOOKUP(C205,PRate01,3,FALSE)</f>
        <v>0</v>
      </c>
      <c r="G194" s="395">
        <f>G178*VLOOKUP(C204,PRate01,3,FALSE)</f>
        <v>0</v>
      </c>
      <c r="H194" s="395">
        <f>H178*VLOOKUP(C203,PRate01,3,FALSE)</f>
        <v>0</v>
      </c>
      <c r="I194" s="395">
        <f>I178*VLOOKUP(C202,PRate01,3,FALSE)</f>
        <v>0</v>
      </c>
      <c r="J194" s="395">
        <f>J178*VLOOKUP(C201,PRate01,3,FALSE)</f>
        <v>0</v>
      </c>
      <c r="K194" s="395">
        <f t="shared" ref="K194:K199" si="308">K178*VLOOKUP(C200,PRate01,3,FALSE)</f>
        <v>0</v>
      </c>
      <c r="L194" s="395">
        <f t="shared" ref="L194:L200" si="309">L178*VLOOKUP(C199,PRate01,3,FALSE)</f>
        <v>0</v>
      </c>
      <c r="M194" s="395">
        <f t="shared" ref="M194:M201" si="310">M178*VLOOKUP(C198,PRate01,3,FALSE)</f>
        <v>0</v>
      </c>
      <c r="N194" s="395">
        <f t="shared" ref="N194:N202" si="311">N178*VLOOKUP(C197,PRate01,3,FALSE)</f>
        <v>0</v>
      </c>
      <c r="O194" s="395">
        <f t="shared" ref="O194:O203" si="312">O178*VLOOKUP(C196,PRate01,3,FALSE)</f>
        <v>0</v>
      </c>
      <c r="P194" s="395">
        <f t="shared" ref="P194:P204" si="313">P178*VLOOKUP(C195,PRate01,3,FALSE)</f>
        <v>0</v>
      </c>
      <c r="Q194" s="395">
        <f t="shared" ref="Q194:Q205" si="314">Q178*VLOOKUP(C194,PRate01,3,FALSE)</f>
        <v>0</v>
      </c>
      <c r="S194" s="392" t="s">
        <v>992</v>
      </c>
      <c r="T194" s="393"/>
      <c r="X194" s="397"/>
      <c r="Y194" s="397"/>
      <c r="Z194" s="397"/>
      <c r="AA194" s="397"/>
    </row>
    <row r="195" spans="3:30" ht="12.75" hidden="1" customHeight="1" outlineLevel="1" x14ac:dyDescent="0.2">
      <c r="C195" s="396">
        <v>11</v>
      </c>
      <c r="D195" s="674" t="s">
        <v>274</v>
      </c>
      <c r="E195" s="643"/>
      <c r="F195" s="261"/>
      <c r="G195" s="395">
        <f>G179*VLOOKUP(C205,PRate01,3,FALSE)</f>
        <v>0</v>
      </c>
      <c r="H195" s="395">
        <f>H179*VLOOKUP(C204,PRate01,3,FALSE)</f>
        <v>0</v>
      </c>
      <c r="I195" s="395">
        <f>I179*VLOOKUP(C203,PRate01,3,FALSE)</f>
        <v>0</v>
      </c>
      <c r="J195" s="395">
        <f>J179*VLOOKUP(C202,PRate01,3,FALSE)</f>
        <v>0</v>
      </c>
      <c r="K195" s="395">
        <f t="shared" si="308"/>
        <v>0</v>
      </c>
      <c r="L195" s="395">
        <f t="shared" si="309"/>
        <v>0</v>
      </c>
      <c r="M195" s="395">
        <f t="shared" si="310"/>
        <v>0</v>
      </c>
      <c r="N195" s="395">
        <f t="shared" si="311"/>
        <v>0</v>
      </c>
      <c r="O195" s="395">
        <f t="shared" si="312"/>
        <v>0</v>
      </c>
      <c r="P195" s="395">
        <f t="shared" si="313"/>
        <v>0</v>
      </c>
      <c r="Q195" s="395">
        <f t="shared" si="314"/>
        <v>0</v>
      </c>
      <c r="S195" s="37" t="s">
        <v>993</v>
      </c>
      <c r="T195" s="210"/>
      <c r="X195" s="397"/>
      <c r="Y195" s="397"/>
      <c r="Z195" s="37" t="s">
        <v>249</v>
      </c>
      <c r="AA195" s="575"/>
      <c r="AB195" s="575"/>
      <c r="AC195" s="575"/>
      <c r="AD195" s="575"/>
    </row>
    <row r="196" spans="3:30" ht="12.75" hidden="1" customHeight="1" outlineLevel="1" x14ac:dyDescent="0.2">
      <c r="C196" s="396">
        <v>10</v>
      </c>
      <c r="D196" s="674" t="s">
        <v>275</v>
      </c>
      <c r="E196" s="643"/>
      <c r="F196" s="261"/>
      <c r="G196" s="261"/>
      <c r="H196" s="395">
        <f>H180*VLOOKUP(C205,PRate01,3,FALSE)</f>
        <v>0</v>
      </c>
      <c r="I196" s="395">
        <f>I180*VLOOKUP(C204,PRate01,3,FALSE)</f>
        <v>0</v>
      </c>
      <c r="J196" s="395">
        <f>J180*VLOOKUP(C203,PRate01,3,FALSE)</f>
        <v>0</v>
      </c>
      <c r="K196" s="395">
        <f t="shared" si="308"/>
        <v>0</v>
      </c>
      <c r="L196" s="395">
        <f t="shared" si="309"/>
        <v>0</v>
      </c>
      <c r="M196" s="395">
        <f t="shared" si="310"/>
        <v>0</v>
      </c>
      <c r="N196" s="395">
        <f t="shared" si="311"/>
        <v>0</v>
      </c>
      <c r="O196" s="395">
        <f t="shared" si="312"/>
        <v>0</v>
      </c>
      <c r="P196" s="395">
        <f t="shared" si="313"/>
        <v>0</v>
      </c>
      <c r="Q196" s="395">
        <f t="shared" si="314"/>
        <v>0</v>
      </c>
      <c r="S196" s="37" t="s">
        <v>994</v>
      </c>
      <c r="T196" s="210"/>
      <c r="X196" s="397"/>
      <c r="Y196" s="397"/>
      <c r="Z196" s="397"/>
      <c r="AA196" s="397"/>
    </row>
    <row r="197" spans="3:30" ht="12.75" hidden="1" customHeight="1" outlineLevel="1" x14ac:dyDescent="0.2">
      <c r="C197" s="396">
        <v>9</v>
      </c>
      <c r="D197" s="674" t="s">
        <v>276</v>
      </c>
      <c r="E197" s="643"/>
      <c r="F197" s="261"/>
      <c r="G197" s="261"/>
      <c r="H197" s="261"/>
      <c r="I197" s="395">
        <f>I181*VLOOKUP(C205,PRate01,3,FALSE)</f>
        <v>0</v>
      </c>
      <c r="J197" s="395">
        <f>J181*VLOOKUP(C204,PRate01,3,FALSE)</f>
        <v>0</v>
      </c>
      <c r="K197" s="395">
        <f t="shared" si="308"/>
        <v>0</v>
      </c>
      <c r="L197" s="395">
        <f t="shared" si="309"/>
        <v>0</v>
      </c>
      <c r="M197" s="395">
        <f t="shared" si="310"/>
        <v>0</v>
      </c>
      <c r="N197" s="395">
        <f t="shared" si="311"/>
        <v>0</v>
      </c>
      <c r="O197" s="395">
        <f t="shared" si="312"/>
        <v>0</v>
      </c>
      <c r="P197" s="395">
        <f t="shared" si="313"/>
        <v>0</v>
      </c>
      <c r="Q197" s="395">
        <f t="shared" si="314"/>
        <v>0</v>
      </c>
      <c r="S197" s="37" t="s">
        <v>995</v>
      </c>
      <c r="T197" s="210"/>
      <c r="X197" s="397"/>
      <c r="Y197" s="397"/>
      <c r="Z197" s="397"/>
      <c r="AA197" s="397"/>
    </row>
    <row r="198" spans="3:30" ht="12.75" hidden="1" customHeight="1" outlineLevel="1" x14ac:dyDescent="0.2">
      <c r="C198" s="396">
        <v>8</v>
      </c>
      <c r="D198" s="674" t="s">
        <v>277</v>
      </c>
      <c r="E198" s="643"/>
      <c r="F198" s="261"/>
      <c r="G198" s="261"/>
      <c r="H198" s="261"/>
      <c r="I198" s="261"/>
      <c r="J198" s="395">
        <f>J182*VLOOKUP(C205,PRate01,3,FALSE)</f>
        <v>0</v>
      </c>
      <c r="K198" s="395">
        <f t="shared" si="308"/>
        <v>0</v>
      </c>
      <c r="L198" s="395">
        <f t="shared" si="309"/>
        <v>0</v>
      </c>
      <c r="M198" s="395">
        <f t="shared" si="310"/>
        <v>0</v>
      </c>
      <c r="N198" s="395">
        <f t="shared" si="311"/>
        <v>0</v>
      </c>
      <c r="O198" s="395">
        <f t="shared" si="312"/>
        <v>0</v>
      </c>
      <c r="P198" s="395">
        <f t="shared" si="313"/>
        <v>0</v>
      </c>
      <c r="Q198" s="395">
        <f t="shared" si="314"/>
        <v>0</v>
      </c>
      <c r="S198" s="37" t="s">
        <v>996</v>
      </c>
      <c r="T198" s="210"/>
      <c r="X198" s="397"/>
      <c r="Y198" s="397"/>
      <c r="Z198" s="397"/>
      <c r="AA198" s="397"/>
    </row>
    <row r="199" spans="3:30" ht="12.75" hidden="1" customHeight="1" outlineLevel="1" x14ac:dyDescent="0.2">
      <c r="C199" s="396">
        <v>7</v>
      </c>
      <c r="D199" s="674" t="s">
        <v>278</v>
      </c>
      <c r="E199" s="643"/>
      <c r="F199" s="261"/>
      <c r="G199" s="261"/>
      <c r="H199" s="261"/>
      <c r="I199" s="261"/>
      <c r="J199" s="261"/>
      <c r="K199" s="395">
        <f t="shared" si="308"/>
        <v>0</v>
      </c>
      <c r="L199" s="395">
        <f t="shared" si="309"/>
        <v>0</v>
      </c>
      <c r="M199" s="395">
        <f t="shared" si="310"/>
        <v>0</v>
      </c>
      <c r="N199" s="395">
        <f t="shared" si="311"/>
        <v>0</v>
      </c>
      <c r="O199" s="395">
        <f t="shared" si="312"/>
        <v>0</v>
      </c>
      <c r="P199" s="395">
        <f t="shared" si="313"/>
        <v>0</v>
      </c>
      <c r="Q199" s="395">
        <f t="shared" si="314"/>
        <v>0</v>
      </c>
      <c r="S199" s="37" t="s">
        <v>997</v>
      </c>
      <c r="T199" s="210"/>
      <c r="X199" s="397"/>
      <c r="Y199" s="397"/>
      <c r="Z199" s="397"/>
      <c r="AA199" s="397"/>
    </row>
    <row r="200" spans="3:30" ht="12.75" hidden="1" customHeight="1" outlineLevel="1" x14ac:dyDescent="0.2">
      <c r="C200" s="396">
        <v>6</v>
      </c>
      <c r="D200" s="674" t="s">
        <v>464</v>
      </c>
      <c r="E200" s="643"/>
      <c r="F200" s="261"/>
      <c r="G200" s="261"/>
      <c r="H200" s="261"/>
      <c r="I200" s="261"/>
      <c r="J200" s="261"/>
      <c r="K200" s="261"/>
      <c r="L200" s="395">
        <f t="shared" si="309"/>
        <v>0</v>
      </c>
      <c r="M200" s="395">
        <f t="shared" si="310"/>
        <v>0</v>
      </c>
      <c r="N200" s="395">
        <f t="shared" si="311"/>
        <v>0</v>
      </c>
      <c r="O200" s="395">
        <f t="shared" si="312"/>
        <v>0</v>
      </c>
      <c r="P200" s="395">
        <f t="shared" si="313"/>
        <v>0</v>
      </c>
      <c r="Q200" s="395">
        <f t="shared" si="314"/>
        <v>0</v>
      </c>
      <c r="S200" s="37" t="s">
        <v>998</v>
      </c>
      <c r="T200" s="210"/>
      <c r="X200" s="397"/>
      <c r="Y200" s="397"/>
      <c r="Z200" s="397"/>
      <c r="AA200" s="397"/>
    </row>
    <row r="201" spans="3:30" ht="12.75" hidden="1" customHeight="1" outlineLevel="1" x14ac:dyDescent="0.2">
      <c r="C201" s="396">
        <v>5</v>
      </c>
      <c r="D201" s="674" t="s">
        <v>465</v>
      </c>
      <c r="E201" s="643"/>
      <c r="F201" s="261"/>
      <c r="G201" s="261"/>
      <c r="H201" s="261"/>
      <c r="I201" s="261"/>
      <c r="J201" s="261"/>
      <c r="K201" s="261"/>
      <c r="L201" s="261"/>
      <c r="M201" s="395">
        <f t="shared" si="310"/>
        <v>0</v>
      </c>
      <c r="N201" s="395">
        <f t="shared" si="311"/>
        <v>0</v>
      </c>
      <c r="O201" s="395">
        <f t="shared" si="312"/>
        <v>0</v>
      </c>
      <c r="P201" s="395">
        <f t="shared" si="313"/>
        <v>0</v>
      </c>
      <c r="Q201" s="395">
        <f t="shared" si="314"/>
        <v>0</v>
      </c>
      <c r="S201" s="37" t="s">
        <v>999</v>
      </c>
      <c r="T201" s="210"/>
      <c r="X201" s="397"/>
      <c r="Y201" s="397"/>
      <c r="Z201" s="397"/>
      <c r="AA201" s="397"/>
    </row>
    <row r="202" spans="3:30" ht="12.75" hidden="1" customHeight="1" outlineLevel="1" x14ac:dyDescent="0.2">
      <c r="C202" s="396">
        <v>4</v>
      </c>
      <c r="D202" s="674" t="s">
        <v>466</v>
      </c>
      <c r="E202" s="643"/>
      <c r="F202" s="261"/>
      <c r="G202" s="261"/>
      <c r="H202" s="261"/>
      <c r="I202" s="261"/>
      <c r="J202" s="261"/>
      <c r="K202" s="261"/>
      <c r="L202" s="261"/>
      <c r="M202" s="261"/>
      <c r="N202" s="395">
        <f t="shared" si="311"/>
        <v>0</v>
      </c>
      <c r="O202" s="395">
        <f t="shared" si="312"/>
        <v>0</v>
      </c>
      <c r="P202" s="395">
        <f t="shared" si="313"/>
        <v>0</v>
      </c>
      <c r="Q202" s="395">
        <f t="shared" si="314"/>
        <v>0</v>
      </c>
      <c r="S202" s="37" t="s">
        <v>1000</v>
      </c>
      <c r="T202" s="210"/>
      <c r="X202" s="397"/>
      <c r="Y202" s="397"/>
      <c r="Z202" s="397"/>
      <c r="AA202" s="397"/>
    </row>
    <row r="203" spans="3:30" ht="12.75" hidden="1" customHeight="1" outlineLevel="1" x14ac:dyDescent="0.2">
      <c r="C203" s="396">
        <v>3</v>
      </c>
      <c r="D203" s="674" t="s">
        <v>467</v>
      </c>
      <c r="E203" s="643"/>
      <c r="F203" s="261"/>
      <c r="G203" s="261"/>
      <c r="H203" s="261"/>
      <c r="I203" s="261"/>
      <c r="J203" s="261"/>
      <c r="K203" s="261"/>
      <c r="L203" s="261"/>
      <c r="M203" s="261"/>
      <c r="N203" s="261"/>
      <c r="O203" s="395">
        <f t="shared" si="312"/>
        <v>0</v>
      </c>
      <c r="P203" s="395">
        <f t="shared" si="313"/>
        <v>0</v>
      </c>
      <c r="Q203" s="395">
        <f t="shared" si="314"/>
        <v>0</v>
      </c>
      <c r="S203" s="37" t="s">
        <v>1001</v>
      </c>
      <c r="T203" s="210"/>
      <c r="X203" s="397"/>
      <c r="Y203" s="397"/>
      <c r="Z203" s="397"/>
      <c r="AA203" s="397"/>
    </row>
    <row r="204" spans="3:30" ht="12.75" hidden="1" customHeight="1" outlineLevel="1" x14ac:dyDescent="0.2">
      <c r="C204" s="396">
        <v>2</v>
      </c>
      <c r="D204" s="674" t="s">
        <v>468</v>
      </c>
      <c r="E204" s="643"/>
      <c r="F204" s="261"/>
      <c r="G204" s="261"/>
      <c r="H204" s="261"/>
      <c r="I204" s="261"/>
      <c r="J204" s="261"/>
      <c r="K204" s="261"/>
      <c r="L204" s="261"/>
      <c r="M204" s="261"/>
      <c r="N204" s="261"/>
      <c r="O204" s="391"/>
      <c r="P204" s="395">
        <f t="shared" si="313"/>
        <v>0</v>
      </c>
      <c r="Q204" s="395">
        <f t="shared" si="314"/>
        <v>0</v>
      </c>
      <c r="S204" s="37" t="s">
        <v>1002</v>
      </c>
      <c r="T204" s="210"/>
      <c r="X204" s="397"/>
      <c r="Y204" s="397"/>
      <c r="Z204" s="397"/>
      <c r="AA204" s="397"/>
    </row>
    <row r="205" spans="3:30" ht="12.75" hidden="1" customHeight="1" outlineLevel="1" x14ac:dyDescent="0.2">
      <c r="C205" s="396">
        <v>1</v>
      </c>
      <c r="D205" s="674" t="s">
        <v>469</v>
      </c>
      <c r="E205" s="643"/>
      <c r="F205" s="261"/>
      <c r="G205" s="261"/>
      <c r="H205" s="261"/>
      <c r="I205" s="261"/>
      <c r="J205" s="261"/>
      <c r="K205" s="261"/>
      <c r="L205" s="261"/>
      <c r="M205" s="261"/>
      <c r="N205" s="261"/>
      <c r="O205" s="391"/>
      <c r="P205" s="391"/>
      <c r="Q205" s="395">
        <f t="shared" si="314"/>
        <v>0</v>
      </c>
      <c r="S205" s="37" t="s">
        <v>1022</v>
      </c>
      <c r="T205" s="210"/>
    </row>
    <row r="206" spans="3:30" ht="12.75" hidden="1" customHeight="1" outlineLevel="1" x14ac:dyDescent="0.2">
      <c r="K206" s="258" t="s">
        <v>73</v>
      </c>
      <c r="L206" s="263">
        <f>IFERROR((SUM(L194:L199)+IF(MATCH($AC$206,Switch,0)=1,L200,0)),0)</f>
        <v>0</v>
      </c>
      <c r="M206" s="263">
        <f>IFERROR((SUM(M194:M200)+IF(MATCH($AC$206,Switch,0)=1,M201,0)),0)</f>
        <v>0</v>
      </c>
      <c r="N206" s="263">
        <f>IFERROR((SUM(N194:N201)+IF(MATCH($AC$206,Switch,0)=1,N202,0)),0)</f>
        <v>0</v>
      </c>
      <c r="O206" s="263">
        <f>IFERROR((SUM(O194:O202)+IF(MATCH($AC$206,Switch,0)=1,O203,0)),0)</f>
        <v>0</v>
      </c>
      <c r="P206" s="263">
        <f>IFERROR((SUM(P194:P203)+IF(MATCH($AC$206,Switch,0)=1,P204,0)),0)</f>
        <v>0</v>
      </c>
      <c r="Q206" s="263">
        <f>IFERROR((SUM(Q194:Q204)+IF(MATCH($AC$206,Switch,0)=1,Q205,0)),0)</f>
        <v>0</v>
      </c>
      <c r="Z206" s="670" t="s">
        <v>1289</v>
      </c>
      <c r="AA206" s="671"/>
      <c r="AB206" s="672"/>
      <c r="AC206" s="227" t="s">
        <v>9</v>
      </c>
    </row>
    <row r="207" spans="3:30" ht="12.75" hidden="1" customHeight="1" outlineLevel="1" x14ac:dyDescent="0.2"/>
    <row r="208" spans="3:30" ht="12.75" customHeight="1" collapsed="1" x14ac:dyDescent="0.2"/>
    <row r="209" spans="1:30" ht="15.75" x14ac:dyDescent="0.2">
      <c r="A209" s="172"/>
      <c r="B209" s="209">
        <f>IF(G211&lt;&gt;"",1,0)</f>
        <v>0</v>
      </c>
      <c r="C209" s="209">
        <v>6</v>
      </c>
      <c r="D209" s="72" t="str">
        <f>IF(B209=0,MsgNotUsed, CONCATENATE("Persistent ", C209, ": ", G211, " (", F215, "-", Q215, ")"))</f>
        <v>** NOT USED **</v>
      </c>
      <c r="E209" s="113"/>
      <c r="F209" s="113"/>
      <c r="G209" s="113"/>
      <c r="H209" s="113"/>
      <c r="I209" s="113"/>
      <c r="J209" s="154"/>
      <c r="K209" s="113"/>
      <c r="L209" s="113"/>
      <c r="M209" s="113"/>
      <c r="N209" s="224"/>
      <c r="O209" s="224"/>
      <c r="P209" s="224"/>
      <c r="Q209" s="224"/>
      <c r="R209" s="224"/>
      <c r="S209" s="224"/>
      <c r="T209" s="224"/>
      <c r="U209" s="224"/>
      <c r="V209" s="224"/>
      <c r="W209" s="224"/>
      <c r="X209" s="224"/>
      <c r="Y209" s="224"/>
      <c r="Z209" s="224"/>
      <c r="AA209" s="224"/>
      <c r="AB209" s="224"/>
      <c r="AC209" s="224"/>
      <c r="AD209" s="224"/>
    </row>
    <row r="210" spans="1:30" ht="12.75" hidden="1" customHeight="1" outlineLevel="1" x14ac:dyDescent="0.2"/>
    <row r="211" spans="1:30" ht="12.75" hidden="1" customHeight="1" outlineLevel="1" x14ac:dyDescent="0.2">
      <c r="F211" s="37" t="s">
        <v>470</v>
      </c>
      <c r="G211" s="669"/>
      <c r="H211" s="642"/>
      <c r="I211" s="642"/>
      <c r="J211" s="642"/>
      <c r="K211" s="642"/>
      <c r="L211" s="643"/>
    </row>
    <row r="212" spans="1:30" ht="12.75" hidden="1" customHeight="1" outlineLevel="1" x14ac:dyDescent="0.2"/>
    <row r="213" spans="1:30" ht="12.75" hidden="1" customHeight="1" outlineLevel="1" x14ac:dyDescent="0.2">
      <c r="F213" s="37" t="s">
        <v>249</v>
      </c>
      <c r="G213" s="669"/>
      <c r="H213" s="642"/>
      <c r="I213" s="642"/>
      <c r="J213" s="642"/>
      <c r="K213" s="642"/>
      <c r="L213" s="643"/>
      <c r="Z213" s="542" t="str">
        <f>IF(AC215&lt;&gt;"",MsgNote &amp; VLOOKUP("PRate",WarningMessages,2),"")</f>
        <v/>
      </c>
      <c r="AA213" s="542"/>
      <c r="AB213" s="542"/>
      <c r="AC213" s="542"/>
      <c r="AD213" s="542"/>
    </row>
    <row r="214" spans="1:30" ht="12.75" hidden="1" customHeight="1" outlineLevel="1" x14ac:dyDescent="0.2">
      <c r="G214" s="400">
        <v>1</v>
      </c>
      <c r="H214" s="400">
        <v>2</v>
      </c>
      <c r="I214" s="400">
        <v>3</v>
      </c>
      <c r="J214" s="400">
        <v>4</v>
      </c>
      <c r="K214" s="400">
        <v>5</v>
      </c>
      <c r="L214" s="400">
        <v>6</v>
      </c>
      <c r="M214" s="400">
        <v>7</v>
      </c>
      <c r="N214" s="400">
        <v>8</v>
      </c>
      <c r="O214" s="400">
        <v>9</v>
      </c>
      <c r="P214" s="400">
        <v>10</v>
      </c>
      <c r="Q214" s="400">
        <v>11</v>
      </c>
    </row>
    <row r="215" spans="1:30" ht="12.75" hidden="1" customHeight="1" outlineLevel="1" x14ac:dyDescent="0.2">
      <c r="D215" s="260"/>
      <c r="E215" s="74" t="s">
        <v>1052</v>
      </c>
      <c r="F215" s="74">
        <f t="shared" ref="F215" si="315">G215-1</f>
        <v>2020</v>
      </c>
      <c r="G215" s="74">
        <f t="shared" ref="G215" si="316">H215-1</f>
        <v>2021</v>
      </c>
      <c r="H215" s="74">
        <f t="shared" ref="H215" si="317">I215-1</f>
        <v>2022</v>
      </c>
      <c r="I215" s="74">
        <f t="shared" ref="I215" si="318">J215-1</f>
        <v>2023</v>
      </c>
      <c r="J215" s="74">
        <f t="shared" ref="J215" si="319">K215-1</f>
        <v>2024</v>
      </c>
      <c r="K215" s="74">
        <f t="shared" ref="K215" si="320">L215-1</f>
        <v>2025</v>
      </c>
      <c r="L215" s="74">
        <f>FirstYear</f>
        <v>2026</v>
      </c>
      <c r="M215" s="74">
        <f>L215+1</f>
        <v>2027</v>
      </c>
      <c r="N215" s="74">
        <f>M215+1</f>
        <v>2028</v>
      </c>
      <c r="O215" s="74">
        <f>N215+1</f>
        <v>2029</v>
      </c>
      <c r="P215" s="74">
        <f>O215+1</f>
        <v>2030</v>
      </c>
      <c r="Q215" s="74">
        <f>P215+1</f>
        <v>2031</v>
      </c>
      <c r="S215" s="675" t="s">
        <v>1287</v>
      </c>
      <c r="T215" s="675"/>
      <c r="Z215" s="673" t="s">
        <v>1290</v>
      </c>
      <c r="AA215" s="673"/>
      <c r="AB215" s="673"/>
      <c r="AC215" s="210"/>
    </row>
    <row r="216" spans="1:30" ht="12.75" hidden="1" customHeight="1" outlineLevel="1" x14ac:dyDescent="0.2">
      <c r="D216" s="37" t="s">
        <v>273</v>
      </c>
      <c r="E216" s="262"/>
      <c r="F216" s="264">
        <f>E216</f>
        <v>0</v>
      </c>
      <c r="G216" s="264">
        <f t="shared" ref="G216" si="321">F216*VLOOKUP(G214,PRate01,2,FALSE)</f>
        <v>0</v>
      </c>
      <c r="H216" s="264">
        <f t="shared" ref="H216" si="322">G216*VLOOKUP(H214,PRate01,2,FALSE)</f>
        <v>0</v>
      </c>
      <c r="I216" s="264">
        <f t="shared" ref="I216" si="323">H216*VLOOKUP(I214,PRate01,2,FALSE)</f>
        <v>0</v>
      </c>
      <c r="J216" s="264">
        <f t="shared" ref="J216" si="324">I216*VLOOKUP(J214,PRate01,2,FALSE)</f>
        <v>0</v>
      </c>
      <c r="K216" s="264">
        <f t="shared" ref="K216" si="325">J216*VLOOKUP(K214,PRate01,2,FALSE)</f>
        <v>0</v>
      </c>
      <c r="L216" s="264">
        <f t="shared" ref="L216" si="326">K216*VLOOKUP(L214,PRate01,2,FALSE)</f>
        <v>0</v>
      </c>
      <c r="M216" s="264">
        <f t="shared" ref="M216" si="327">L216*VLOOKUP(M214,PRate01,2,FALSE)</f>
        <v>0</v>
      </c>
      <c r="N216" s="264">
        <f t="shared" ref="N216" si="328">M216*VLOOKUP(N214,PRate01,2,FALSE)</f>
        <v>0</v>
      </c>
      <c r="O216" s="264">
        <f t="shared" ref="O216" si="329">N216*VLOOKUP(O214,PRate01,2,FALSE)</f>
        <v>0</v>
      </c>
      <c r="P216" s="264">
        <f t="shared" ref="P216" si="330">O216*VLOOKUP(P214,PRate01,2,FALSE)</f>
        <v>0</v>
      </c>
      <c r="Q216" s="264">
        <f t="shared" ref="Q216" si="331">P216*VLOOKUP(Q214,PRate01,2,FALSE)</f>
        <v>0</v>
      </c>
      <c r="S216" s="392" t="s">
        <v>992</v>
      </c>
      <c r="T216" s="393"/>
      <c r="V216" s="398">
        <v>1</v>
      </c>
      <c r="W216" s="394">
        <f>IF($AC$215&lt;&gt;"",$AC$215,T216)</f>
        <v>0</v>
      </c>
      <c r="X216" s="394">
        <f>IF($AC$231&lt;&gt;"",$AC$231,T232)</f>
        <v>0</v>
      </c>
      <c r="Y216" s="397"/>
      <c r="Z216" s="397"/>
      <c r="AA216" s="397"/>
    </row>
    <row r="217" spans="1:30" ht="12.75" hidden="1" customHeight="1" outlineLevel="1" x14ac:dyDescent="0.2">
      <c r="D217" s="37" t="s">
        <v>274</v>
      </c>
      <c r="E217" s="262"/>
      <c r="F217" s="261"/>
      <c r="G217" s="264">
        <f>E217</f>
        <v>0</v>
      </c>
      <c r="H217" s="264">
        <f t="shared" ref="H217" si="332">G217*VLOOKUP(G214,PRate01,2,FALSE)</f>
        <v>0</v>
      </c>
      <c r="I217" s="264">
        <f t="shared" ref="I217" si="333">H217*VLOOKUP(H214,PRate01,2,FALSE)</f>
        <v>0</v>
      </c>
      <c r="J217" s="264">
        <f t="shared" ref="J217" si="334">I217*VLOOKUP(I214,PRate01,2,FALSE)</f>
        <v>0</v>
      </c>
      <c r="K217" s="264">
        <f t="shared" ref="K217" si="335">J217*VLOOKUP(J214,PRate01,2,FALSE)</f>
        <v>0</v>
      </c>
      <c r="L217" s="264">
        <f t="shared" ref="L217" si="336">K217*VLOOKUP(K214,PRate01,2,FALSE)</f>
        <v>0</v>
      </c>
      <c r="M217" s="264">
        <f t="shared" ref="M217" si="337">L217*VLOOKUP(L214,PRate01,2,FALSE)</f>
        <v>0</v>
      </c>
      <c r="N217" s="264">
        <f t="shared" ref="N217" si="338">M217*VLOOKUP(M214,PRate01,2,FALSE)</f>
        <v>0</v>
      </c>
      <c r="O217" s="264">
        <f t="shared" ref="O217" si="339">N217*VLOOKUP(N214,PRate01,2,FALSE)</f>
        <v>0</v>
      </c>
      <c r="P217" s="264">
        <f t="shared" ref="P217" si="340">O217*VLOOKUP(O214,PRate01,2,FALSE)</f>
        <v>0</v>
      </c>
      <c r="Q217" s="264">
        <f t="shared" ref="Q217" si="341">P217*VLOOKUP(P214,PRate01,2,FALSE)</f>
        <v>0</v>
      </c>
      <c r="S217" s="37" t="s">
        <v>993</v>
      </c>
      <c r="T217" s="210"/>
      <c r="V217" s="398">
        <v>2</v>
      </c>
      <c r="W217" s="394">
        <f t="shared" ref="W217:W226" si="342">IF($AC$215&lt;&gt;"",$AC$215,T217)</f>
        <v>0</v>
      </c>
      <c r="X217" s="394">
        <f t="shared" ref="X217:X227" si="343">IF($AC$231&lt;&gt;"",$AC$231,T233)</f>
        <v>0</v>
      </c>
      <c r="Z217" s="37" t="s">
        <v>249</v>
      </c>
      <c r="AA217" s="575"/>
      <c r="AB217" s="575"/>
      <c r="AC217" s="575"/>
      <c r="AD217" s="575"/>
    </row>
    <row r="218" spans="1:30" ht="12.75" hidden="1" customHeight="1" outlineLevel="1" x14ac:dyDescent="0.2">
      <c r="D218" s="37" t="s">
        <v>275</v>
      </c>
      <c r="E218" s="262"/>
      <c r="F218" s="261"/>
      <c r="G218" s="261"/>
      <c r="H218" s="264">
        <f>E218</f>
        <v>0</v>
      </c>
      <c r="I218" s="264">
        <f t="shared" ref="I218" si="344">H218*VLOOKUP(G214,PRate01,2,FALSE)</f>
        <v>0</v>
      </c>
      <c r="J218" s="264">
        <f t="shared" ref="J218" si="345">I218*VLOOKUP(H214,PRate01,2,FALSE)</f>
        <v>0</v>
      </c>
      <c r="K218" s="264">
        <f t="shared" ref="K218" si="346">J218*VLOOKUP(I214,PRate01,2,FALSE)</f>
        <v>0</v>
      </c>
      <c r="L218" s="264">
        <f t="shared" ref="L218" si="347">K218*VLOOKUP(J214,PRate01,2,FALSE)</f>
        <v>0</v>
      </c>
      <c r="M218" s="264">
        <f t="shared" ref="M218" si="348">L218*VLOOKUP(K214,PRate01,2,FALSE)</f>
        <v>0</v>
      </c>
      <c r="N218" s="264">
        <f t="shared" ref="N218" si="349">M218*VLOOKUP(L214,PRate01,2,FALSE)</f>
        <v>0</v>
      </c>
      <c r="O218" s="264">
        <f t="shared" ref="O218" si="350">N218*VLOOKUP(M214,PRate01,2,FALSE)</f>
        <v>0</v>
      </c>
      <c r="P218" s="264">
        <f t="shared" ref="P218" si="351">O218*VLOOKUP(N214,PRate01,2,FALSE)</f>
        <v>0</v>
      </c>
      <c r="Q218" s="264">
        <f t="shared" ref="Q218" si="352">P218*VLOOKUP(O214,PRate01,2,FALSE)</f>
        <v>0</v>
      </c>
      <c r="S218" s="37" t="s">
        <v>994</v>
      </c>
      <c r="T218" s="210"/>
      <c r="V218" s="398">
        <v>3</v>
      </c>
      <c r="W218" s="394">
        <f t="shared" si="342"/>
        <v>0</v>
      </c>
      <c r="X218" s="394">
        <f t="shared" si="343"/>
        <v>0</v>
      </c>
      <c r="Y218" s="397"/>
      <c r="Z218" s="397"/>
      <c r="AA218" s="397"/>
    </row>
    <row r="219" spans="1:30" ht="12.75" hidden="1" customHeight="1" outlineLevel="1" x14ac:dyDescent="0.2">
      <c r="D219" s="37" t="s">
        <v>276</v>
      </c>
      <c r="E219" s="262"/>
      <c r="F219" s="261"/>
      <c r="G219" s="261"/>
      <c r="H219" s="261"/>
      <c r="I219" s="264">
        <f>E219</f>
        <v>0</v>
      </c>
      <c r="J219" s="264">
        <f t="shared" ref="J219" si="353">I219*VLOOKUP(G214,PRate01,2,FALSE)</f>
        <v>0</v>
      </c>
      <c r="K219" s="264">
        <f t="shared" ref="K219" si="354">J219*VLOOKUP(H214,PRate01,2,FALSE)</f>
        <v>0</v>
      </c>
      <c r="L219" s="264">
        <f t="shared" ref="L219" si="355">K219*VLOOKUP(I214,PRate01,2,FALSE)</f>
        <v>0</v>
      </c>
      <c r="M219" s="264">
        <f t="shared" ref="M219" si="356">L219*VLOOKUP(J214,PRate01,2,FALSE)</f>
        <v>0</v>
      </c>
      <c r="N219" s="264">
        <f t="shared" ref="N219" si="357">M219*VLOOKUP(K214,PRate01,2,FALSE)</f>
        <v>0</v>
      </c>
      <c r="O219" s="264">
        <f t="shared" ref="O219" si="358">N219*VLOOKUP(L214,PRate01,2,FALSE)</f>
        <v>0</v>
      </c>
      <c r="P219" s="264">
        <f t="shared" ref="P219" si="359">O219*VLOOKUP(M214,PRate01,2,FALSE)</f>
        <v>0</v>
      </c>
      <c r="Q219" s="264">
        <f t="shared" ref="Q219" si="360">P219*VLOOKUP(N214,PRate01,2,FALSE)</f>
        <v>0</v>
      </c>
      <c r="S219" s="37" t="s">
        <v>995</v>
      </c>
      <c r="T219" s="210"/>
      <c r="V219" s="398">
        <v>4</v>
      </c>
      <c r="W219" s="394">
        <f t="shared" si="342"/>
        <v>0</v>
      </c>
      <c r="X219" s="394">
        <f t="shared" si="343"/>
        <v>0</v>
      </c>
      <c r="Y219" s="397"/>
      <c r="Z219" s="397"/>
      <c r="AA219" s="397"/>
    </row>
    <row r="220" spans="1:30" ht="12.75" hidden="1" customHeight="1" outlineLevel="1" x14ac:dyDescent="0.2">
      <c r="D220" s="37" t="s">
        <v>277</v>
      </c>
      <c r="E220" s="262"/>
      <c r="F220" s="261"/>
      <c r="G220" s="261"/>
      <c r="H220" s="261"/>
      <c r="I220" s="261"/>
      <c r="J220" s="264">
        <f>E220</f>
        <v>0</v>
      </c>
      <c r="K220" s="264">
        <f t="shared" ref="K220" si="361">J220*VLOOKUP(G214,PRate01,2,FALSE)</f>
        <v>0</v>
      </c>
      <c r="L220" s="264">
        <f t="shared" ref="L220" si="362">K220*VLOOKUP(H214,PRate01,2,FALSE)</f>
        <v>0</v>
      </c>
      <c r="M220" s="264">
        <f t="shared" ref="M220" si="363">L220*VLOOKUP(I214,PRate01,2,FALSE)</f>
        <v>0</v>
      </c>
      <c r="N220" s="264">
        <f t="shared" ref="N220" si="364">M220*VLOOKUP(J214,PRate01,2,FALSE)</f>
        <v>0</v>
      </c>
      <c r="O220" s="264">
        <f t="shared" ref="O220" si="365">N220*VLOOKUP(K214,PRate01,2,FALSE)</f>
        <v>0</v>
      </c>
      <c r="P220" s="264">
        <f t="shared" ref="P220" si="366">O220*VLOOKUP(L214,PRate01,2,FALSE)</f>
        <v>0</v>
      </c>
      <c r="Q220" s="264">
        <f t="shared" ref="Q220" si="367">P220*VLOOKUP(M214,PRate01,2,FALSE)</f>
        <v>0</v>
      </c>
      <c r="S220" s="37" t="s">
        <v>996</v>
      </c>
      <c r="T220" s="210"/>
      <c r="V220" s="398">
        <v>5</v>
      </c>
      <c r="W220" s="394">
        <f t="shared" si="342"/>
        <v>0</v>
      </c>
      <c r="X220" s="394">
        <f t="shared" si="343"/>
        <v>0</v>
      </c>
      <c r="Y220" s="397"/>
      <c r="Z220" s="397"/>
      <c r="AA220" s="397"/>
    </row>
    <row r="221" spans="1:30" ht="12.75" hidden="1" customHeight="1" outlineLevel="1" x14ac:dyDescent="0.2">
      <c r="D221" s="37" t="s">
        <v>278</v>
      </c>
      <c r="E221" s="262"/>
      <c r="F221" s="261"/>
      <c r="G221" s="261"/>
      <c r="H221" s="261"/>
      <c r="I221" s="261"/>
      <c r="J221" s="261"/>
      <c r="K221" s="264">
        <f>E221</f>
        <v>0</v>
      </c>
      <c r="L221" s="264">
        <f t="shared" ref="L221" si="368">K221*VLOOKUP(G214,PRate01,2,FALSE)</f>
        <v>0</v>
      </c>
      <c r="M221" s="264">
        <f t="shared" ref="M221" si="369">L221*VLOOKUP(H214,PRate01,2,FALSE)</f>
        <v>0</v>
      </c>
      <c r="N221" s="264">
        <f t="shared" ref="N221" si="370">M221*VLOOKUP(I214,PRate01,2,FALSE)</f>
        <v>0</v>
      </c>
      <c r="O221" s="264">
        <f t="shared" ref="O221" si="371">N221*VLOOKUP(J214,PRate01,2,FALSE)</f>
        <v>0</v>
      </c>
      <c r="P221" s="264">
        <f t="shared" ref="P221" si="372">O221*VLOOKUP(K214,PRate01,2,FALSE)</f>
        <v>0</v>
      </c>
      <c r="Q221" s="264">
        <f t="shared" ref="Q221" si="373">P221*VLOOKUP(L214,PRate01,2,FALSE)</f>
        <v>0</v>
      </c>
      <c r="S221" s="37" t="s">
        <v>997</v>
      </c>
      <c r="T221" s="210"/>
      <c r="V221" s="398">
        <v>6</v>
      </c>
      <c r="W221" s="394">
        <f t="shared" si="342"/>
        <v>0</v>
      </c>
      <c r="X221" s="394">
        <f t="shared" si="343"/>
        <v>0</v>
      </c>
      <c r="Y221" s="397"/>
      <c r="Z221" s="397"/>
      <c r="AA221" s="397"/>
    </row>
    <row r="222" spans="1:30" ht="12.75" hidden="1" customHeight="1" outlineLevel="1" x14ac:dyDescent="0.2">
      <c r="D222" s="37" t="s">
        <v>464</v>
      </c>
      <c r="E222" s="262"/>
      <c r="F222" s="261"/>
      <c r="G222" s="261"/>
      <c r="H222" s="261"/>
      <c r="I222" s="261"/>
      <c r="J222" s="261"/>
      <c r="K222" s="261"/>
      <c r="L222" s="264">
        <f>E222</f>
        <v>0</v>
      </c>
      <c r="M222" s="264">
        <f>L222*VLOOKUP(G214,PRate01,2,FALSE)</f>
        <v>0</v>
      </c>
      <c r="N222" s="264">
        <f>M222*VLOOKUP(H214,PRate01,2,FALSE)</f>
        <v>0</v>
      </c>
      <c r="O222" s="264">
        <f>N222*VLOOKUP(I214,PRate01,2,FALSE)</f>
        <v>0</v>
      </c>
      <c r="P222" s="264">
        <f>O222*VLOOKUP(J214,PRate01,2,FALSE)</f>
        <v>0</v>
      </c>
      <c r="Q222" s="264">
        <f>P222*VLOOKUP(K214,PRate01,2,FALSE)</f>
        <v>0</v>
      </c>
      <c r="S222" s="37" t="s">
        <v>998</v>
      </c>
      <c r="T222" s="210"/>
      <c r="V222" s="398">
        <v>7</v>
      </c>
      <c r="W222" s="394">
        <f t="shared" si="342"/>
        <v>0</v>
      </c>
      <c r="X222" s="394">
        <f t="shared" si="343"/>
        <v>0</v>
      </c>
      <c r="Y222" s="397"/>
      <c r="Z222" s="397"/>
      <c r="AA222" s="397"/>
    </row>
    <row r="223" spans="1:30" ht="12.75" hidden="1" customHeight="1" outlineLevel="1" x14ac:dyDescent="0.2">
      <c r="D223" s="37" t="s">
        <v>465</v>
      </c>
      <c r="E223" s="262"/>
      <c r="F223" s="261"/>
      <c r="G223" s="261"/>
      <c r="H223" s="261"/>
      <c r="I223" s="261"/>
      <c r="J223" s="261"/>
      <c r="K223" s="261"/>
      <c r="L223" s="261"/>
      <c r="M223" s="264">
        <f>E223</f>
        <v>0</v>
      </c>
      <c r="N223" s="264">
        <f>M223*VLOOKUP(G214,PRate01,2,FALSE)</f>
        <v>0</v>
      </c>
      <c r="O223" s="264">
        <f>N223*VLOOKUP(H214,PRate01,2,FALSE)</f>
        <v>0</v>
      </c>
      <c r="P223" s="264">
        <f>O223*VLOOKUP(I214,PRate01,2,FALSE)</f>
        <v>0</v>
      </c>
      <c r="Q223" s="264">
        <f>P223*VLOOKUP(J214,PRate01,2,FALSE)</f>
        <v>0</v>
      </c>
      <c r="S223" s="37" t="s">
        <v>999</v>
      </c>
      <c r="T223" s="210"/>
      <c r="V223" s="398">
        <v>8</v>
      </c>
      <c r="W223" s="394">
        <f t="shared" si="342"/>
        <v>0</v>
      </c>
      <c r="X223" s="394">
        <f t="shared" si="343"/>
        <v>0</v>
      </c>
      <c r="Y223" s="397"/>
      <c r="Z223" s="397"/>
      <c r="AA223" s="397"/>
    </row>
    <row r="224" spans="1:30" ht="12.75" hidden="1" customHeight="1" outlineLevel="1" x14ac:dyDescent="0.2">
      <c r="D224" s="37" t="s">
        <v>466</v>
      </c>
      <c r="E224" s="262"/>
      <c r="F224" s="261"/>
      <c r="G224" s="261"/>
      <c r="H224" s="261"/>
      <c r="I224" s="261"/>
      <c r="J224" s="261"/>
      <c r="K224" s="261"/>
      <c r="L224" s="261"/>
      <c r="M224" s="261"/>
      <c r="N224" s="264">
        <f>E224</f>
        <v>0</v>
      </c>
      <c r="O224" s="264">
        <f>N224*VLOOKUP(G214,PRate01,2,FALSE)</f>
        <v>0</v>
      </c>
      <c r="P224" s="264">
        <f>O224*VLOOKUP(H214,PRate01,2,FALSE)</f>
        <v>0</v>
      </c>
      <c r="Q224" s="264">
        <f>P224*VLOOKUP(I214,PRate01,2,FALSE)</f>
        <v>0</v>
      </c>
      <c r="S224" s="37" t="s">
        <v>1000</v>
      </c>
      <c r="T224" s="210"/>
      <c r="V224" s="398">
        <v>9</v>
      </c>
      <c r="W224" s="394">
        <f t="shared" si="342"/>
        <v>0</v>
      </c>
      <c r="X224" s="394">
        <f t="shared" si="343"/>
        <v>0</v>
      </c>
      <c r="Y224" s="397"/>
      <c r="Z224" s="397"/>
      <c r="AA224" s="397"/>
    </row>
    <row r="225" spans="3:30" ht="12.75" hidden="1" customHeight="1" outlineLevel="1" x14ac:dyDescent="0.2">
      <c r="D225" s="37" t="s">
        <v>467</v>
      </c>
      <c r="E225" s="262"/>
      <c r="F225" s="261"/>
      <c r="G225" s="261"/>
      <c r="H225" s="261"/>
      <c r="I225" s="261"/>
      <c r="J225" s="261"/>
      <c r="K225" s="261"/>
      <c r="L225" s="261"/>
      <c r="M225" s="261"/>
      <c r="N225" s="261"/>
      <c r="O225" s="395">
        <f>E225</f>
        <v>0</v>
      </c>
      <c r="P225" s="264">
        <f>O225*VLOOKUP(G214,PRate01,2,FALSE)</f>
        <v>0</v>
      </c>
      <c r="Q225" s="264">
        <f>P225*VLOOKUP(H214,PRate01,2,FALSE)</f>
        <v>0</v>
      </c>
      <c r="S225" s="37" t="s">
        <v>1001</v>
      </c>
      <c r="T225" s="210"/>
      <c r="V225" s="398">
        <v>10</v>
      </c>
      <c r="W225" s="394">
        <f t="shared" si="342"/>
        <v>0</v>
      </c>
      <c r="X225" s="394">
        <f t="shared" si="343"/>
        <v>0</v>
      </c>
      <c r="Y225" s="397"/>
      <c r="Z225" s="397"/>
      <c r="AA225" s="397"/>
    </row>
    <row r="226" spans="3:30" ht="12.75" hidden="1" customHeight="1" outlineLevel="1" x14ac:dyDescent="0.2">
      <c r="D226" s="37" t="s">
        <v>468</v>
      </c>
      <c r="E226" s="262"/>
      <c r="F226" s="261"/>
      <c r="G226" s="261"/>
      <c r="H226" s="261"/>
      <c r="I226" s="261"/>
      <c r="J226" s="261"/>
      <c r="K226" s="261"/>
      <c r="L226" s="261"/>
      <c r="M226" s="261"/>
      <c r="N226" s="261"/>
      <c r="O226" s="391"/>
      <c r="P226" s="395">
        <f>E226</f>
        <v>0</v>
      </c>
      <c r="Q226" s="264">
        <f>P226*VLOOKUP(G214,PRate01,2,FALSE)</f>
        <v>0</v>
      </c>
      <c r="S226" s="37" t="s">
        <v>1002</v>
      </c>
      <c r="T226" s="210"/>
      <c r="V226" s="398">
        <v>11</v>
      </c>
      <c r="W226" s="394">
        <f t="shared" si="342"/>
        <v>0</v>
      </c>
      <c r="X226" s="394">
        <f t="shared" si="343"/>
        <v>0</v>
      </c>
      <c r="Y226" s="397"/>
      <c r="Z226" s="397"/>
      <c r="AA226" s="397"/>
    </row>
    <row r="227" spans="3:30" ht="12.75" hidden="1" customHeight="1" outlineLevel="1" x14ac:dyDescent="0.2">
      <c r="D227" s="37" t="s">
        <v>469</v>
      </c>
      <c r="E227" s="262"/>
      <c r="F227" s="261"/>
      <c r="G227" s="261"/>
      <c r="H227" s="261"/>
      <c r="I227" s="261"/>
      <c r="J227" s="261"/>
      <c r="K227" s="261"/>
      <c r="L227" s="261"/>
      <c r="M227" s="261"/>
      <c r="N227" s="261"/>
      <c r="O227" s="391"/>
      <c r="P227" s="391"/>
      <c r="Q227" s="395">
        <f>E227</f>
        <v>0</v>
      </c>
      <c r="V227" s="398">
        <v>12</v>
      </c>
      <c r="W227" s="399"/>
      <c r="X227" s="394">
        <f t="shared" si="343"/>
        <v>0</v>
      </c>
      <c r="Y227" s="397"/>
      <c r="Z227" s="397"/>
      <c r="AA227" s="397"/>
    </row>
    <row r="228" spans="3:30" ht="12.75" hidden="1" customHeight="1" outlineLevel="1" x14ac:dyDescent="0.2"/>
    <row r="229" spans="3:30" ht="12.75" hidden="1" customHeight="1" outlineLevel="1" x14ac:dyDescent="0.2">
      <c r="Z229" s="542" t="str">
        <f>IF(AC231&lt;&gt;"",MsgNote &amp; VLOOKUP("PRate",WarningMessages,2),"")</f>
        <v/>
      </c>
      <c r="AA229" s="542"/>
      <c r="AB229" s="542"/>
      <c r="AC229" s="542"/>
      <c r="AD229" s="542"/>
    </row>
    <row r="230" spans="3:30" ht="12.75" hidden="1" customHeight="1" outlineLevel="1" x14ac:dyDescent="0.2">
      <c r="L230" s="121"/>
      <c r="M230" s="121"/>
      <c r="N230" s="121"/>
      <c r="O230" s="121"/>
      <c r="P230" s="121"/>
      <c r="Q230" s="121"/>
    </row>
    <row r="231" spans="3:30" ht="12.75" hidden="1" customHeight="1" outlineLevel="1" x14ac:dyDescent="0.2">
      <c r="D231" s="260"/>
      <c r="F231" s="74">
        <f t="shared" ref="F231" si="374">G231-1</f>
        <v>2020</v>
      </c>
      <c r="G231" s="74">
        <f t="shared" ref="G231" si="375">H231-1</f>
        <v>2021</v>
      </c>
      <c r="H231" s="74">
        <f t="shared" ref="H231" si="376">I231-1</f>
        <v>2022</v>
      </c>
      <c r="I231" s="74">
        <f t="shared" ref="I231" si="377">J231-1</f>
        <v>2023</v>
      </c>
      <c r="J231" s="74">
        <f t="shared" ref="J231" si="378">K231-1</f>
        <v>2024</v>
      </c>
      <c r="K231" s="74">
        <f t="shared" ref="K231" si="379">L231-1</f>
        <v>2025</v>
      </c>
      <c r="L231" s="74">
        <f>FirstYear</f>
        <v>2026</v>
      </c>
      <c r="M231" s="74">
        <f>L231+1</f>
        <v>2027</v>
      </c>
      <c r="N231" s="74">
        <f>M231+1</f>
        <v>2028</v>
      </c>
      <c r="O231" s="74">
        <f>N231+1</f>
        <v>2029</v>
      </c>
      <c r="P231" s="74">
        <f>O231+1</f>
        <v>2030</v>
      </c>
      <c r="Q231" s="74">
        <f>P231+1</f>
        <v>2031</v>
      </c>
      <c r="S231" s="675" t="s">
        <v>1288</v>
      </c>
      <c r="T231" s="675"/>
      <c r="Z231" s="673" t="s">
        <v>1291</v>
      </c>
      <c r="AA231" s="673"/>
      <c r="AB231" s="673"/>
      <c r="AC231" s="210"/>
    </row>
    <row r="232" spans="3:30" ht="12.75" hidden="1" customHeight="1" outlineLevel="1" x14ac:dyDescent="0.2">
      <c r="C232" s="396">
        <v>12</v>
      </c>
      <c r="D232" s="674" t="s">
        <v>273</v>
      </c>
      <c r="E232" s="643"/>
      <c r="F232" s="395">
        <f>F216*VLOOKUP(C243,PRate01,3,FALSE)</f>
        <v>0</v>
      </c>
      <c r="G232" s="395">
        <f>G216*VLOOKUP(C242,PRate01,3,FALSE)</f>
        <v>0</v>
      </c>
      <c r="H232" s="395">
        <f>H216*VLOOKUP(C241,PRate01,3,FALSE)</f>
        <v>0</v>
      </c>
      <c r="I232" s="395">
        <f>I216*VLOOKUP(C240,PRate01,3,FALSE)</f>
        <v>0</v>
      </c>
      <c r="J232" s="395">
        <f>J216*VLOOKUP(C239,PRate01,3,FALSE)</f>
        <v>0</v>
      </c>
      <c r="K232" s="395">
        <f t="shared" ref="K232:K237" si="380">K216*VLOOKUP(C238,PRate01,3,FALSE)</f>
        <v>0</v>
      </c>
      <c r="L232" s="395">
        <f t="shared" ref="L232:L238" si="381">L216*VLOOKUP(C237,PRate01,3,FALSE)</f>
        <v>0</v>
      </c>
      <c r="M232" s="395">
        <f t="shared" ref="M232:M239" si="382">M216*VLOOKUP(C236,PRate01,3,FALSE)</f>
        <v>0</v>
      </c>
      <c r="N232" s="395">
        <f t="shared" ref="N232:N240" si="383">N216*VLOOKUP(C235,PRate01,3,FALSE)</f>
        <v>0</v>
      </c>
      <c r="O232" s="395">
        <f t="shared" ref="O232:O241" si="384">O216*VLOOKUP(C234,PRate01,3,FALSE)</f>
        <v>0</v>
      </c>
      <c r="P232" s="395">
        <f t="shared" ref="P232:P242" si="385">P216*VLOOKUP(C233,PRate01,3,FALSE)</f>
        <v>0</v>
      </c>
      <c r="Q232" s="395">
        <f t="shared" ref="Q232:Q243" si="386">Q216*VLOOKUP(C232,PRate01,3,FALSE)</f>
        <v>0</v>
      </c>
      <c r="S232" s="392" t="s">
        <v>992</v>
      </c>
      <c r="T232" s="393"/>
      <c r="X232" s="397"/>
      <c r="Y232" s="397"/>
      <c r="Z232" s="397"/>
      <c r="AA232" s="397"/>
    </row>
    <row r="233" spans="3:30" ht="12.75" hidden="1" customHeight="1" outlineLevel="1" x14ac:dyDescent="0.2">
      <c r="C233" s="396">
        <v>11</v>
      </c>
      <c r="D233" s="674" t="s">
        <v>274</v>
      </c>
      <c r="E233" s="643"/>
      <c r="F233" s="261"/>
      <c r="G233" s="395">
        <f>G217*VLOOKUP(C243,PRate01,3,FALSE)</f>
        <v>0</v>
      </c>
      <c r="H233" s="395">
        <f>H217*VLOOKUP(C242,PRate01,3,FALSE)</f>
        <v>0</v>
      </c>
      <c r="I233" s="395">
        <f>I217*VLOOKUP(C241,PRate01,3,FALSE)</f>
        <v>0</v>
      </c>
      <c r="J233" s="395">
        <f>J217*VLOOKUP(C240,PRate01,3,FALSE)</f>
        <v>0</v>
      </c>
      <c r="K233" s="395">
        <f t="shared" si="380"/>
        <v>0</v>
      </c>
      <c r="L233" s="395">
        <f t="shared" si="381"/>
        <v>0</v>
      </c>
      <c r="M233" s="395">
        <f t="shared" si="382"/>
        <v>0</v>
      </c>
      <c r="N233" s="395">
        <f t="shared" si="383"/>
        <v>0</v>
      </c>
      <c r="O233" s="395">
        <f t="shared" si="384"/>
        <v>0</v>
      </c>
      <c r="P233" s="395">
        <f t="shared" si="385"/>
        <v>0</v>
      </c>
      <c r="Q233" s="395">
        <f t="shared" si="386"/>
        <v>0</v>
      </c>
      <c r="S233" s="37" t="s">
        <v>993</v>
      </c>
      <c r="T233" s="210"/>
      <c r="X233" s="397"/>
      <c r="Y233" s="397"/>
      <c r="Z233" s="37" t="s">
        <v>249</v>
      </c>
      <c r="AA233" s="575"/>
      <c r="AB233" s="575"/>
      <c r="AC233" s="575"/>
      <c r="AD233" s="575"/>
    </row>
    <row r="234" spans="3:30" ht="12.75" hidden="1" customHeight="1" outlineLevel="1" x14ac:dyDescent="0.2">
      <c r="C234" s="396">
        <v>10</v>
      </c>
      <c r="D234" s="674" t="s">
        <v>275</v>
      </c>
      <c r="E234" s="643"/>
      <c r="F234" s="261"/>
      <c r="G234" s="261"/>
      <c r="H234" s="395">
        <f>H218*VLOOKUP(C243,PRate01,3,FALSE)</f>
        <v>0</v>
      </c>
      <c r="I234" s="395">
        <f>I218*VLOOKUP(C242,PRate01,3,FALSE)</f>
        <v>0</v>
      </c>
      <c r="J234" s="395">
        <f>J218*VLOOKUP(C241,PRate01,3,FALSE)</f>
        <v>0</v>
      </c>
      <c r="K234" s="395">
        <f t="shared" si="380"/>
        <v>0</v>
      </c>
      <c r="L234" s="395">
        <f t="shared" si="381"/>
        <v>0</v>
      </c>
      <c r="M234" s="395">
        <f t="shared" si="382"/>
        <v>0</v>
      </c>
      <c r="N234" s="395">
        <f t="shared" si="383"/>
        <v>0</v>
      </c>
      <c r="O234" s="395">
        <f t="shared" si="384"/>
        <v>0</v>
      </c>
      <c r="P234" s="395">
        <f t="shared" si="385"/>
        <v>0</v>
      </c>
      <c r="Q234" s="395">
        <f t="shared" si="386"/>
        <v>0</v>
      </c>
      <c r="S234" s="37" t="s">
        <v>994</v>
      </c>
      <c r="T234" s="210"/>
      <c r="X234" s="397"/>
      <c r="Y234" s="397"/>
      <c r="Z234" s="397"/>
      <c r="AA234" s="397"/>
    </row>
    <row r="235" spans="3:30" ht="12.75" hidden="1" customHeight="1" outlineLevel="1" x14ac:dyDescent="0.2">
      <c r="C235" s="396">
        <v>9</v>
      </c>
      <c r="D235" s="674" t="s">
        <v>276</v>
      </c>
      <c r="E235" s="643"/>
      <c r="F235" s="261"/>
      <c r="G235" s="261"/>
      <c r="H235" s="261"/>
      <c r="I235" s="395">
        <f>I219*VLOOKUP(C243,PRate01,3,FALSE)</f>
        <v>0</v>
      </c>
      <c r="J235" s="395">
        <f>J219*VLOOKUP(C242,PRate01,3,FALSE)</f>
        <v>0</v>
      </c>
      <c r="K235" s="395">
        <f t="shared" si="380"/>
        <v>0</v>
      </c>
      <c r="L235" s="395">
        <f t="shared" si="381"/>
        <v>0</v>
      </c>
      <c r="M235" s="395">
        <f t="shared" si="382"/>
        <v>0</v>
      </c>
      <c r="N235" s="395">
        <f t="shared" si="383"/>
        <v>0</v>
      </c>
      <c r="O235" s="395">
        <f t="shared" si="384"/>
        <v>0</v>
      </c>
      <c r="P235" s="395">
        <f t="shared" si="385"/>
        <v>0</v>
      </c>
      <c r="Q235" s="395">
        <f t="shared" si="386"/>
        <v>0</v>
      </c>
      <c r="S235" s="37" t="s">
        <v>995</v>
      </c>
      <c r="T235" s="210"/>
      <c r="X235" s="397"/>
      <c r="Y235" s="397"/>
      <c r="Z235" s="397"/>
      <c r="AA235" s="397"/>
    </row>
    <row r="236" spans="3:30" ht="12.75" hidden="1" customHeight="1" outlineLevel="1" x14ac:dyDescent="0.2">
      <c r="C236" s="396">
        <v>8</v>
      </c>
      <c r="D236" s="674" t="s">
        <v>277</v>
      </c>
      <c r="E236" s="643"/>
      <c r="F236" s="261"/>
      <c r="G236" s="261"/>
      <c r="H236" s="261"/>
      <c r="I236" s="261"/>
      <c r="J236" s="395">
        <f>J220*VLOOKUP(C243,PRate01,3,FALSE)</f>
        <v>0</v>
      </c>
      <c r="K236" s="395">
        <f t="shared" si="380"/>
        <v>0</v>
      </c>
      <c r="L236" s="395">
        <f t="shared" si="381"/>
        <v>0</v>
      </c>
      <c r="M236" s="395">
        <f t="shared" si="382"/>
        <v>0</v>
      </c>
      <c r="N236" s="395">
        <f t="shared" si="383"/>
        <v>0</v>
      </c>
      <c r="O236" s="395">
        <f t="shared" si="384"/>
        <v>0</v>
      </c>
      <c r="P236" s="395">
        <f t="shared" si="385"/>
        <v>0</v>
      </c>
      <c r="Q236" s="395">
        <f t="shared" si="386"/>
        <v>0</v>
      </c>
      <c r="S236" s="37" t="s">
        <v>996</v>
      </c>
      <c r="T236" s="210"/>
      <c r="X236" s="397"/>
      <c r="Y236" s="397"/>
      <c r="Z236" s="397"/>
      <c r="AA236" s="397"/>
    </row>
    <row r="237" spans="3:30" ht="12.75" hidden="1" customHeight="1" outlineLevel="1" x14ac:dyDescent="0.2">
      <c r="C237" s="396">
        <v>7</v>
      </c>
      <c r="D237" s="674" t="s">
        <v>278</v>
      </c>
      <c r="E237" s="643"/>
      <c r="F237" s="261"/>
      <c r="G237" s="261"/>
      <c r="H237" s="261"/>
      <c r="I237" s="261"/>
      <c r="J237" s="261"/>
      <c r="K237" s="395">
        <f t="shared" si="380"/>
        <v>0</v>
      </c>
      <c r="L237" s="395">
        <f t="shared" si="381"/>
        <v>0</v>
      </c>
      <c r="M237" s="395">
        <f t="shared" si="382"/>
        <v>0</v>
      </c>
      <c r="N237" s="395">
        <f t="shared" si="383"/>
        <v>0</v>
      </c>
      <c r="O237" s="395">
        <f t="shared" si="384"/>
        <v>0</v>
      </c>
      <c r="P237" s="395">
        <f t="shared" si="385"/>
        <v>0</v>
      </c>
      <c r="Q237" s="395">
        <f t="shared" si="386"/>
        <v>0</v>
      </c>
      <c r="S237" s="37" t="s">
        <v>997</v>
      </c>
      <c r="T237" s="210"/>
      <c r="X237" s="397"/>
      <c r="Y237" s="397"/>
      <c r="Z237" s="397"/>
      <c r="AA237" s="397"/>
    </row>
    <row r="238" spans="3:30" ht="12.75" hidden="1" customHeight="1" outlineLevel="1" x14ac:dyDescent="0.2">
      <c r="C238" s="396">
        <v>6</v>
      </c>
      <c r="D238" s="674" t="s">
        <v>464</v>
      </c>
      <c r="E238" s="643"/>
      <c r="F238" s="261"/>
      <c r="G238" s="261"/>
      <c r="H238" s="261"/>
      <c r="I238" s="261"/>
      <c r="J238" s="261"/>
      <c r="K238" s="261"/>
      <c r="L238" s="395">
        <f t="shared" si="381"/>
        <v>0</v>
      </c>
      <c r="M238" s="395">
        <f t="shared" si="382"/>
        <v>0</v>
      </c>
      <c r="N238" s="395">
        <f t="shared" si="383"/>
        <v>0</v>
      </c>
      <c r="O238" s="395">
        <f t="shared" si="384"/>
        <v>0</v>
      </c>
      <c r="P238" s="395">
        <f t="shared" si="385"/>
        <v>0</v>
      </c>
      <c r="Q238" s="395">
        <f t="shared" si="386"/>
        <v>0</v>
      </c>
      <c r="S238" s="37" t="s">
        <v>998</v>
      </c>
      <c r="T238" s="210"/>
      <c r="X238" s="397"/>
      <c r="Y238" s="397"/>
      <c r="Z238" s="397"/>
      <c r="AA238" s="397"/>
    </row>
    <row r="239" spans="3:30" ht="12.75" hidden="1" customHeight="1" outlineLevel="1" x14ac:dyDescent="0.2">
      <c r="C239" s="396">
        <v>5</v>
      </c>
      <c r="D239" s="674" t="s">
        <v>465</v>
      </c>
      <c r="E239" s="643"/>
      <c r="F239" s="261"/>
      <c r="G239" s="261"/>
      <c r="H239" s="261"/>
      <c r="I239" s="261"/>
      <c r="J239" s="261"/>
      <c r="K239" s="261"/>
      <c r="L239" s="261"/>
      <c r="M239" s="395">
        <f t="shared" si="382"/>
        <v>0</v>
      </c>
      <c r="N239" s="395">
        <f t="shared" si="383"/>
        <v>0</v>
      </c>
      <c r="O239" s="395">
        <f t="shared" si="384"/>
        <v>0</v>
      </c>
      <c r="P239" s="395">
        <f t="shared" si="385"/>
        <v>0</v>
      </c>
      <c r="Q239" s="395">
        <f t="shared" si="386"/>
        <v>0</v>
      </c>
      <c r="S239" s="37" t="s">
        <v>999</v>
      </c>
      <c r="T239" s="210"/>
      <c r="X239" s="397"/>
      <c r="Y239" s="397"/>
      <c r="Z239" s="397"/>
      <c r="AA239" s="397"/>
    </row>
    <row r="240" spans="3:30" ht="12.75" hidden="1" customHeight="1" outlineLevel="1" x14ac:dyDescent="0.2">
      <c r="C240" s="396">
        <v>4</v>
      </c>
      <c r="D240" s="674" t="s">
        <v>466</v>
      </c>
      <c r="E240" s="643"/>
      <c r="F240" s="261"/>
      <c r="G240" s="261"/>
      <c r="H240" s="261"/>
      <c r="I240" s="261"/>
      <c r="J240" s="261"/>
      <c r="K240" s="261"/>
      <c r="L240" s="261"/>
      <c r="M240" s="261"/>
      <c r="N240" s="395">
        <f t="shared" si="383"/>
        <v>0</v>
      </c>
      <c r="O240" s="395">
        <f t="shared" si="384"/>
        <v>0</v>
      </c>
      <c r="P240" s="395">
        <f t="shared" si="385"/>
        <v>0</v>
      </c>
      <c r="Q240" s="395">
        <f t="shared" si="386"/>
        <v>0</v>
      </c>
      <c r="S240" s="37" t="s">
        <v>1000</v>
      </c>
      <c r="T240" s="210"/>
      <c r="X240" s="397"/>
      <c r="Y240" s="397"/>
      <c r="Z240" s="397"/>
      <c r="AA240" s="397"/>
    </row>
    <row r="241" spans="1:30" ht="12.75" hidden="1" customHeight="1" outlineLevel="1" x14ac:dyDescent="0.2">
      <c r="C241" s="396">
        <v>3</v>
      </c>
      <c r="D241" s="674" t="s">
        <v>467</v>
      </c>
      <c r="E241" s="643"/>
      <c r="F241" s="261"/>
      <c r="G241" s="261"/>
      <c r="H241" s="261"/>
      <c r="I241" s="261"/>
      <c r="J241" s="261"/>
      <c r="K241" s="261"/>
      <c r="L241" s="261"/>
      <c r="M241" s="261"/>
      <c r="N241" s="261"/>
      <c r="O241" s="395">
        <f t="shared" si="384"/>
        <v>0</v>
      </c>
      <c r="P241" s="395">
        <f t="shared" si="385"/>
        <v>0</v>
      </c>
      <c r="Q241" s="395">
        <f t="shared" si="386"/>
        <v>0</v>
      </c>
      <c r="S241" s="37" t="s">
        <v>1001</v>
      </c>
      <c r="T241" s="210"/>
      <c r="X241" s="397"/>
      <c r="Y241" s="397"/>
      <c r="Z241" s="397"/>
      <c r="AA241" s="397"/>
    </row>
    <row r="242" spans="1:30" ht="12.75" hidden="1" customHeight="1" outlineLevel="1" x14ac:dyDescent="0.2">
      <c r="C242" s="396">
        <v>2</v>
      </c>
      <c r="D242" s="674" t="s">
        <v>468</v>
      </c>
      <c r="E242" s="643"/>
      <c r="F242" s="261"/>
      <c r="G242" s="261"/>
      <c r="H242" s="261"/>
      <c r="I242" s="261"/>
      <c r="J242" s="261"/>
      <c r="K242" s="261"/>
      <c r="L242" s="261"/>
      <c r="M242" s="261"/>
      <c r="N242" s="261"/>
      <c r="O242" s="391"/>
      <c r="P242" s="395">
        <f t="shared" si="385"/>
        <v>0</v>
      </c>
      <c r="Q242" s="395">
        <f t="shared" si="386"/>
        <v>0</v>
      </c>
      <c r="S242" s="37" t="s">
        <v>1002</v>
      </c>
      <c r="T242" s="210"/>
      <c r="X242" s="397"/>
      <c r="Y242" s="397"/>
      <c r="Z242" s="397"/>
      <c r="AA242" s="397"/>
    </row>
    <row r="243" spans="1:30" ht="12.75" hidden="1" customHeight="1" outlineLevel="1" x14ac:dyDescent="0.2">
      <c r="C243" s="396">
        <v>1</v>
      </c>
      <c r="D243" s="674" t="s">
        <v>469</v>
      </c>
      <c r="E243" s="643"/>
      <c r="F243" s="261"/>
      <c r="G243" s="261"/>
      <c r="H243" s="261"/>
      <c r="I243" s="261"/>
      <c r="J243" s="261"/>
      <c r="K243" s="261"/>
      <c r="L243" s="261"/>
      <c r="M243" s="261"/>
      <c r="N243" s="261"/>
      <c r="O243" s="391"/>
      <c r="P243" s="391"/>
      <c r="Q243" s="395">
        <f t="shared" si="386"/>
        <v>0</v>
      </c>
      <c r="S243" s="37" t="s">
        <v>1022</v>
      </c>
      <c r="T243" s="210"/>
    </row>
    <row r="244" spans="1:30" ht="12.75" hidden="1" customHeight="1" outlineLevel="1" x14ac:dyDescent="0.2">
      <c r="K244" s="258" t="s">
        <v>73</v>
      </c>
      <c r="L244" s="263">
        <f>IFERROR((SUM(L232:L237)+IF(MATCH($AC$244,Switch,0)=1,L238,0)),0)</f>
        <v>0</v>
      </c>
      <c r="M244" s="263">
        <f>IFERROR((SUM(M232:M238)+IF(MATCH($AC$244,Switch,0)=1,M239,0)),0)</f>
        <v>0</v>
      </c>
      <c r="N244" s="263">
        <f>IFERROR((SUM(N232:N239)+IF(MATCH($AC$244,Switch,0)=1,N240,0)),0)</f>
        <v>0</v>
      </c>
      <c r="O244" s="263">
        <f>IFERROR((SUM(O232:O240)+IF(MATCH($AC$244,Switch,0)=1,O241,0)),0)</f>
        <v>0</v>
      </c>
      <c r="P244" s="263">
        <f>IFERROR((SUM(P232:P241)+IF(MATCH($AC$244,Switch,0)=1,P242,0)),0)</f>
        <v>0</v>
      </c>
      <c r="Q244" s="263">
        <f>IFERROR((SUM(Q232:Q242)+IF(MATCH($AC$244,Switch,0)=1,Q243,0)),0)</f>
        <v>0</v>
      </c>
      <c r="Z244" s="670" t="s">
        <v>1289</v>
      </c>
      <c r="AA244" s="671"/>
      <c r="AB244" s="672"/>
      <c r="AC244" s="227" t="s">
        <v>9</v>
      </c>
    </row>
    <row r="245" spans="1:30" ht="12.75" hidden="1" customHeight="1" outlineLevel="1" x14ac:dyDescent="0.2"/>
    <row r="246" spans="1:30" ht="12.75" customHeight="1" collapsed="1" x14ac:dyDescent="0.2"/>
    <row r="247" spans="1:30" ht="15.75" x14ac:dyDescent="0.2">
      <c r="A247" s="172"/>
      <c r="B247" s="209">
        <f>IF(G249&lt;&gt;"",1,0)</f>
        <v>0</v>
      </c>
      <c r="C247" s="209">
        <v>7</v>
      </c>
      <c r="D247" s="72" t="str">
        <f>IF(B247=0,MsgNotUsed, CONCATENATE("Persistent ", C247, ": ", G249, " (", F253, "-", Q253, ")"))</f>
        <v>** NOT USED **</v>
      </c>
      <c r="E247" s="113"/>
      <c r="F247" s="113"/>
      <c r="G247" s="113"/>
      <c r="H247" s="113"/>
      <c r="I247" s="113"/>
      <c r="J247" s="154"/>
      <c r="K247" s="113"/>
      <c r="L247" s="113"/>
      <c r="M247" s="113"/>
      <c r="N247" s="224"/>
      <c r="O247" s="224"/>
      <c r="P247" s="224"/>
      <c r="Q247" s="224"/>
      <c r="R247" s="224"/>
      <c r="S247" s="224"/>
      <c r="T247" s="224"/>
      <c r="U247" s="224"/>
      <c r="V247" s="224"/>
      <c r="W247" s="224"/>
      <c r="X247" s="224"/>
      <c r="Y247" s="224"/>
      <c r="Z247" s="224"/>
      <c r="AA247" s="224"/>
      <c r="AB247" s="224"/>
      <c r="AC247" s="224"/>
      <c r="AD247" s="224"/>
    </row>
    <row r="248" spans="1:30" ht="12.75" hidden="1" customHeight="1" outlineLevel="1" x14ac:dyDescent="0.2"/>
    <row r="249" spans="1:30" ht="12.75" hidden="1" customHeight="1" outlineLevel="1" x14ac:dyDescent="0.2">
      <c r="F249" s="37" t="s">
        <v>470</v>
      </c>
      <c r="G249" s="669"/>
      <c r="H249" s="642"/>
      <c r="I249" s="642"/>
      <c r="J249" s="642"/>
      <c r="K249" s="642"/>
      <c r="L249" s="643"/>
    </row>
    <row r="250" spans="1:30" ht="12.75" hidden="1" customHeight="1" outlineLevel="1" x14ac:dyDescent="0.2"/>
    <row r="251" spans="1:30" ht="12.75" hidden="1" customHeight="1" outlineLevel="1" x14ac:dyDescent="0.2">
      <c r="F251" s="37" t="s">
        <v>249</v>
      </c>
      <c r="G251" s="669"/>
      <c r="H251" s="642"/>
      <c r="I251" s="642"/>
      <c r="J251" s="642"/>
      <c r="K251" s="642"/>
      <c r="L251" s="643"/>
      <c r="Z251" s="542" t="str">
        <f>IF(AC253&lt;&gt;"",MsgNote &amp; VLOOKUP("PRate",WarningMessages,2),"")</f>
        <v/>
      </c>
      <c r="AA251" s="542"/>
      <c r="AB251" s="542"/>
      <c r="AC251" s="542"/>
      <c r="AD251" s="542"/>
    </row>
    <row r="252" spans="1:30" ht="12.75" hidden="1" customHeight="1" outlineLevel="1" x14ac:dyDescent="0.2">
      <c r="G252" s="400">
        <v>1</v>
      </c>
      <c r="H252" s="400">
        <v>2</v>
      </c>
      <c r="I252" s="400">
        <v>3</v>
      </c>
      <c r="J252" s="400">
        <v>4</v>
      </c>
      <c r="K252" s="400">
        <v>5</v>
      </c>
      <c r="L252" s="400">
        <v>6</v>
      </c>
      <c r="M252" s="400">
        <v>7</v>
      </c>
      <c r="N252" s="400">
        <v>8</v>
      </c>
      <c r="O252" s="400">
        <v>9</v>
      </c>
      <c r="P252" s="400">
        <v>10</v>
      </c>
      <c r="Q252" s="400">
        <v>11</v>
      </c>
    </row>
    <row r="253" spans="1:30" ht="12.75" hidden="1" customHeight="1" outlineLevel="1" x14ac:dyDescent="0.2">
      <c r="D253" s="260"/>
      <c r="E253" s="74" t="s">
        <v>1052</v>
      </c>
      <c r="F253" s="74">
        <f t="shared" ref="F253" si="387">G253-1</f>
        <v>2020</v>
      </c>
      <c r="G253" s="74">
        <f t="shared" ref="G253" si="388">H253-1</f>
        <v>2021</v>
      </c>
      <c r="H253" s="74">
        <f t="shared" ref="H253" si="389">I253-1</f>
        <v>2022</v>
      </c>
      <c r="I253" s="74">
        <f t="shared" ref="I253" si="390">J253-1</f>
        <v>2023</v>
      </c>
      <c r="J253" s="74">
        <f t="shared" ref="J253" si="391">K253-1</f>
        <v>2024</v>
      </c>
      <c r="K253" s="74">
        <f t="shared" ref="K253" si="392">L253-1</f>
        <v>2025</v>
      </c>
      <c r="L253" s="74">
        <f>FirstYear</f>
        <v>2026</v>
      </c>
      <c r="M253" s="74">
        <f>L253+1</f>
        <v>2027</v>
      </c>
      <c r="N253" s="74">
        <f>M253+1</f>
        <v>2028</v>
      </c>
      <c r="O253" s="74">
        <f>N253+1</f>
        <v>2029</v>
      </c>
      <c r="P253" s="74">
        <f>O253+1</f>
        <v>2030</v>
      </c>
      <c r="Q253" s="74">
        <f>P253+1</f>
        <v>2031</v>
      </c>
      <c r="S253" s="675" t="s">
        <v>1287</v>
      </c>
      <c r="T253" s="675"/>
      <c r="Z253" s="673" t="s">
        <v>1290</v>
      </c>
      <c r="AA253" s="673"/>
      <c r="AB253" s="673"/>
      <c r="AC253" s="210"/>
    </row>
    <row r="254" spans="1:30" ht="12.75" hidden="1" customHeight="1" outlineLevel="1" x14ac:dyDescent="0.2">
      <c r="D254" s="37" t="s">
        <v>273</v>
      </c>
      <c r="E254" s="262"/>
      <c r="F254" s="264">
        <f>E254</f>
        <v>0</v>
      </c>
      <c r="G254" s="264">
        <f t="shared" ref="G254" si="393">F254*VLOOKUP(G252,PRate01,2,FALSE)</f>
        <v>0</v>
      </c>
      <c r="H254" s="264">
        <f t="shared" ref="H254" si="394">G254*VLOOKUP(H252,PRate01,2,FALSE)</f>
        <v>0</v>
      </c>
      <c r="I254" s="264">
        <f t="shared" ref="I254" si="395">H254*VLOOKUP(I252,PRate01,2,FALSE)</f>
        <v>0</v>
      </c>
      <c r="J254" s="264">
        <f t="shared" ref="J254" si="396">I254*VLOOKUP(J252,PRate01,2,FALSE)</f>
        <v>0</v>
      </c>
      <c r="K254" s="264">
        <f t="shared" ref="K254" si="397">J254*VLOOKUP(K252,PRate01,2,FALSE)</f>
        <v>0</v>
      </c>
      <c r="L254" s="264">
        <f t="shared" ref="L254" si="398">K254*VLOOKUP(L252,PRate01,2,FALSE)</f>
        <v>0</v>
      </c>
      <c r="M254" s="264">
        <f t="shared" ref="M254" si="399">L254*VLOOKUP(M252,PRate01,2,FALSE)</f>
        <v>0</v>
      </c>
      <c r="N254" s="264">
        <f t="shared" ref="N254" si="400">M254*VLOOKUP(N252,PRate01,2,FALSE)</f>
        <v>0</v>
      </c>
      <c r="O254" s="264">
        <f t="shared" ref="O254" si="401">N254*VLOOKUP(O252,PRate01,2,FALSE)</f>
        <v>0</v>
      </c>
      <c r="P254" s="264">
        <f t="shared" ref="P254" si="402">O254*VLOOKUP(P252,PRate01,2,FALSE)</f>
        <v>0</v>
      </c>
      <c r="Q254" s="264">
        <f t="shared" ref="Q254" si="403">P254*VLOOKUP(Q252,PRate01,2,FALSE)</f>
        <v>0</v>
      </c>
      <c r="S254" s="392" t="s">
        <v>992</v>
      </c>
      <c r="T254" s="393"/>
      <c r="V254" s="398">
        <v>1</v>
      </c>
      <c r="W254" s="394">
        <f>IF($AC$253&lt;&gt;"",$AC$253,T254)</f>
        <v>0</v>
      </c>
      <c r="X254" s="394">
        <f>IF($AC$269&lt;&gt;"",$AC$269,T270)</f>
        <v>0</v>
      </c>
      <c r="Y254" s="397"/>
      <c r="Z254" s="397"/>
      <c r="AA254" s="397"/>
    </row>
    <row r="255" spans="1:30" ht="12.75" hidden="1" customHeight="1" outlineLevel="1" x14ac:dyDescent="0.2">
      <c r="D255" s="37" t="s">
        <v>274</v>
      </c>
      <c r="E255" s="262"/>
      <c r="F255" s="261"/>
      <c r="G255" s="264">
        <f>E255</f>
        <v>0</v>
      </c>
      <c r="H255" s="264">
        <f t="shared" ref="H255" si="404">G255*VLOOKUP(G252,PRate01,2,FALSE)</f>
        <v>0</v>
      </c>
      <c r="I255" s="264">
        <f t="shared" ref="I255" si="405">H255*VLOOKUP(H252,PRate01,2,FALSE)</f>
        <v>0</v>
      </c>
      <c r="J255" s="264">
        <f t="shared" ref="J255" si="406">I255*VLOOKUP(I252,PRate01,2,FALSE)</f>
        <v>0</v>
      </c>
      <c r="K255" s="264">
        <f t="shared" ref="K255" si="407">J255*VLOOKUP(J252,PRate01,2,FALSE)</f>
        <v>0</v>
      </c>
      <c r="L255" s="264">
        <f t="shared" ref="L255" si="408">K255*VLOOKUP(K252,PRate01,2,FALSE)</f>
        <v>0</v>
      </c>
      <c r="M255" s="264">
        <f t="shared" ref="M255" si="409">L255*VLOOKUP(L252,PRate01,2,FALSE)</f>
        <v>0</v>
      </c>
      <c r="N255" s="264">
        <f t="shared" ref="N255" si="410">M255*VLOOKUP(M252,PRate01,2,FALSE)</f>
        <v>0</v>
      </c>
      <c r="O255" s="264">
        <f t="shared" ref="O255" si="411">N255*VLOOKUP(N252,PRate01,2,FALSE)</f>
        <v>0</v>
      </c>
      <c r="P255" s="264">
        <f t="shared" ref="P255" si="412">O255*VLOOKUP(O252,PRate01,2,FALSE)</f>
        <v>0</v>
      </c>
      <c r="Q255" s="264">
        <f t="shared" ref="Q255" si="413">P255*VLOOKUP(P252,PRate01,2,FALSE)</f>
        <v>0</v>
      </c>
      <c r="S255" s="37" t="s">
        <v>993</v>
      </c>
      <c r="T255" s="210"/>
      <c r="V255" s="398">
        <v>2</v>
      </c>
      <c r="W255" s="394">
        <f t="shared" ref="W255:W264" si="414">IF($AC$253&lt;&gt;"",$AC$253,T255)</f>
        <v>0</v>
      </c>
      <c r="X255" s="394">
        <f t="shared" ref="X255:X265" si="415">IF($AC$269&lt;&gt;"",$AC$269,T271)</f>
        <v>0</v>
      </c>
      <c r="Z255" s="37" t="s">
        <v>249</v>
      </c>
      <c r="AA255" s="575"/>
      <c r="AB255" s="575"/>
      <c r="AC255" s="575"/>
      <c r="AD255" s="575"/>
    </row>
    <row r="256" spans="1:30" ht="12.75" hidden="1" customHeight="1" outlineLevel="1" x14ac:dyDescent="0.2">
      <c r="D256" s="37" t="s">
        <v>275</v>
      </c>
      <c r="E256" s="262"/>
      <c r="F256" s="261"/>
      <c r="G256" s="261"/>
      <c r="H256" s="264">
        <f>E256</f>
        <v>0</v>
      </c>
      <c r="I256" s="264">
        <f t="shared" ref="I256" si="416">H256*VLOOKUP(G252,PRate01,2,FALSE)</f>
        <v>0</v>
      </c>
      <c r="J256" s="264">
        <f t="shared" ref="J256" si="417">I256*VLOOKUP(H252,PRate01,2,FALSE)</f>
        <v>0</v>
      </c>
      <c r="K256" s="264">
        <f t="shared" ref="K256" si="418">J256*VLOOKUP(I252,PRate01,2,FALSE)</f>
        <v>0</v>
      </c>
      <c r="L256" s="264">
        <f t="shared" ref="L256" si="419">K256*VLOOKUP(J252,PRate01,2,FALSE)</f>
        <v>0</v>
      </c>
      <c r="M256" s="264">
        <f t="shared" ref="M256" si="420">L256*VLOOKUP(K252,PRate01,2,FALSE)</f>
        <v>0</v>
      </c>
      <c r="N256" s="264">
        <f t="shared" ref="N256" si="421">M256*VLOOKUP(L252,PRate01,2,FALSE)</f>
        <v>0</v>
      </c>
      <c r="O256" s="264">
        <f t="shared" ref="O256" si="422">N256*VLOOKUP(M252,PRate01,2,FALSE)</f>
        <v>0</v>
      </c>
      <c r="P256" s="264">
        <f t="shared" ref="P256" si="423">O256*VLOOKUP(N252,PRate01,2,FALSE)</f>
        <v>0</v>
      </c>
      <c r="Q256" s="264">
        <f t="shared" ref="Q256" si="424">P256*VLOOKUP(O252,PRate01,2,FALSE)</f>
        <v>0</v>
      </c>
      <c r="S256" s="37" t="s">
        <v>994</v>
      </c>
      <c r="T256" s="210"/>
      <c r="V256" s="398">
        <v>3</v>
      </c>
      <c r="W256" s="394">
        <f t="shared" si="414"/>
        <v>0</v>
      </c>
      <c r="X256" s="394">
        <f t="shared" si="415"/>
        <v>0</v>
      </c>
      <c r="Y256" s="397"/>
      <c r="Z256" s="397"/>
      <c r="AA256" s="397"/>
    </row>
    <row r="257" spans="3:30" ht="12.75" hidden="1" customHeight="1" outlineLevel="1" x14ac:dyDescent="0.2">
      <c r="D257" s="37" t="s">
        <v>276</v>
      </c>
      <c r="E257" s="262"/>
      <c r="F257" s="261"/>
      <c r="G257" s="261"/>
      <c r="H257" s="261"/>
      <c r="I257" s="264">
        <f>E257</f>
        <v>0</v>
      </c>
      <c r="J257" s="264">
        <f t="shared" ref="J257" si="425">I257*VLOOKUP(G252,PRate01,2,FALSE)</f>
        <v>0</v>
      </c>
      <c r="K257" s="264">
        <f t="shared" ref="K257" si="426">J257*VLOOKUP(H252,PRate01,2,FALSE)</f>
        <v>0</v>
      </c>
      <c r="L257" s="264">
        <f t="shared" ref="L257" si="427">K257*VLOOKUP(I252,PRate01,2,FALSE)</f>
        <v>0</v>
      </c>
      <c r="M257" s="264">
        <f t="shared" ref="M257" si="428">L257*VLOOKUP(J252,PRate01,2,FALSE)</f>
        <v>0</v>
      </c>
      <c r="N257" s="264">
        <f t="shared" ref="N257" si="429">M257*VLOOKUP(K252,PRate01,2,FALSE)</f>
        <v>0</v>
      </c>
      <c r="O257" s="264">
        <f t="shared" ref="O257" si="430">N257*VLOOKUP(L252,PRate01,2,FALSE)</f>
        <v>0</v>
      </c>
      <c r="P257" s="264">
        <f t="shared" ref="P257" si="431">O257*VLOOKUP(M252,PRate01,2,FALSE)</f>
        <v>0</v>
      </c>
      <c r="Q257" s="264">
        <f t="shared" ref="Q257" si="432">P257*VLOOKUP(N252,PRate01,2,FALSE)</f>
        <v>0</v>
      </c>
      <c r="S257" s="37" t="s">
        <v>995</v>
      </c>
      <c r="T257" s="210"/>
      <c r="V257" s="398">
        <v>4</v>
      </c>
      <c r="W257" s="394">
        <f t="shared" si="414"/>
        <v>0</v>
      </c>
      <c r="X257" s="394">
        <f t="shared" si="415"/>
        <v>0</v>
      </c>
      <c r="Y257" s="397"/>
      <c r="Z257" s="397"/>
      <c r="AA257" s="397"/>
    </row>
    <row r="258" spans="3:30" ht="12.75" hidden="1" customHeight="1" outlineLevel="1" x14ac:dyDescent="0.2">
      <c r="D258" s="37" t="s">
        <v>277</v>
      </c>
      <c r="E258" s="262"/>
      <c r="F258" s="261"/>
      <c r="G258" s="261"/>
      <c r="H258" s="261"/>
      <c r="I258" s="261"/>
      <c r="J258" s="264">
        <f>E258</f>
        <v>0</v>
      </c>
      <c r="K258" s="264">
        <f t="shared" ref="K258" si="433">J258*VLOOKUP(G252,PRate01,2,FALSE)</f>
        <v>0</v>
      </c>
      <c r="L258" s="264">
        <f t="shared" ref="L258" si="434">K258*VLOOKUP(H252,PRate01,2,FALSE)</f>
        <v>0</v>
      </c>
      <c r="M258" s="264">
        <f t="shared" ref="M258" si="435">L258*VLOOKUP(I252,PRate01,2,FALSE)</f>
        <v>0</v>
      </c>
      <c r="N258" s="264">
        <f t="shared" ref="N258" si="436">M258*VLOOKUP(J252,PRate01,2,FALSE)</f>
        <v>0</v>
      </c>
      <c r="O258" s="264">
        <f t="shared" ref="O258" si="437">N258*VLOOKUP(K252,PRate01,2,FALSE)</f>
        <v>0</v>
      </c>
      <c r="P258" s="264">
        <f t="shared" ref="P258" si="438">O258*VLOOKUP(L252,PRate01,2,FALSE)</f>
        <v>0</v>
      </c>
      <c r="Q258" s="264">
        <f t="shared" ref="Q258" si="439">P258*VLOOKUP(M252,PRate01,2,FALSE)</f>
        <v>0</v>
      </c>
      <c r="S258" s="37" t="s">
        <v>996</v>
      </c>
      <c r="T258" s="210"/>
      <c r="V258" s="398">
        <v>5</v>
      </c>
      <c r="W258" s="394">
        <f t="shared" si="414"/>
        <v>0</v>
      </c>
      <c r="X258" s="394">
        <f t="shared" si="415"/>
        <v>0</v>
      </c>
      <c r="Y258" s="397"/>
      <c r="Z258" s="397"/>
      <c r="AA258" s="397"/>
    </row>
    <row r="259" spans="3:30" ht="12.75" hidden="1" customHeight="1" outlineLevel="1" x14ac:dyDescent="0.2">
      <c r="D259" s="37" t="s">
        <v>278</v>
      </c>
      <c r="E259" s="262"/>
      <c r="F259" s="261"/>
      <c r="G259" s="261"/>
      <c r="H259" s="261"/>
      <c r="I259" s="261"/>
      <c r="J259" s="261"/>
      <c r="K259" s="264">
        <f>E259</f>
        <v>0</v>
      </c>
      <c r="L259" s="264">
        <f t="shared" ref="L259" si="440">K259*VLOOKUP(G252,PRate01,2,FALSE)</f>
        <v>0</v>
      </c>
      <c r="M259" s="264">
        <f t="shared" ref="M259" si="441">L259*VLOOKUP(H252,PRate01,2,FALSE)</f>
        <v>0</v>
      </c>
      <c r="N259" s="264">
        <f t="shared" ref="N259" si="442">M259*VLOOKUP(I252,PRate01,2,FALSE)</f>
        <v>0</v>
      </c>
      <c r="O259" s="264">
        <f t="shared" ref="O259" si="443">N259*VLOOKUP(J252,PRate01,2,FALSE)</f>
        <v>0</v>
      </c>
      <c r="P259" s="264">
        <f t="shared" ref="P259" si="444">O259*VLOOKUP(K252,PRate01,2,FALSE)</f>
        <v>0</v>
      </c>
      <c r="Q259" s="264">
        <f t="shared" ref="Q259" si="445">P259*VLOOKUP(L252,PRate01,2,FALSE)</f>
        <v>0</v>
      </c>
      <c r="S259" s="37" t="s">
        <v>997</v>
      </c>
      <c r="T259" s="210"/>
      <c r="V259" s="398">
        <v>6</v>
      </c>
      <c r="W259" s="394">
        <f t="shared" si="414"/>
        <v>0</v>
      </c>
      <c r="X259" s="394">
        <f t="shared" si="415"/>
        <v>0</v>
      </c>
      <c r="Y259" s="397"/>
      <c r="Z259" s="397"/>
      <c r="AA259" s="397"/>
    </row>
    <row r="260" spans="3:30" ht="12.75" hidden="1" customHeight="1" outlineLevel="1" x14ac:dyDescent="0.2">
      <c r="D260" s="37" t="s">
        <v>464</v>
      </c>
      <c r="E260" s="262"/>
      <c r="F260" s="261"/>
      <c r="G260" s="261"/>
      <c r="H260" s="261"/>
      <c r="I260" s="261"/>
      <c r="J260" s="261"/>
      <c r="K260" s="261"/>
      <c r="L260" s="264">
        <f>E260</f>
        <v>0</v>
      </c>
      <c r="M260" s="264">
        <f>L260*VLOOKUP(G252,PRate01,2,FALSE)</f>
        <v>0</v>
      </c>
      <c r="N260" s="264">
        <f>M260*VLOOKUP(H252,PRate01,2,FALSE)</f>
        <v>0</v>
      </c>
      <c r="O260" s="264">
        <f>N260*VLOOKUP(I252,PRate01,2,FALSE)</f>
        <v>0</v>
      </c>
      <c r="P260" s="264">
        <f>O260*VLOOKUP(J252,PRate01,2,FALSE)</f>
        <v>0</v>
      </c>
      <c r="Q260" s="264">
        <f>P260*VLOOKUP(K252,PRate01,2,FALSE)</f>
        <v>0</v>
      </c>
      <c r="S260" s="37" t="s">
        <v>998</v>
      </c>
      <c r="T260" s="210"/>
      <c r="V260" s="398">
        <v>7</v>
      </c>
      <c r="W260" s="394">
        <f t="shared" si="414"/>
        <v>0</v>
      </c>
      <c r="X260" s="394">
        <f t="shared" si="415"/>
        <v>0</v>
      </c>
      <c r="Y260" s="397"/>
      <c r="Z260" s="397"/>
      <c r="AA260" s="397"/>
    </row>
    <row r="261" spans="3:30" ht="12.75" hidden="1" customHeight="1" outlineLevel="1" x14ac:dyDescent="0.2">
      <c r="D261" s="37" t="s">
        <v>465</v>
      </c>
      <c r="E261" s="262"/>
      <c r="F261" s="261"/>
      <c r="G261" s="261"/>
      <c r="H261" s="261"/>
      <c r="I261" s="261"/>
      <c r="J261" s="261"/>
      <c r="K261" s="261"/>
      <c r="L261" s="261"/>
      <c r="M261" s="264">
        <f>E261</f>
        <v>0</v>
      </c>
      <c r="N261" s="264">
        <f>M261*VLOOKUP(G252,PRate01,2,FALSE)</f>
        <v>0</v>
      </c>
      <c r="O261" s="264">
        <f>N261*VLOOKUP(H252,PRate01,2,FALSE)</f>
        <v>0</v>
      </c>
      <c r="P261" s="264">
        <f>O261*VLOOKUP(I252,PRate01,2,FALSE)</f>
        <v>0</v>
      </c>
      <c r="Q261" s="264">
        <f>P261*VLOOKUP(J252,PRate01,2,FALSE)</f>
        <v>0</v>
      </c>
      <c r="S261" s="37" t="s">
        <v>999</v>
      </c>
      <c r="T261" s="210"/>
      <c r="V261" s="398">
        <v>8</v>
      </c>
      <c r="W261" s="394">
        <f t="shared" si="414"/>
        <v>0</v>
      </c>
      <c r="X261" s="394">
        <f t="shared" si="415"/>
        <v>0</v>
      </c>
      <c r="Y261" s="397"/>
      <c r="Z261" s="397"/>
      <c r="AA261" s="397"/>
    </row>
    <row r="262" spans="3:30" ht="12.75" hidden="1" customHeight="1" outlineLevel="1" x14ac:dyDescent="0.2">
      <c r="D262" s="37" t="s">
        <v>466</v>
      </c>
      <c r="E262" s="262"/>
      <c r="F262" s="261"/>
      <c r="G262" s="261"/>
      <c r="H262" s="261"/>
      <c r="I262" s="261"/>
      <c r="J262" s="261"/>
      <c r="K262" s="261"/>
      <c r="L262" s="261"/>
      <c r="M262" s="261"/>
      <c r="N262" s="264">
        <f>E262</f>
        <v>0</v>
      </c>
      <c r="O262" s="264">
        <f>N262*VLOOKUP(G252,PRate01,2,FALSE)</f>
        <v>0</v>
      </c>
      <c r="P262" s="264">
        <f>O262*VLOOKUP(H252,PRate01,2,FALSE)</f>
        <v>0</v>
      </c>
      <c r="Q262" s="264">
        <f>P262*VLOOKUP(I252,PRate01,2,FALSE)</f>
        <v>0</v>
      </c>
      <c r="S262" s="37" t="s">
        <v>1000</v>
      </c>
      <c r="T262" s="210"/>
      <c r="V262" s="398">
        <v>9</v>
      </c>
      <c r="W262" s="394">
        <f t="shared" si="414"/>
        <v>0</v>
      </c>
      <c r="X262" s="394">
        <f t="shared" si="415"/>
        <v>0</v>
      </c>
      <c r="Y262" s="397"/>
      <c r="Z262" s="397"/>
      <c r="AA262" s="397"/>
    </row>
    <row r="263" spans="3:30" ht="12.75" hidden="1" customHeight="1" outlineLevel="1" x14ac:dyDescent="0.2">
      <c r="D263" s="37" t="s">
        <v>467</v>
      </c>
      <c r="E263" s="262"/>
      <c r="F263" s="261"/>
      <c r="G263" s="261"/>
      <c r="H263" s="261"/>
      <c r="I263" s="261"/>
      <c r="J263" s="261"/>
      <c r="K263" s="261"/>
      <c r="L263" s="261"/>
      <c r="M263" s="261"/>
      <c r="N263" s="261"/>
      <c r="O263" s="395">
        <f>E263</f>
        <v>0</v>
      </c>
      <c r="P263" s="264">
        <f>O263*VLOOKUP(G252,PRate01,2,FALSE)</f>
        <v>0</v>
      </c>
      <c r="Q263" s="264">
        <f>P263*VLOOKUP(H252,PRate01,2,FALSE)</f>
        <v>0</v>
      </c>
      <c r="S263" s="37" t="s">
        <v>1001</v>
      </c>
      <c r="T263" s="210"/>
      <c r="V263" s="398">
        <v>10</v>
      </c>
      <c r="W263" s="394">
        <f t="shared" si="414"/>
        <v>0</v>
      </c>
      <c r="X263" s="394">
        <f t="shared" si="415"/>
        <v>0</v>
      </c>
      <c r="Y263" s="397"/>
      <c r="Z263" s="397"/>
      <c r="AA263" s="397"/>
    </row>
    <row r="264" spans="3:30" ht="12.75" hidden="1" customHeight="1" outlineLevel="1" x14ac:dyDescent="0.2">
      <c r="D264" s="37" t="s">
        <v>468</v>
      </c>
      <c r="E264" s="262"/>
      <c r="F264" s="261"/>
      <c r="G264" s="261"/>
      <c r="H264" s="261"/>
      <c r="I264" s="261"/>
      <c r="J264" s="261"/>
      <c r="K264" s="261"/>
      <c r="L264" s="261"/>
      <c r="M264" s="261"/>
      <c r="N264" s="261"/>
      <c r="O264" s="391"/>
      <c r="P264" s="395">
        <f>E264</f>
        <v>0</v>
      </c>
      <c r="Q264" s="264">
        <f>P264*VLOOKUP(G252,PRate01,2,FALSE)</f>
        <v>0</v>
      </c>
      <c r="S264" s="37" t="s">
        <v>1002</v>
      </c>
      <c r="T264" s="210"/>
      <c r="V264" s="398">
        <v>11</v>
      </c>
      <c r="W264" s="394">
        <f t="shared" si="414"/>
        <v>0</v>
      </c>
      <c r="X264" s="394">
        <f t="shared" si="415"/>
        <v>0</v>
      </c>
      <c r="Y264" s="397"/>
      <c r="Z264" s="397"/>
      <c r="AA264" s="397"/>
    </row>
    <row r="265" spans="3:30" ht="12.75" hidden="1" customHeight="1" outlineLevel="1" x14ac:dyDescent="0.2">
      <c r="D265" s="37" t="s">
        <v>469</v>
      </c>
      <c r="E265" s="262"/>
      <c r="F265" s="261"/>
      <c r="G265" s="261"/>
      <c r="H265" s="261"/>
      <c r="I265" s="261"/>
      <c r="J265" s="261"/>
      <c r="K265" s="261"/>
      <c r="L265" s="261"/>
      <c r="M265" s="261"/>
      <c r="N265" s="261"/>
      <c r="O265" s="391"/>
      <c r="P265" s="391"/>
      <c r="Q265" s="395">
        <f>E265</f>
        <v>0</v>
      </c>
      <c r="V265" s="398">
        <v>12</v>
      </c>
      <c r="W265" s="399"/>
      <c r="X265" s="394">
        <f t="shared" si="415"/>
        <v>0</v>
      </c>
      <c r="Y265" s="397"/>
      <c r="Z265" s="397"/>
      <c r="AA265" s="397"/>
    </row>
    <row r="266" spans="3:30" ht="12.75" hidden="1" customHeight="1" outlineLevel="1" x14ac:dyDescent="0.2"/>
    <row r="267" spans="3:30" ht="12.75" hidden="1" customHeight="1" outlineLevel="1" x14ac:dyDescent="0.2">
      <c r="Z267" s="542" t="str">
        <f>IF(AC269&lt;&gt;"",MsgNote &amp; VLOOKUP("PRate",WarningMessages,2),"")</f>
        <v/>
      </c>
      <c r="AA267" s="542"/>
      <c r="AB267" s="542"/>
      <c r="AC267" s="542"/>
      <c r="AD267" s="542"/>
    </row>
    <row r="268" spans="3:30" ht="12.75" hidden="1" customHeight="1" outlineLevel="1" x14ac:dyDescent="0.2">
      <c r="L268" s="121"/>
      <c r="M268" s="121"/>
      <c r="N268" s="121"/>
      <c r="O268" s="121"/>
      <c r="P268" s="121"/>
      <c r="Q268" s="121"/>
    </row>
    <row r="269" spans="3:30" ht="12.75" hidden="1" customHeight="1" outlineLevel="1" x14ac:dyDescent="0.2">
      <c r="D269" s="260"/>
      <c r="F269" s="74">
        <f t="shared" ref="F269" si="446">G269-1</f>
        <v>2020</v>
      </c>
      <c r="G269" s="74">
        <f t="shared" ref="G269" si="447">H269-1</f>
        <v>2021</v>
      </c>
      <c r="H269" s="74">
        <f t="shared" ref="H269" si="448">I269-1</f>
        <v>2022</v>
      </c>
      <c r="I269" s="74">
        <f t="shared" ref="I269" si="449">J269-1</f>
        <v>2023</v>
      </c>
      <c r="J269" s="74">
        <f t="shared" ref="J269" si="450">K269-1</f>
        <v>2024</v>
      </c>
      <c r="K269" s="74">
        <f t="shared" ref="K269" si="451">L269-1</f>
        <v>2025</v>
      </c>
      <c r="L269" s="74">
        <f>FirstYear</f>
        <v>2026</v>
      </c>
      <c r="M269" s="74">
        <f>L269+1</f>
        <v>2027</v>
      </c>
      <c r="N269" s="74">
        <f>M269+1</f>
        <v>2028</v>
      </c>
      <c r="O269" s="74">
        <f>N269+1</f>
        <v>2029</v>
      </c>
      <c r="P269" s="74">
        <f>O269+1</f>
        <v>2030</v>
      </c>
      <c r="Q269" s="74">
        <f>P269+1</f>
        <v>2031</v>
      </c>
      <c r="S269" s="675" t="s">
        <v>1288</v>
      </c>
      <c r="T269" s="675"/>
      <c r="Z269" s="673" t="s">
        <v>1291</v>
      </c>
      <c r="AA269" s="673"/>
      <c r="AB269" s="673"/>
      <c r="AC269" s="210"/>
    </row>
    <row r="270" spans="3:30" ht="12.75" hidden="1" customHeight="1" outlineLevel="1" x14ac:dyDescent="0.2">
      <c r="C270" s="396">
        <v>12</v>
      </c>
      <c r="D270" s="674" t="s">
        <v>273</v>
      </c>
      <c r="E270" s="643"/>
      <c r="F270" s="395">
        <f>F254*VLOOKUP(C281,PRate01,3,FALSE)</f>
        <v>0</v>
      </c>
      <c r="G270" s="395">
        <f>G254*VLOOKUP(C280,PRate01,3,FALSE)</f>
        <v>0</v>
      </c>
      <c r="H270" s="395">
        <f>H254*VLOOKUP(C279,PRate01,3,FALSE)</f>
        <v>0</v>
      </c>
      <c r="I270" s="395">
        <f>I254*VLOOKUP(C278,PRate01,3,FALSE)</f>
        <v>0</v>
      </c>
      <c r="J270" s="395">
        <f>J254*VLOOKUP(C277,PRate01,3,FALSE)</f>
        <v>0</v>
      </c>
      <c r="K270" s="395">
        <f t="shared" ref="K270:K275" si="452">K254*VLOOKUP(C276,PRate01,3,FALSE)</f>
        <v>0</v>
      </c>
      <c r="L270" s="395">
        <f t="shared" ref="L270:L276" si="453">L254*VLOOKUP(C275,PRate01,3,FALSE)</f>
        <v>0</v>
      </c>
      <c r="M270" s="395">
        <f t="shared" ref="M270:M277" si="454">M254*VLOOKUP(C274,PRate01,3,FALSE)</f>
        <v>0</v>
      </c>
      <c r="N270" s="395">
        <f t="shared" ref="N270:N278" si="455">N254*VLOOKUP(C273,PRate01,3,FALSE)</f>
        <v>0</v>
      </c>
      <c r="O270" s="395">
        <f t="shared" ref="O270:O279" si="456">O254*VLOOKUP(C272,PRate01,3,FALSE)</f>
        <v>0</v>
      </c>
      <c r="P270" s="395">
        <f t="shared" ref="P270:P280" si="457">P254*VLOOKUP(C271,PRate01,3,FALSE)</f>
        <v>0</v>
      </c>
      <c r="Q270" s="395">
        <f t="shared" ref="Q270:Q281" si="458">Q254*VLOOKUP(C270,PRate01,3,FALSE)</f>
        <v>0</v>
      </c>
      <c r="S270" s="392" t="s">
        <v>992</v>
      </c>
      <c r="T270" s="393"/>
      <c r="X270" s="397"/>
      <c r="Y270" s="397"/>
      <c r="Z270" s="397"/>
      <c r="AA270" s="397"/>
    </row>
    <row r="271" spans="3:30" ht="12.75" hidden="1" customHeight="1" outlineLevel="1" x14ac:dyDescent="0.2">
      <c r="C271" s="396">
        <v>11</v>
      </c>
      <c r="D271" s="674" t="s">
        <v>274</v>
      </c>
      <c r="E271" s="643"/>
      <c r="F271" s="261"/>
      <c r="G271" s="395">
        <f>G255*VLOOKUP(C281,PRate01,3,FALSE)</f>
        <v>0</v>
      </c>
      <c r="H271" s="395">
        <f>H255*VLOOKUP(C280,PRate01,3,FALSE)</f>
        <v>0</v>
      </c>
      <c r="I271" s="395">
        <f>I255*VLOOKUP(C279,PRate01,3,FALSE)</f>
        <v>0</v>
      </c>
      <c r="J271" s="395">
        <f>J255*VLOOKUP(C278,PRate01,3,FALSE)</f>
        <v>0</v>
      </c>
      <c r="K271" s="395">
        <f t="shared" si="452"/>
        <v>0</v>
      </c>
      <c r="L271" s="395">
        <f t="shared" si="453"/>
        <v>0</v>
      </c>
      <c r="M271" s="395">
        <f t="shared" si="454"/>
        <v>0</v>
      </c>
      <c r="N271" s="395">
        <f t="shared" si="455"/>
        <v>0</v>
      </c>
      <c r="O271" s="395">
        <f t="shared" si="456"/>
        <v>0</v>
      </c>
      <c r="P271" s="395">
        <f t="shared" si="457"/>
        <v>0</v>
      </c>
      <c r="Q271" s="395">
        <f t="shared" si="458"/>
        <v>0</v>
      </c>
      <c r="S271" s="37" t="s">
        <v>993</v>
      </c>
      <c r="T271" s="210"/>
      <c r="X271" s="397"/>
      <c r="Y271" s="397"/>
      <c r="Z271" s="37" t="s">
        <v>249</v>
      </c>
      <c r="AA271" s="575"/>
      <c r="AB271" s="575"/>
      <c r="AC271" s="575"/>
      <c r="AD271" s="575"/>
    </row>
    <row r="272" spans="3:30" ht="12.75" hidden="1" customHeight="1" outlineLevel="1" x14ac:dyDescent="0.2">
      <c r="C272" s="396">
        <v>10</v>
      </c>
      <c r="D272" s="674" t="s">
        <v>275</v>
      </c>
      <c r="E272" s="643"/>
      <c r="F272" s="261"/>
      <c r="G272" s="261"/>
      <c r="H272" s="395">
        <f>H256*VLOOKUP(C281,PRate01,3,FALSE)</f>
        <v>0</v>
      </c>
      <c r="I272" s="395">
        <f>I256*VLOOKUP(C280,PRate01,3,FALSE)</f>
        <v>0</v>
      </c>
      <c r="J272" s="395">
        <f>J256*VLOOKUP(C279,PRate01,3,FALSE)</f>
        <v>0</v>
      </c>
      <c r="K272" s="395">
        <f t="shared" si="452"/>
        <v>0</v>
      </c>
      <c r="L272" s="395">
        <f t="shared" si="453"/>
        <v>0</v>
      </c>
      <c r="M272" s="395">
        <f t="shared" si="454"/>
        <v>0</v>
      </c>
      <c r="N272" s="395">
        <f t="shared" si="455"/>
        <v>0</v>
      </c>
      <c r="O272" s="395">
        <f t="shared" si="456"/>
        <v>0</v>
      </c>
      <c r="P272" s="395">
        <f t="shared" si="457"/>
        <v>0</v>
      </c>
      <c r="Q272" s="395">
        <f t="shared" si="458"/>
        <v>0</v>
      </c>
      <c r="S272" s="37" t="s">
        <v>994</v>
      </c>
      <c r="T272" s="210"/>
      <c r="X272" s="397"/>
      <c r="Y272" s="397"/>
      <c r="Z272" s="397"/>
      <c r="AA272" s="397"/>
    </row>
    <row r="273" spans="1:30" ht="12.75" hidden="1" customHeight="1" outlineLevel="1" x14ac:dyDescent="0.2">
      <c r="C273" s="396">
        <v>9</v>
      </c>
      <c r="D273" s="674" t="s">
        <v>276</v>
      </c>
      <c r="E273" s="643"/>
      <c r="F273" s="261"/>
      <c r="G273" s="261"/>
      <c r="H273" s="261"/>
      <c r="I273" s="395">
        <f>I257*VLOOKUP(C281,PRate01,3,FALSE)</f>
        <v>0</v>
      </c>
      <c r="J273" s="395">
        <f>J257*VLOOKUP(C280,PRate01,3,FALSE)</f>
        <v>0</v>
      </c>
      <c r="K273" s="395">
        <f t="shared" si="452"/>
        <v>0</v>
      </c>
      <c r="L273" s="395">
        <f t="shared" si="453"/>
        <v>0</v>
      </c>
      <c r="M273" s="395">
        <f t="shared" si="454"/>
        <v>0</v>
      </c>
      <c r="N273" s="395">
        <f t="shared" si="455"/>
        <v>0</v>
      </c>
      <c r="O273" s="395">
        <f t="shared" si="456"/>
        <v>0</v>
      </c>
      <c r="P273" s="395">
        <f t="shared" si="457"/>
        <v>0</v>
      </c>
      <c r="Q273" s="395">
        <f t="shared" si="458"/>
        <v>0</v>
      </c>
      <c r="S273" s="37" t="s">
        <v>995</v>
      </c>
      <c r="T273" s="210"/>
      <c r="X273" s="397"/>
      <c r="Y273" s="397"/>
      <c r="Z273" s="397"/>
      <c r="AA273" s="397"/>
    </row>
    <row r="274" spans="1:30" ht="12.75" hidden="1" customHeight="1" outlineLevel="1" x14ac:dyDescent="0.2">
      <c r="C274" s="396">
        <v>8</v>
      </c>
      <c r="D274" s="674" t="s">
        <v>277</v>
      </c>
      <c r="E274" s="643"/>
      <c r="F274" s="261"/>
      <c r="G274" s="261"/>
      <c r="H274" s="261"/>
      <c r="I274" s="261"/>
      <c r="J274" s="395">
        <f>J258*VLOOKUP(C281,PRate01,3,FALSE)</f>
        <v>0</v>
      </c>
      <c r="K274" s="395">
        <f t="shared" si="452"/>
        <v>0</v>
      </c>
      <c r="L274" s="395">
        <f t="shared" si="453"/>
        <v>0</v>
      </c>
      <c r="M274" s="395">
        <f t="shared" si="454"/>
        <v>0</v>
      </c>
      <c r="N274" s="395">
        <f t="shared" si="455"/>
        <v>0</v>
      </c>
      <c r="O274" s="395">
        <f t="shared" si="456"/>
        <v>0</v>
      </c>
      <c r="P274" s="395">
        <f t="shared" si="457"/>
        <v>0</v>
      </c>
      <c r="Q274" s="395">
        <f t="shared" si="458"/>
        <v>0</v>
      </c>
      <c r="S274" s="37" t="s">
        <v>996</v>
      </c>
      <c r="T274" s="210"/>
      <c r="X274" s="397"/>
      <c r="Y274" s="397"/>
      <c r="Z274" s="397"/>
      <c r="AA274" s="397"/>
    </row>
    <row r="275" spans="1:30" ht="12.75" hidden="1" customHeight="1" outlineLevel="1" x14ac:dyDescent="0.2">
      <c r="C275" s="396">
        <v>7</v>
      </c>
      <c r="D275" s="674" t="s">
        <v>278</v>
      </c>
      <c r="E275" s="643"/>
      <c r="F275" s="261"/>
      <c r="G275" s="261"/>
      <c r="H275" s="261"/>
      <c r="I275" s="261"/>
      <c r="J275" s="261"/>
      <c r="K275" s="395">
        <f t="shared" si="452"/>
        <v>0</v>
      </c>
      <c r="L275" s="395">
        <f t="shared" si="453"/>
        <v>0</v>
      </c>
      <c r="M275" s="395">
        <f t="shared" si="454"/>
        <v>0</v>
      </c>
      <c r="N275" s="395">
        <f t="shared" si="455"/>
        <v>0</v>
      </c>
      <c r="O275" s="395">
        <f t="shared" si="456"/>
        <v>0</v>
      </c>
      <c r="P275" s="395">
        <f t="shared" si="457"/>
        <v>0</v>
      </c>
      <c r="Q275" s="395">
        <f t="shared" si="458"/>
        <v>0</v>
      </c>
      <c r="S275" s="37" t="s">
        <v>997</v>
      </c>
      <c r="T275" s="210"/>
      <c r="X275" s="397"/>
      <c r="Y275" s="397"/>
      <c r="Z275" s="397"/>
      <c r="AA275" s="397"/>
    </row>
    <row r="276" spans="1:30" ht="12.75" hidden="1" customHeight="1" outlineLevel="1" x14ac:dyDescent="0.2">
      <c r="C276" s="396">
        <v>6</v>
      </c>
      <c r="D276" s="674" t="s">
        <v>464</v>
      </c>
      <c r="E276" s="643"/>
      <c r="F276" s="261"/>
      <c r="G276" s="261"/>
      <c r="H276" s="261"/>
      <c r="I276" s="261"/>
      <c r="J276" s="261"/>
      <c r="K276" s="261"/>
      <c r="L276" s="395">
        <f t="shared" si="453"/>
        <v>0</v>
      </c>
      <c r="M276" s="395">
        <f t="shared" si="454"/>
        <v>0</v>
      </c>
      <c r="N276" s="395">
        <f t="shared" si="455"/>
        <v>0</v>
      </c>
      <c r="O276" s="395">
        <f t="shared" si="456"/>
        <v>0</v>
      </c>
      <c r="P276" s="395">
        <f t="shared" si="457"/>
        <v>0</v>
      </c>
      <c r="Q276" s="395">
        <f t="shared" si="458"/>
        <v>0</v>
      </c>
      <c r="S276" s="37" t="s">
        <v>998</v>
      </c>
      <c r="T276" s="210"/>
      <c r="X276" s="397"/>
      <c r="Y276" s="397"/>
      <c r="Z276" s="397"/>
      <c r="AA276" s="397"/>
    </row>
    <row r="277" spans="1:30" ht="12.75" hidden="1" customHeight="1" outlineLevel="1" x14ac:dyDescent="0.2">
      <c r="C277" s="396">
        <v>5</v>
      </c>
      <c r="D277" s="674" t="s">
        <v>465</v>
      </c>
      <c r="E277" s="643"/>
      <c r="F277" s="261"/>
      <c r="G277" s="261"/>
      <c r="H277" s="261"/>
      <c r="I277" s="261"/>
      <c r="J277" s="261"/>
      <c r="K277" s="261"/>
      <c r="L277" s="261"/>
      <c r="M277" s="395">
        <f t="shared" si="454"/>
        <v>0</v>
      </c>
      <c r="N277" s="395">
        <f t="shared" si="455"/>
        <v>0</v>
      </c>
      <c r="O277" s="395">
        <f t="shared" si="456"/>
        <v>0</v>
      </c>
      <c r="P277" s="395">
        <f t="shared" si="457"/>
        <v>0</v>
      </c>
      <c r="Q277" s="395">
        <f t="shared" si="458"/>
        <v>0</v>
      </c>
      <c r="S277" s="37" t="s">
        <v>999</v>
      </c>
      <c r="T277" s="210"/>
      <c r="X277" s="397"/>
      <c r="Y277" s="397"/>
      <c r="Z277" s="397"/>
      <c r="AA277" s="397"/>
    </row>
    <row r="278" spans="1:30" ht="12.75" hidden="1" customHeight="1" outlineLevel="1" x14ac:dyDescent="0.2">
      <c r="C278" s="396">
        <v>4</v>
      </c>
      <c r="D278" s="674" t="s">
        <v>466</v>
      </c>
      <c r="E278" s="643"/>
      <c r="F278" s="261"/>
      <c r="G278" s="261"/>
      <c r="H278" s="261"/>
      <c r="I278" s="261"/>
      <c r="J278" s="261"/>
      <c r="K278" s="261"/>
      <c r="L278" s="261"/>
      <c r="M278" s="261"/>
      <c r="N278" s="395">
        <f t="shared" si="455"/>
        <v>0</v>
      </c>
      <c r="O278" s="395">
        <f t="shared" si="456"/>
        <v>0</v>
      </c>
      <c r="P278" s="395">
        <f t="shared" si="457"/>
        <v>0</v>
      </c>
      <c r="Q278" s="395">
        <f t="shared" si="458"/>
        <v>0</v>
      </c>
      <c r="S278" s="37" t="s">
        <v>1000</v>
      </c>
      <c r="T278" s="210"/>
      <c r="X278" s="397"/>
      <c r="Y278" s="397"/>
      <c r="Z278" s="397"/>
      <c r="AA278" s="397"/>
    </row>
    <row r="279" spans="1:30" ht="12.75" hidden="1" customHeight="1" outlineLevel="1" x14ac:dyDescent="0.2">
      <c r="C279" s="396">
        <v>3</v>
      </c>
      <c r="D279" s="674" t="s">
        <v>467</v>
      </c>
      <c r="E279" s="643"/>
      <c r="F279" s="261"/>
      <c r="G279" s="261"/>
      <c r="H279" s="261"/>
      <c r="I279" s="261"/>
      <c r="J279" s="261"/>
      <c r="K279" s="261"/>
      <c r="L279" s="261"/>
      <c r="M279" s="261"/>
      <c r="N279" s="261"/>
      <c r="O279" s="395">
        <f t="shared" si="456"/>
        <v>0</v>
      </c>
      <c r="P279" s="395">
        <f t="shared" si="457"/>
        <v>0</v>
      </c>
      <c r="Q279" s="395">
        <f t="shared" si="458"/>
        <v>0</v>
      </c>
      <c r="S279" s="37" t="s">
        <v>1001</v>
      </c>
      <c r="T279" s="210"/>
      <c r="X279" s="397"/>
      <c r="Y279" s="397"/>
      <c r="Z279" s="397"/>
      <c r="AA279" s="397"/>
    </row>
    <row r="280" spans="1:30" ht="12.75" hidden="1" customHeight="1" outlineLevel="1" x14ac:dyDescent="0.2">
      <c r="C280" s="396">
        <v>2</v>
      </c>
      <c r="D280" s="674" t="s">
        <v>468</v>
      </c>
      <c r="E280" s="643"/>
      <c r="F280" s="261"/>
      <c r="G280" s="261"/>
      <c r="H280" s="261"/>
      <c r="I280" s="261"/>
      <c r="J280" s="261"/>
      <c r="K280" s="261"/>
      <c r="L280" s="261"/>
      <c r="M280" s="261"/>
      <c r="N280" s="261"/>
      <c r="O280" s="391"/>
      <c r="P280" s="395">
        <f t="shared" si="457"/>
        <v>0</v>
      </c>
      <c r="Q280" s="395">
        <f t="shared" si="458"/>
        <v>0</v>
      </c>
      <c r="S280" s="37" t="s">
        <v>1002</v>
      </c>
      <c r="T280" s="210"/>
      <c r="X280" s="397"/>
      <c r="Y280" s="397"/>
      <c r="Z280" s="397"/>
      <c r="AA280" s="397"/>
    </row>
    <row r="281" spans="1:30" ht="12.75" hidden="1" customHeight="1" outlineLevel="1" x14ac:dyDescent="0.2">
      <c r="C281" s="396">
        <v>1</v>
      </c>
      <c r="D281" s="674" t="s">
        <v>469</v>
      </c>
      <c r="E281" s="643"/>
      <c r="F281" s="261"/>
      <c r="G281" s="261"/>
      <c r="H281" s="261"/>
      <c r="I281" s="261"/>
      <c r="J281" s="261"/>
      <c r="K281" s="261"/>
      <c r="L281" s="261"/>
      <c r="M281" s="261"/>
      <c r="N281" s="261"/>
      <c r="O281" s="391"/>
      <c r="P281" s="391"/>
      <c r="Q281" s="395">
        <f t="shared" si="458"/>
        <v>0</v>
      </c>
      <c r="S281" s="37" t="s">
        <v>1022</v>
      </c>
      <c r="T281" s="210"/>
    </row>
    <row r="282" spans="1:30" ht="12.75" hidden="1" customHeight="1" outlineLevel="1" x14ac:dyDescent="0.2">
      <c r="K282" s="258" t="s">
        <v>73</v>
      </c>
      <c r="L282" s="263">
        <f>IFERROR((SUM(L270:L275)+IF(MATCH($AC$282,Switch,0)=1,L276,0)),0)</f>
        <v>0</v>
      </c>
      <c r="M282" s="263">
        <f>IFERROR((SUM(M270:M276)+IF(MATCH($AC$282,Switch,0)=1,M277,0)),0)</f>
        <v>0</v>
      </c>
      <c r="N282" s="263">
        <f>IFERROR((SUM(N270:N277)+IF(MATCH($AC$282,Switch,0)=1,N278,0)),0)</f>
        <v>0</v>
      </c>
      <c r="O282" s="263">
        <f>IFERROR((SUM(O270:O278)+IF(MATCH($AC$282,Switch,0)=1,O279,0)),0)</f>
        <v>0</v>
      </c>
      <c r="P282" s="263">
        <f>IFERROR((SUM(P270:P279)+IF(MATCH($AC$282,Switch,0)=1,P280,0)),0)</f>
        <v>0</v>
      </c>
      <c r="Q282" s="263">
        <f>IFERROR((SUM(Q270:Q280)+IF(MATCH($AC$282,Switch,0)=1,Q281,0)),0)</f>
        <v>0</v>
      </c>
      <c r="Z282" s="670" t="s">
        <v>1289</v>
      </c>
      <c r="AA282" s="671"/>
      <c r="AB282" s="672"/>
      <c r="AC282" s="227" t="s">
        <v>9</v>
      </c>
    </row>
    <row r="283" spans="1:30" ht="12.75" hidden="1" customHeight="1" outlineLevel="1" x14ac:dyDescent="0.2"/>
    <row r="284" spans="1:30" ht="12.75" customHeight="1" collapsed="1" x14ac:dyDescent="0.2"/>
    <row r="285" spans="1:30" ht="15.75" x14ac:dyDescent="0.2">
      <c r="A285" s="172"/>
      <c r="B285" s="209">
        <f>IF(G287&lt;&gt;"",1,0)</f>
        <v>0</v>
      </c>
      <c r="C285" s="209">
        <v>8</v>
      </c>
      <c r="D285" s="72" t="str">
        <f>IF(B285=0,MsgNotUsed, CONCATENATE("Persistent ", C285, ": ", G287, " (", F291, "-", Q291, ")"))</f>
        <v>** NOT USED **</v>
      </c>
      <c r="E285" s="113"/>
      <c r="F285" s="113"/>
      <c r="G285" s="113"/>
      <c r="H285" s="113"/>
      <c r="I285" s="113"/>
      <c r="J285" s="154"/>
      <c r="K285" s="113"/>
      <c r="L285" s="113"/>
      <c r="M285" s="113"/>
      <c r="N285" s="224"/>
      <c r="O285" s="224"/>
      <c r="P285" s="224"/>
      <c r="Q285" s="224"/>
      <c r="R285" s="224"/>
      <c r="S285" s="224"/>
      <c r="T285" s="224"/>
      <c r="U285" s="224"/>
      <c r="V285" s="224"/>
      <c r="W285" s="224"/>
      <c r="X285" s="224"/>
      <c r="Y285" s="224"/>
      <c r="Z285" s="224"/>
      <c r="AA285" s="224"/>
      <c r="AB285" s="224"/>
      <c r="AC285" s="224"/>
      <c r="AD285" s="224"/>
    </row>
    <row r="286" spans="1:30" ht="12.75" hidden="1" customHeight="1" outlineLevel="1" x14ac:dyDescent="0.2"/>
    <row r="287" spans="1:30" ht="12.75" hidden="1" customHeight="1" outlineLevel="1" x14ac:dyDescent="0.2">
      <c r="F287" s="37" t="s">
        <v>470</v>
      </c>
      <c r="G287" s="669"/>
      <c r="H287" s="642"/>
      <c r="I287" s="642"/>
      <c r="J287" s="642"/>
      <c r="K287" s="642"/>
      <c r="L287" s="643"/>
    </row>
    <row r="288" spans="1:30" ht="12.75" hidden="1" customHeight="1" outlineLevel="1" x14ac:dyDescent="0.2"/>
    <row r="289" spans="4:30" ht="12.75" hidden="1" customHeight="1" outlineLevel="1" x14ac:dyDescent="0.2">
      <c r="F289" s="37" t="s">
        <v>249</v>
      </c>
      <c r="G289" s="669"/>
      <c r="H289" s="642"/>
      <c r="I289" s="642"/>
      <c r="J289" s="642"/>
      <c r="K289" s="642"/>
      <c r="L289" s="643"/>
      <c r="Z289" s="542" t="str">
        <f>IF(AC291&lt;&gt;"",MsgNote &amp; VLOOKUP("PRate",WarningMessages,2),"")</f>
        <v/>
      </c>
      <c r="AA289" s="542"/>
      <c r="AB289" s="542"/>
      <c r="AC289" s="542"/>
      <c r="AD289" s="542"/>
    </row>
    <row r="290" spans="4:30" ht="12.75" hidden="1" customHeight="1" outlineLevel="1" x14ac:dyDescent="0.2">
      <c r="G290" s="400">
        <v>1</v>
      </c>
      <c r="H290" s="400">
        <v>2</v>
      </c>
      <c r="I290" s="400">
        <v>3</v>
      </c>
      <c r="J290" s="400">
        <v>4</v>
      </c>
      <c r="K290" s="400">
        <v>5</v>
      </c>
      <c r="L290" s="400">
        <v>6</v>
      </c>
      <c r="M290" s="400">
        <v>7</v>
      </c>
      <c r="N290" s="400">
        <v>8</v>
      </c>
      <c r="O290" s="400">
        <v>9</v>
      </c>
      <c r="P290" s="400">
        <v>10</v>
      </c>
      <c r="Q290" s="400">
        <v>11</v>
      </c>
    </row>
    <row r="291" spans="4:30" ht="12.75" hidden="1" customHeight="1" outlineLevel="1" x14ac:dyDescent="0.2">
      <c r="D291" s="260"/>
      <c r="E291" s="74" t="s">
        <v>1052</v>
      </c>
      <c r="F291" s="74">
        <f t="shared" ref="F291" si="459">G291-1</f>
        <v>2020</v>
      </c>
      <c r="G291" s="74">
        <f t="shared" ref="G291" si="460">H291-1</f>
        <v>2021</v>
      </c>
      <c r="H291" s="74">
        <f t="shared" ref="H291" si="461">I291-1</f>
        <v>2022</v>
      </c>
      <c r="I291" s="74">
        <f t="shared" ref="I291" si="462">J291-1</f>
        <v>2023</v>
      </c>
      <c r="J291" s="74">
        <f t="shared" ref="J291" si="463">K291-1</f>
        <v>2024</v>
      </c>
      <c r="K291" s="74">
        <f t="shared" ref="K291" si="464">L291-1</f>
        <v>2025</v>
      </c>
      <c r="L291" s="74">
        <f>FirstYear</f>
        <v>2026</v>
      </c>
      <c r="M291" s="74">
        <f>L291+1</f>
        <v>2027</v>
      </c>
      <c r="N291" s="74">
        <f>M291+1</f>
        <v>2028</v>
      </c>
      <c r="O291" s="74">
        <f>N291+1</f>
        <v>2029</v>
      </c>
      <c r="P291" s="74">
        <f>O291+1</f>
        <v>2030</v>
      </c>
      <c r="Q291" s="74">
        <f>P291+1</f>
        <v>2031</v>
      </c>
      <c r="S291" s="675" t="s">
        <v>1287</v>
      </c>
      <c r="T291" s="675"/>
      <c r="Z291" s="673" t="s">
        <v>1290</v>
      </c>
      <c r="AA291" s="673"/>
      <c r="AB291" s="673"/>
      <c r="AC291" s="210"/>
    </row>
    <row r="292" spans="4:30" ht="12.75" hidden="1" customHeight="1" outlineLevel="1" x14ac:dyDescent="0.2">
      <c r="D292" s="37" t="s">
        <v>273</v>
      </c>
      <c r="E292" s="262"/>
      <c r="F292" s="264">
        <f>E292</f>
        <v>0</v>
      </c>
      <c r="G292" s="264">
        <f t="shared" ref="G292" si="465">F292*VLOOKUP(G290,PRate01,2,FALSE)</f>
        <v>0</v>
      </c>
      <c r="H292" s="264">
        <f t="shared" ref="H292" si="466">G292*VLOOKUP(H290,PRate01,2,FALSE)</f>
        <v>0</v>
      </c>
      <c r="I292" s="264">
        <f t="shared" ref="I292" si="467">H292*VLOOKUP(I290,PRate01,2,FALSE)</f>
        <v>0</v>
      </c>
      <c r="J292" s="264">
        <f t="shared" ref="J292" si="468">I292*VLOOKUP(J290,PRate01,2,FALSE)</f>
        <v>0</v>
      </c>
      <c r="K292" s="264">
        <f t="shared" ref="K292" si="469">J292*VLOOKUP(K290,PRate01,2,FALSE)</f>
        <v>0</v>
      </c>
      <c r="L292" s="264">
        <f t="shared" ref="L292" si="470">K292*VLOOKUP(L290,PRate01,2,FALSE)</f>
        <v>0</v>
      </c>
      <c r="M292" s="264">
        <f t="shared" ref="M292" si="471">L292*VLOOKUP(M290,PRate01,2,FALSE)</f>
        <v>0</v>
      </c>
      <c r="N292" s="264">
        <f t="shared" ref="N292" si="472">M292*VLOOKUP(N290,PRate01,2,FALSE)</f>
        <v>0</v>
      </c>
      <c r="O292" s="264">
        <f t="shared" ref="O292" si="473">N292*VLOOKUP(O290,PRate01,2,FALSE)</f>
        <v>0</v>
      </c>
      <c r="P292" s="264">
        <f t="shared" ref="P292" si="474">O292*VLOOKUP(P290,PRate01,2,FALSE)</f>
        <v>0</v>
      </c>
      <c r="Q292" s="264">
        <f t="shared" ref="Q292" si="475">P292*VLOOKUP(Q290,PRate01,2,FALSE)</f>
        <v>0</v>
      </c>
      <c r="S292" s="392" t="s">
        <v>992</v>
      </c>
      <c r="T292" s="393"/>
      <c r="V292" s="398">
        <v>1</v>
      </c>
      <c r="W292" s="394">
        <f>IF($AC$291&lt;&gt;"",$AC$291,T292)</f>
        <v>0</v>
      </c>
      <c r="X292" s="394">
        <f>IF($AC$307&lt;&gt;"",$AC$307,T308)</f>
        <v>0</v>
      </c>
      <c r="Y292" s="397"/>
      <c r="Z292" s="397"/>
      <c r="AA292" s="397"/>
    </row>
    <row r="293" spans="4:30" ht="12.75" hidden="1" customHeight="1" outlineLevel="1" x14ac:dyDescent="0.2">
      <c r="D293" s="37" t="s">
        <v>274</v>
      </c>
      <c r="E293" s="262"/>
      <c r="F293" s="261"/>
      <c r="G293" s="264">
        <f>E293</f>
        <v>0</v>
      </c>
      <c r="H293" s="264">
        <f t="shared" ref="H293" si="476">G293*VLOOKUP(G290,PRate01,2,FALSE)</f>
        <v>0</v>
      </c>
      <c r="I293" s="264">
        <f t="shared" ref="I293" si="477">H293*VLOOKUP(H290,PRate01,2,FALSE)</f>
        <v>0</v>
      </c>
      <c r="J293" s="264">
        <f t="shared" ref="J293" si="478">I293*VLOOKUP(I290,PRate01,2,FALSE)</f>
        <v>0</v>
      </c>
      <c r="K293" s="264">
        <f t="shared" ref="K293" si="479">J293*VLOOKUP(J290,PRate01,2,FALSE)</f>
        <v>0</v>
      </c>
      <c r="L293" s="264">
        <f t="shared" ref="L293" si="480">K293*VLOOKUP(K290,PRate01,2,FALSE)</f>
        <v>0</v>
      </c>
      <c r="M293" s="264">
        <f t="shared" ref="M293" si="481">L293*VLOOKUP(L290,PRate01,2,FALSE)</f>
        <v>0</v>
      </c>
      <c r="N293" s="264">
        <f t="shared" ref="N293" si="482">M293*VLOOKUP(M290,PRate01,2,FALSE)</f>
        <v>0</v>
      </c>
      <c r="O293" s="264">
        <f t="shared" ref="O293" si="483">N293*VLOOKUP(N290,PRate01,2,FALSE)</f>
        <v>0</v>
      </c>
      <c r="P293" s="264">
        <f t="shared" ref="P293" si="484">O293*VLOOKUP(O290,PRate01,2,FALSE)</f>
        <v>0</v>
      </c>
      <c r="Q293" s="264">
        <f t="shared" ref="Q293" si="485">P293*VLOOKUP(P290,PRate01,2,FALSE)</f>
        <v>0</v>
      </c>
      <c r="S293" s="37" t="s">
        <v>993</v>
      </c>
      <c r="T293" s="210"/>
      <c r="V293" s="398">
        <v>2</v>
      </c>
      <c r="W293" s="394">
        <f t="shared" ref="W293:W302" si="486">IF($AC$291&lt;&gt;"",$AC$291,T293)</f>
        <v>0</v>
      </c>
      <c r="X293" s="394">
        <f t="shared" ref="X293:X303" si="487">IF($AC$307&lt;&gt;"",$AC$307,T309)</f>
        <v>0</v>
      </c>
      <c r="Z293" s="37" t="s">
        <v>249</v>
      </c>
      <c r="AA293" s="575"/>
      <c r="AB293" s="575"/>
      <c r="AC293" s="575"/>
      <c r="AD293" s="575"/>
    </row>
    <row r="294" spans="4:30" ht="12.75" hidden="1" customHeight="1" outlineLevel="1" x14ac:dyDescent="0.2">
      <c r="D294" s="37" t="s">
        <v>275</v>
      </c>
      <c r="E294" s="262"/>
      <c r="F294" s="261"/>
      <c r="G294" s="261"/>
      <c r="H294" s="264">
        <f>E294</f>
        <v>0</v>
      </c>
      <c r="I294" s="264">
        <f t="shared" ref="I294" si="488">H294*VLOOKUP(G290,PRate01,2,FALSE)</f>
        <v>0</v>
      </c>
      <c r="J294" s="264">
        <f t="shared" ref="J294" si="489">I294*VLOOKUP(H290,PRate01,2,FALSE)</f>
        <v>0</v>
      </c>
      <c r="K294" s="264">
        <f t="shared" ref="K294" si="490">J294*VLOOKUP(I290,PRate01,2,FALSE)</f>
        <v>0</v>
      </c>
      <c r="L294" s="264">
        <f t="shared" ref="L294" si="491">K294*VLOOKUP(J290,PRate01,2,FALSE)</f>
        <v>0</v>
      </c>
      <c r="M294" s="264">
        <f t="shared" ref="M294" si="492">L294*VLOOKUP(K290,PRate01,2,FALSE)</f>
        <v>0</v>
      </c>
      <c r="N294" s="264">
        <f t="shared" ref="N294" si="493">M294*VLOOKUP(L290,PRate01,2,FALSE)</f>
        <v>0</v>
      </c>
      <c r="O294" s="264">
        <f t="shared" ref="O294" si="494">N294*VLOOKUP(M290,PRate01,2,FALSE)</f>
        <v>0</v>
      </c>
      <c r="P294" s="264">
        <f t="shared" ref="P294" si="495">O294*VLOOKUP(N290,PRate01,2,FALSE)</f>
        <v>0</v>
      </c>
      <c r="Q294" s="264">
        <f t="shared" ref="Q294" si="496">P294*VLOOKUP(O290,PRate01,2,FALSE)</f>
        <v>0</v>
      </c>
      <c r="S294" s="37" t="s">
        <v>994</v>
      </c>
      <c r="T294" s="210"/>
      <c r="V294" s="398">
        <v>3</v>
      </c>
      <c r="W294" s="394">
        <f t="shared" si="486"/>
        <v>0</v>
      </c>
      <c r="X294" s="394">
        <f t="shared" si="487"/>
        <v>0</v>
      </c>
      <c r="Y294" s="397"/>
      <c r="Z294" s="397"/>
      <c r="AA294" s="397"/>
    </row>
    <row r="295" spans="4:30" ht="12.75" hidden="1" customHeight="1" outlineLevel="1" x14ac:dyDescent="0.2">
      <c r="D295" s="37" t="s">
        <v>276</v>
      </c>
      <c r="E295" s="262"/>
      <c r="F295" s="261"/>
      <c r="G295" s="261"/>
      <c r="H295" s="261"/>
      <c r="I295" s="264">
        <f>E295</f>
        <v>0</v>
      </c>
      <c r="J295" s="264">
        <f t="shared" ref="J295" si="497">I295*VLOOKUP(G290,PRate01,2,FALSE)</f>
        <v>0</v>
      </c>
      <c r="K295" s="264">
        <f t="shared" ref="K295" si="498">J295*VLOOKUP(H290,PRate01,2,FALSE)</f>
        <v>0</v>
      </c>
      <c r="L295" s="264">
        <f t="shared" ref="L295" si="499">K295*VLOOKUP(I290,PRate01,2,FALSE)</f>
        <v>0</v>
      </c>
      <c r="M295" s="264">
        <f t="shared" ref="M295" si="500">L295*VLOOKUP(J290,PRate01,2,FALSE)</f>
        <v>0</v>
      </c>
      <c r="N295" s="264">
        <f t="shared" ref="N295" si="501">M295*VLOOKUP(K290,PRate01,2,FALSE)</f>
        <v>0</v>
      </c>
      <c r="O295" s="264">
        <f t="shared" ref="O295" si="502">N295*VLOOKUP(L290,PRate01,2,FALSE)</f>
        <v>0</v>
      </c>
      <c r="P295" s="264">
        <f t="shared" ref="P295" si="503">O295*VLOOKUP(M290,PRate01,2,FALSE)</f>
        <v>0</v>
      </c>
      <c r="Q295" s="264">
        <f t="shared" ref="Q295" si="504">P295*VLOOKUP(N290,PRate01,2,FALSE)</f>
        <v>0</v>
      </c>
      <c r="S295" s="37" t="s">
        <v>995</v>
      </c>
      <c r="T295" s="210"/>
      <c r="V295" s="398">
        <v>4</v>
      </c>
      <c r="W295" s="394">
        <f t="shared" si="486"/>
        <v>0</v>
      </c>
      <c r="X295" s="394">
        <f t="shared" si="487"/>
        <v>0</v>
      </c>
      <c r="Y295" s="397"/>
      <c r="Z295" s="397"/>
      <c r="AA295" s="397"/>
    </row>
    <row r="296" spans="4:30" ht="12.75" hidden="1" customHeight="1" outlineLevel="1" x14ac:dyDescent="0.2">
      <c r="D296" s="37" t="s">
        <v>277</v>
      </c>
      <c r="E296" s="262"/>
      <c r="F296" s="261"/>
      <c r="G296" s="261"/>
      <c r="H296" s="261"/>
      <c r="I296" s="261"/>
      <c r="J296" s="264">
        <f>E296</f>
        <v>0</v>
      </c>
      <c r="K296" s="264">
        <f t="shared" ref="K296" si="505">J296*VLOOKUP(G290,PRate01,2,FALSE)</f>
        <v>0</v>
      </c>
      <c r="L296" s="264">
        <f t="shared" ref="L296" si="506">K296*VLOOKUP(H290,PRate01,2,FALSE)</f>
        <v>0</v>
      </c>
      <c r="M296" s="264">
        <f t="shared" ref="M296" si="507">L296*VLOOKUP(I290,PRate01,2,FALSE)</f>
        <v>0</v>
      </c>
      <c r="N296" s="264">
        <f t="shared" ref="N296" si="508">M296*VLOOKUP(J290,PRate01,2,FALSE)</f>
        <v>0</v>
      </c>
      <c r="O296" s="264">
        <f t="shared" ref="O296" si="509">N296*VLOOKUP(K290,PRate01,2,FALSE)</f>
        <v>0</v>
      </c>
      <c r="P296" s="264">
        <f t="shared" ref="P296" si="510">O296*VLOOKUP(L290,PRate01,2,FALSE)</f>
        <v>0</v>
      </c>
      <c r="Q296" s="264">
        <f t="shared" ref="Q296" si="511">P296*VLOOKUP(M290,PRate01,2,FALSE)</f>
        <v>0</v>
      </c>
      <c r="S296" s="37" t="s">
        <v>996</v>
      </c>
      <c r="T296" s="210"/>
      <c r="V296" s="398">
        <v>5</v>
      </c>
      <c r="W296" s="394">
        <f t="shared" si="486"/>
        <v>0</v>
      </c>
      <c r="X296" s="394">
        <f t="shared" si="487"/>
        <v>0</v>
      </c>
      <c r="Y296" s="397"/>
      <c r="Z296" s="397"/>
      <c r="AA296" s="397"/>
    </row>
    <row r="297" spans="4:30" ht="12.75" hidden="1" customHeight="1" outlineLevel="1" x14ac:dyDescent="0.2">
      <c r="D297" s="37" t="s">
        <v>278</v>
      </c>
      <c r="E297" s="262"/>
      <c r="F297" s="261"/>
      <c r="G297" s="261"/>
      <c r="H297" s="261"/>
      <c r="I297" s="261"/>
      <c r="J297" s="261"/>
      <c r="K297" s="264">
        <f>E297</f>
        <v>0</v>
      </c>
      <c r="L297" s="264">
        <f t="shared" ref="L297" si="512">K297*VLOOKUP(G290,PRate01,2,FALSE)</f>
        <v>0</v>
      </c>
      <c r="M297" s="264">
        <f t="shared" ref="M297" si="513">L297*VLOOKUP(H290,PRate01,2,FALSE)</f>
        <v>0</v>
      </c>
      <c r="N297" s="264">
        <f t="shared" ref="N297" si="514">M297*VLOOKUP(I290,PRate01,2,FALSE)</f>
        <v>0</v>
      </c>
      <c r="O297" s="264">
        <f t="shared" ref="O297" si="515">N297*VLOOKUP(J290,PRate01,2,FALSE)</f>
        <v>0</v>
      </c>
      <c r="P297" s="264">
        <f t="shared" ref="P297" si="516">O297*VLOOKUP(K290,PRate01,2,FALSE)</f>
        <v>0</v>
      </c>
      <c r="Q297" s="264">
        <f t="shared" ref="Q297" si="517">P297*VLOOKUP(L290,PRate01,2,FALSE)</f>
        <v>0</v>
      </c>
      <c r="S297" s="37" t="s">
        <v>997</v>
      </c>
      <c r="T297" s="210"/>
      <c r="V297" s="398">
        <v>6</v>
      </c>
      <c r="W297" s="394">
        <f t="shared" si="486"/>
        <v>0</v>
      </c>
      <c r="X297" s="394">
        <f t="shared" si="487"/>
        <v>0</v>
      </c>
      <c r="Y297" s="397"/>
      <c r="Z297" s="397"/>
      <c r="AA297" s="397"/>
    </row>
    <row r="298" spans="4:30" ht="12.75" hidden="1" customHeight="1" outlineLevel="1" x14ac:dyDescent="0.2">
      <c r="D298" s="37" t="s">
        <v>464</v>
      </c>
      <c r="E298" s="262"/>
      <c r="F298" s="261"/>
      <c r="G298" s="261"/>
      <c r="H298" s="261"/>
      <c r="I298" s="261"/>
      <c r="J298" s="261"/>
      <c r="K298" s="261"/>
      <c r="L298" s="264">
        <f>E298</f>
        <v>0</v>
      </c>
      <c r="M298" s="264">
        <f>L298*VLOOKUP(G290,PRate01,2,FALSE)</f>
        <v>0</v>
      </c>
      <c r="N298" s="264">
        <f>M298*VLOOKUP(H290,PRate01,2,FALSE)</f>
        <v>0</v>
      </c>
      <c r="O298" s="264">
        <f>N298*VLOOKUP(I290,PRate01,2,FALSE)</f>
        <v>0</v>
      </c>
      <c r="P298" s="264">
        <f>O298*VLOOKUP(J290,PRate01,2,FALSE)</f>
        <v>0</v>
      </c>
      <c r="Q298" s="264">
        <f>P298*VLOOKUP(K290,PRate01,2,FALSE)</f>
        <v>0</v>
      </c>
      <c r="S298" s="37" t="s">
        <v>998</v>
      </c>
      <c r="T298" s="210"/>
      <c r="V298" s="398">
        <v>7</v>
      </c>
      <c r="W298" s="394">
        <f t="shared" si="486"/>
        <v>0</v>
      </c>
      <c r="X298" s="394">
        <f t="shared" si="487"/>
        <v>0</v>
      </c>
      <c r="Y298" s="397"/>
      <c r="Z298" s="397"/>
      <c r="AA298" s="397"/>
    </row>
    <row r="299" spans="4:30" ht="12.75" hidden="1" customHeight="1" outlineLevel="1" x14ac:dyDescent="0.2">
      <c r="D299" s="37" t="s">
        <v>465</v>
      </c>
      <c r="E299" s="262"/>
      <c r="F299" s="261"/>
      <c r="G299" s="261"/>
      <c r="H299" s="261"/>
      <c r="I299" s="261"/>
      <c r="J299" s="261"/>
      <c r="K299" s="261"/>
      <c r="L299" s="261"/>
      <c r="M299" s="264">
        <f>E299</f>
        <v>0</v>
      </c>
      <c r="N299" s="264">
        <f>M299*VLOOKUP(G290,PRate01,2,FALSE)</f>
        <v>0</v>
      </c>
      <c r="O299" s="264">
        <f>N299*VLOOKUP(H290,PRate01,2,FALSE)</f>
        <v>0</v>
      </c>
      <c r="P299" s="264">
        <f>O299*VLOOKUP(I290,PRate01,2,FALSE)</f>
        <v>0</v>
      </c>
      <c r="Q299" s="264">
        <f>P299*VLOOKUP(J290,PRate01,2,FALSE)</f>
        <v>0</v>
      </c>
      <c r="S299" s="37" t="s">
        <v>999</v>
      </c>
      <c r="T299" s="210"/>
      <c r="V299" s="398">
        <v>8</v>
      </c>
      <c r="W299" s="394">
        <f t="shared" si="486"/>
        <v>0</v>
      </c>
      <c r="X299" s="394">
        <f t="shared" si="487"/>
        <v>0</v>
      </c>
      <c r="Y299" s="397"/>
      <c r="Z299" s="397"/>
      <c r="AA299" s="397"/>
    </row>
    <row r="300" spans="4:30" ht="12.75" hidden="1" customHeight="1" outlineLevel="1" x14ac:dyDescent="0.2">
      <c r="D300" s="37" t="s">
        <v>466</v>
      </c>
      <c r="E300" s="262"/>
      <c r="F300" s="261"/>
      <c r="G300" s="261"/>
      <c r="H300" s="261"/>
      <c r="I300" s="261"/>
      <c r="J300" s="261"/>
      <c r="K300" s="261"/>
      <c r="L300" s="261"/>
      <c r="M300" s="261"/>
      <c r="N300" s="264">
        <f>E300</f>
        <v>0</v>
      </c>
      <c r="O300" s="264">
        <f>N300*VLOOKUP(G290,PRate01,2,FALSE)</f>
        <v>0</v>
      </c>
      <c r="P300" s="264">
        <f>O300*VLOOKUP(H290,PRate01,2,FALSE)</f>
        <v>0</v>
      </c>
      <c r="Q300" s="264">
        <f>P300*VLOOKUP(I290,PRate01,2,FALSE)</f>
        <v>0</v>
      </c>
      <c r="S300" s="37" t="s">
        <v>1000</v>
      </c>
      <c r="T300" s="210"/>
      <c r="V300" s="398">
        <v>9</v>
      </c>
      <c r="W300" s="394">
        <f t="shared" si="486"/>
        <v>0</v>
      </c>
      <c r="X300" s="394">
        <f t="shared" si="487"/>
        <v>0</v>
      </c>
      <c r="Y300" s="397"/>
      <c r="Z300" s="397"/>
      <c r="AA300" s="397"/>
    </row>
    <row r="301" spans="4:30" ht="12.75" hidden="1" customHeight="1" outlineLevel="1" x14ac:dyDescent="0.2">
      <c r="D301" s="37" t="s">
        <v>467</v>
      </c>
      <c r="E301" s="262"/>
      <c r="F301" s="261"/>
      <c r="G301" s="261"/>
      <c r="H301" s="261"/>
      <c r="I301" s="261"/>
      <c r="J301" s="261"/>
      <c r="K301" s="261"/>
      <c r="L301" s="261"/>
      <c r="M301" s="261"/>
      <c r="N301" s="261"/>
      <c r="O301" s="395">
        <f>E301</f>
        <v>0</v>
      </c>
      <c r="P301" s="264">
        <f>O301*VLOOKUP(G290,PRate01,2,FALSE)</f>
        <v>0</v>
      </c>
      <c r="Q301" s="264">
        <f>P301*VLOOKUP(H290,PRate01,2,FALSE)</f>
        <v>0</v>
      </c>
      <c r="S301" s="37" t="s">
        <v>1001</v>
      </c>
      <c r="T301" s="210"/>
      <c r="V301" s="398">
        <v>10</v>
      </c>
      <c r="W301" s="394">
        <f t="shared" si="486"/>
        <v>0</v>
      </c>
      <c r="X301" s="394">
        <f t="shared" si="487"/>
        <v>0</v>
      </c>
      <c r="Y301" s="397"/>
      <c r="Z301" s="397"/>
      <c r="AA301" s="397"/>
    </row>
    <row r="302" spans="4:30" ht="12.75" hidden="1" customHeight="1" outlineLevel="1" x14ac:dyDescent="0.2">
      <c r="D302" s="37" t="s">
        <v>468</v>
      </c>
      <c r="E302" s="262"/>
      <c r="F302" s="261"/>
      <c r="G302" s="261"/>
      <c r="H302" s="261"/>
      <c r="I302" s="261"/>
      <c r="J302" s="261"/>
      <c r="K302" s="261"/>
      <c r="L302" s="261"/>
      <c r="M302" s="261"/>
      <c r="N302" s="261"/>
      <c r="O302" s="391"/>
      <c r="P302" s="395">
        <f>E302</f>
        <v>0</v>
      </c>
      <c r="Q302" s="264">
        <f>P302*VLOOKUP(G290,PRate01,2,FALSE)</f>
        <v>0</v>
      </c>
      <c r="S302" s="37" t="s">
        <v>1002</v>
      </c>
      <c r="T302" s="210"/>
      <c r="V302" s="398">
        <v>11</v>
      </c>
      <c r="W302" s="394">
        <f t="shared" si="486"/>
        <v>0</v>
      </c>
      <c r="X302" s="394">
        <f t="shared" si="487"/>
        <v>0</v>
      </c>
      <c r="Y302" s="397"/>
      <c r="Z302" s="397"/>
      <c r="AA302" s="397"/>
    </row>
    <row r="303" spans="4:30" ht="12.75" hidden="1" customHeight="1" outlineLevel="1" x14ac:dyDescent="0.2">
      <c r="D303" s="37" t="s">
        <v>469</v>
      </c>
      <c r="E303" s="262"/>
      <c r="F303" s="261"/>
      <c r="G303" s="261"/>
      <c r="H303" s="261"/>
      <c r="I303" s="261"/>
      <c r="J303" s="261"/>
      <c r="K303" s="261"/>
      <c r="L303" s="261"/>
      <c r="M303" s="261"/>
      <c r="N303" s="261"/>
      <c r="O303" s="391"/>
      <c r="P303" s="391"/>
      <c r="Q303" s="395">
        <f>E303</f>
        <v>0</v>
      </c>
      <c r="V303" s="398">
        <v>12</v>
      </c>
      <c r="W303" s="399"/>
      <c r="X303" s="394">
        <f t="shared" si="487"/>
        <v>0</v>
      </c>
      <c r="Y303" s="397"/>
      <c r="Z303" s="397"/>
      <c r="AA303" s="397"/>
    </row>
    <row r="304" spans="4:30" ht="12.75" hidden="1" customHeight="1" outlineLevel="1" x14ac:dyDescent="0.2"/>
    <row r="305" spans="3:30" ht="12.75" hidden="1" customHeight="1" outlineLevel="1" x14ac:dyDescent="0.2">
      <c r="Z305" s="542" t="str">
        <f>IF(AC307&lt;&gt;"",MsgNote &amp; VLOOKUP("PRate",WarningMessages,2),"")</f>
        <v/>
      </c>
      <c r="AA305" s="542"/>
      <c r="AB305" s="542"/>
      <c r="AC305" s="542"/>
      <c r="AD305" s="542"/>
    </row>
    <row r="306" spans="3:30" ht="12.75" hidden="1" customHeight="1" outlineLevel="1" x14ac:dyDescent="0.2">
      <c r="L306" s="121"/>
      <c r="M306" s="121"/>
      <c r="N306" s="121"/>
      <c r="O306" s="121"/>
      <c r="P306" s="121"/>
      <c r="Q306" s="121"/>
    </row>
    <row r="307" spans="3:30" ht="12.75" hidden="1" customHeight="1" outlineLevel="1" x14ac:dyDescent="0.2">
      <c r="D307" s="260"/>
      <c r="F307" s="74">
        <f t="shared" ref="F307" si="518">G307-1</f>
        <v>2020</v>
      </c>
      <c r="G307" s="74">
        <f t="shared" ref="G307" si="519">H307-1</f>
        <v>2021</v>
      </c>
      <c r="H307" s="74">
        <f t="shared" ref="H307" si="520">I307-1</f>
        <v>2022</v>
      </c>
      <c r="I307" s="74">
        <f t="shared" ref="I307" si="521">J307-1</f>
        <v>2023</v>
      </c>
      <c r="J307" s="74">
        <f t="shared" ref="J307" si="522">K307-1</f>
        <v>2024</v>
      </c>
      <c r="K307" s="74">
        <f t="shared" ref="K307" si="523">L307-1</f>
        <v>2025</v>
      </c>
      <c r="L307" s="74">
        <f>FirstYear</f>
        <v>2026</v>
      </c>
      <c r="M307" s="74">
        <f>L307+1</f>
        <v>2027</v>
      </c>
      <c r="N307" s="74">
        <f>M307+1</f>
        <v>2028</v>
      </c>
      <c r="O307" s="74">
        <f>N307+1</f>
        <v>2029</v>
      </c>
      <c r="P307" s="74">
        <f>O307+1</f>
        <v>2030</v>
      </c>
      <c r="Q307" s="74">
        <f>P307+1</f>
        <v>2031</v>
      </c>
      <c r="S307" s="675" t="s">
        <v>1288</v>
      </c>
      <c r="T307" s="675"/>
      <c r="Z307" s="673" t="s">
        <v>1291</v>
      </c>
      <c r="AA307" s="673"/>
      <c r="AB307" s="673"/>
      <c r="AC307" s="210"/>
    </row>
    <row r="308" spans="3:30" ht="12.75" hidden="1" customHeight="1" outlineLevel="1" x14ac:dyDescent="0.2">
      <c r="C308" s="396">
        <v>12</v>
      </c>
      <c r="D308" s="674" t="s">
        <v>273</v>
      </c>
      <c r="E308" s="643"/>
      <c r="F308" s="395">
        <f>F292*VLOOKUP(C319,PRate01,3,FALSE)</f>
        <v>0</v>
      </c>
      <c r="G308" s="395">
        <f>G292*VLOOKUP(C318,PRate01,3,FALSE)</f>
        <v>0</v>
      </c>
      <c r="H308" s="395">
        <f>H292*VLOOKUP(C317,PRate01,3,FALSE)</f>
        <v>0</v>
      </c>
      <c r="I308" s="395">
        <f>I292*VLOOKUP(C316,PRate01,3,FALSE)</f>
        <v>0</v>
      </c>
      <c r="J308" s="395">
        <f>J292*VLOOKUP(C315,PRate01,3,FALSE)</f>
        <v>0</v>
      </c>
      <c r="K308" s="395">
        <f t="shared" ref="K308:K313" si="524">K292*VLOOKUP(C314,PRate01,3,FALSE)</f>
        <v>0</v>
      </c>
      <c r="L308" s="395">
        <f t="shared" ref="L308:L314" si="525">L292*VLOOKUP(C313,PRate01,3,FALSE)</f>
        <v>0</v>
      </c>
      <c r="M308" s="395">
        <f t="shared" ref="M308:M315" si="526">M292*VLOOKUP(C312,PRate01,3,FALSE)</f>
        <v>0</v>
      </c>
      <c r="N308" s="395">
        <f t="shared" ref="N308:N316" si="527">N292*VLOOKUP(C311,PRate01,3,FALSE)</f>
        <v>0</v>
      </c>
      <c r="O308" s="395">
        <f t="shared" ref="O308:O317" si="528">O292*VLOOKUP(C310,PRate01,3,FALSE)</f>
        <v>0</v>
      </c>
      <c r="P308" s="395">
        <f t="shared" ref="P308:P318" si="529">P292*VLOOKUP(C309,PRate01,3,FALSE)</f>
        <v>0</v>
      </c>
      <c r="Q308" s="395">
        <f t="shared" ref="Q308:Q319" si="530">Q292*VLOOKUP(C308,PRate01,3,FALSE)</f>
        <v>0</v>
      </c>
      <c r="S308" s="392" t="s">
        <v>992</v>
      </c>
      <c r="T308" s="393"/>
      <c r="X308" s="397"/>
      <c r="Y308" s="397"/>
      <c r="Z308" s="397"/>
      <c r="AA308" s="397"/>
    </row>
    <row r="309" spans="3:30" ht="12.75" hidden="1" customHeight="1" outlineLevel="1" x14ac:dyDescent="0.2">
      <c r="C309" s="396">
        <v>11</v>
      </c>
      <c r="D309" s="674" t="s">
        <v>274</v>
      </c>
      <c r="E309" s="643"/>
      <c r="F309" s="261"/>
      <c r="G309" s="395">
        <f>G293*VLOOKUP(C319,PRate01,3,FALSE)</f>
        <v>0</v>
      </c>
      <c r="H309" s="395">
        <f>H293*VLOOKUP(C318,PRate01,3,FALSE)</f>
        <v>0</v>
      </c>
      <c r="I309" s="395">
        <f>I293*VLOOKUP(C317,PRate01,3,FALSE)</f>
        <v>0</v>
      </c>
      <c r="J309" s="395">
        <f>J293*VLOOKUP(C316,PRate01,3,FALSE)</f>
        <v>0</v>
      </c>
      <c r="K309" s="395">
        <f t="shared" si="524"/>
        <v>0</v>
      </c>
      <c r="L309" s="395">
        <f t="shared" si="525"/>
        <v>0</v>
      </c>
      <c r="M309" s="395">
        <f t="shared" si="526"/>
        <v>0</v>
      </c>
      <c r="N309" s="395">
        <f t="shared" si="527"/>
        <v>0</v>
      </c>
      <c r="O309" s="395">
        <f t="shared" si="528"/>
        <v>0</v>
      </c>
      <c r="P309" s="395">
        <f t="shared" si="529"/>
        <v>0</v>
      </c>
      <c r="Q309" s="395">
        <f t="shared" si="530"/>
        <v>0</v>
      </c>
      <c r="S309" s="37" t="s">
        <v>993</v>
      </c>
      <c r="T309" s="210"/>
      <c r="X309" s="397"/>
      <c r="Y309" s="397"/>
      <c r="Z309" s="37" t="s">
        <v>249</v>
      </c>
      <c r="AA309" s="575"/>
      <c r="AB309" s="575"/>
      <c r="AC309" s="575"/>
      <c r="AD309" s="575"/>
    </row>
    <row r="310" spans="3:30" ht="12.75" hidden="1" customHeight="1" outlineLevel="1" x14ac:dyDescent="0.2">
      <c r="C310" s="396">
        <v>10</v>
      </c>
      <c r="D310" s="674" t="s">
        <v>275</v>
      </c>
      <c r="E310" s="643"/>
      <c r="F310" s="261"/>
      <c r="G310" s="261"/>
      <c r="H310" s="395">
        <f>H294*VLOOKUP(C319,PRate01,3,FALSE)</f>
        <v>0</v>
      </c>
      <c r="I310" s="395">
        <f>I294*VLOOKUP(C318,PRate01,3,FALSE)</f>
        <v>0</v>
      </c>
      <c r="J310" s="395">
        <f>J294*VLOOKUP(C317,PRate01,3,FALSE)</f>
        <v>0</v>
      </c>
      <c r="K310" s="395">
        <f t="shared" si="524"/>
        <v>0</v>
      </c>
      <c r="L310" s="395">
        <f t="shared" si="525"/>
        <v>0</v>
      </c>
      <c r="M310" s="395">
        <f t="shared" si="526"/>
        <v>0</v>
      </c>
      <c r="N310" s="395">
        <f t="shared" si="527"/>
        <v>0</v>
      </c>
      <c r="O310" s="395">
        <f t="shared" si="528"/>
        <v>0</v>
      </c>
      <c r="P310" s="395">
        <f t="shared" si="529"/>
        <v>0</v>
      </c>
      <c r="Q310" s="395">
        <f t="shared" si="530"/>
        <v>0</v>
      </c>
      <c r="S310" s="37" t="s">
        <v>994</v>
      </c>
      <c r="T310" s="210"/>
      <c r="X310" s="397"/>
      <c r="Y310" s="397"/>
      <c r="Z310" s="397"/>
      <c r="AA310" s="397"/>
    </row>
    <row r="311" spans="3:30" ht="12.75" hidden="1" customHeight="1" outlineLevel="1" x14ac:dyDescent="0.2">
      <c r="C311" s="396">
        <v>9</v>
      </c>
      <c r="D311" s="674" t="s">
        <v>276</v>
      </c>
      <c r="E311" s="643"/>
      <c r="F311" s="261"/>
      <c r="G311" s="261"/>
      <c r="H311" s="261"/>
      <c r="I311" s="395">
        <f>I295*VLOOKUP(C319,PRate01,3,FALSE)</f>
        <v>0</v>
      </c>
      <c r="J311" s="395">
        <f>J295*VLOOKUP(C318,PRate01,3,FALSE)</f>
        <v>0</v>
      </c>
      <c r="K311" s="395">
        <f t="shared" si="524"/>
        <v>0</v>
      </c>
      <c r="L311" s="395">
        <f t="shared" si="525"/>
        <v>0</v>
      </c>
      <c r="M311" s="395">
        <f t="shared" si="526"/>
        <v>0</v>
      </c>
      <c r="N311" s="395">
        <f t="shared" si="527"/>
        <v>0</v>
      </c>
      <c r="O311" s="395">
        <f t="shared" si="528"/>
        <v>0</v>
      </c>
      <c r="P311" s="395">
        <f t="shared" si="529"/>
        <v>0</v>
      </c>
      <c r="Q311" s="395">
        <f t="shared" si="530"/>
        <v>0</v>
      </c>
      <c r="S311" s="37" t="s">
        <v>995</v>
      </c>
      <c r="T311" s="210"/>
      <c r="X311" s="397"/>
      <c r="Y311" s="397"/>
      <c r="Z311" s="397"/>
      <c r="AA311" s="397"/>
    </row>
    <row r="312" spans="3:30" ht="12.75" hidden="1" customHeight="1" outlineLevel="1" x14ac:dyDescent="0.2">
      <c r="C312" s="396">
        <v>8</v>
      </c>
      <c r="D312" s="674" t="s">
        <v>277</v>
      </c>
      <c r="E312" s="643"/>
      <c r="F312" s="261"/>
      <c r="G312" s="261"/>
      <c r="H312" s="261"/>
      <c r="I312" s="261"/>
      <c r="J312" s="395">
        <f>J296*VLOOKUP(C319,PRate01,3,FALSE)</f>
        <v>0</v>
      </c>
      <c r="K312" s="395">
        <f t="shared" si="524"/>
        <v>0</v>
      </c>
      <c r="L312" s="395">
        <f t="shared" si="525"/>
        <v>0</v>
      </c>
      <c r="M312" s="395">
        <f t="shared" si="526"/>
        <v>0</v>
      </c>
      <c r="N312" s="395">
        <f t="shared" si="527"/>
        <v>0</v>
      </c>
      <c r="O312" s="395">
        <f t="shared" si="528"/>
        <v>0</v>
      </c>
      <c r="P312" s="395">
        <f t="shared" si="529"/>
        <v>0</v>
      </c>
      <c r="Q312" s="395">
        <f t="shared" si="530"/>
        <v>0</v>
      </c>
      <c r="S312" s="37" t="s">
        <v>996</v>
      </c>
      <c r="T312" s="210"/>
      <c r="X312" s="397"/>
      <c r="Y312" s="397"/>
      <c r="Z312" s="397"/>
      <c r="AA312" s="397"/>
    </row>
    <row r="313" spans="3:30" ht="12.75" hidden="1" customHeight="1" outlineLevel="1" x14ac:dyDescent="0.2">
      <c r="C313" s="396">
        <v>7</v>
      </c>
      <c r="D313" s="674" t="s">
        <v>278</v>
      </c>
      <c r="E313" s="643"/>
      <c r="F313" s="261"/>
      <c r="G313" s="261"/>
      <c r="H313" s="261"/>
      <c r="I313" s="261"/>
      <c r="J313" s="261"/>
      <c r="K313" s="395">
        <f t="shared" si="524"/>
        <v>0</v>
      </c>
      <c r="L313" s="395">
        <f t="shared" si="525"/>
        <v>0</v>
      </c>
      <c r="M313" s="395">
        <f t="shared" si="526"/>
        <v>0</v>
      </c>
      <c r="N313" s="395">
        <f t="shared" si="527"/>
        <v>0</v>
      </c>
      <c r="O313" s="395">
        <f t="shared" si="528"/>
        <v>0</v>
      </c>
      <c r="P313" s="395">
        <f t="shared" si="529"/>
        <v>0</v>
      </c>
      <c r="Q313" s="395">
        <f t="shared" si="530"/>
        <v>0</v>
      </c>
      <c r="S313" s="37" t="s">
        <v>997</v>
      </c>
      <c r="T313" s="210"/>
      <c r="X313" s="397"/>
      <c r="Y313" s="397"/>
      <c r="Z313" s="397"/>
      <c r="AA313" s="397"/>
    </row>
    <row r="314" spans="3:30" ht="12.75" hidden="1" customHeight="1" outlineLevel="1" x14ac:dyDescent="0.2">
      <c r="C314" s="396">
        <v>6</v>
      </c>
      <c r="D314" s="674" t="s">
        <v>464</v>
      </c>
      <c r="E314" s="643"/>
      <c r="F314" s="261"/>
      <c r="G314" s="261"/>
      <c r="H314" s="261"/>
      <c r="I314" s="261"/>
      <c r="J314" s="261"/>
      <c r="K314" s="261"/>
      <c r="L314" s="395">
        <f t="shared" si="525"/>
        <v>0</v>
      </c>
      <c r="M314" s="395">
        <f t="shared" si="526"/>
        <v>0</v>
      </c>
      <c r="N314" s="395">
        <f t="shared" si="527"/>
        <v>0</v>
      </c>
      <c r="O314" s="395">
        <f t="shared" si="528"/>
        <v>0</v>
      </c>
      <c r="P314" s="395">
        <f t="shared" si="529"/>
        <v>0</v>
      </c>
      <c r="Q314" s="395">
        <f t="shared" si="530"/>
        <v>0</v>
      </c>
      <c r="S314" s="37" t="s">
        <v>998</v>
      </c>
      <c r="T314" s="210"/>
      <c r="X314" s="397"/>
      <c r="Y314" s="397"/>
      <c r="Z314" s="397"/>
      <c r="AA314" s="397"/>
    </row>
    <row r="315" spans="3:30" ht="12.75" hidden="1" customHeight="1" outlineLevel="1" x14ac:dyDescent="0.2">
      <c r="C315" s="396">
        <v>5</v>
      </c>
      <c r="D315" s="674" t="s">
        <v>465</v>
      </c>
      <c r="E315" s="643"/>
      <c r="F315" s="261"/>
      <c r="G315" s="261"/>
      <c r="H315" s="261"/>
      <c r="I315" s="261"/>
      <c r="J315" s="261"/>
      <c r="K315" s="261"/>
      <c r="L315" s="261"/>
      <c r="M315" s="395">
        <f t="shared" si="526"/>
        <v>0</v>
      </c>
      <c r="N315" s="395">
        <f t="shared" si="527"/>
        <v>0</v>
      </c>
      <c r="O315" s="395">
        <f t="shared" si="528"/>
        <v>0</v>
      </c>
      <c r="P315" s="395">
        <f t="shared" si="529"/>
        <v>0</v>
      </c>
      <c r="Q315" s="395">
        <f t="shared" si="530"/>
        <v>0</v>
      </c>
      <c r="S315" s="37" t="s">
        <v>999</v>
      </c>
      <c r="T315" s="210"/>
      <c r="X315" s="397"/>
      <c r="Y315" s="397"/>
      <c r="Z315" s="397"/>
      <c r="AA315" s="397"/>
    </row>
    <row r="316" spans="3:30" ht="12.75" hidden="1" customHeight="1" outlineLevel="1" x14ac:dyDescent="0.2">
      <c r="C316" s="396">
        <v>4</v>
      </c>
      <c r="D316" s="674" t="s">
        <v>466</v>
      </c>
      <c r="E316" s="643"/>
      <c r="F316" s="261"/>
      <c r="G316" s="261"/>
      <c r="H316" s="261"/>
      <c r="I316" s="261"/>
      <c r="J316" s="261"/>
      <c r="K316" s="261"/>
      <c r="L316" s="261"/>
      <c r="M316" s="261"/>
      <c r="N316" s="395">
        <f t="shared" si="527"/>
        <v>0</v>
      </c>
      <c r="O316" s="395">
        <f t="shared" si="528"/>
        <v>0</v>
      </c>
      <c r="P316" s="395">
        <f t="shared" si="529"/>
        <v>0</v>
      </c>
      <c r="Q316" s="395">
        <f t="shared" si="530"/>
        <v>0</v>
      </c>
      <c r="S316" s="37" t="s">
        <v>1000</v>
      </c>
      <c r="T316" s="210"/>
      <c r="X316" s="397"/>
      <c r="Y316" s="397"/>
      <c r="Z316" s="397"/>
      <c r="AA316" s="397"/>
    </row>
    <row r="317" spans="3:30" ht="12.75" hidden="1" customHeight="1" outlineLevel="1" x14ac:dyDescent="0.2">
      <c r="C317" s="396">
        <v>3</v>
      </c>
      <c r="D317" s="674" t="s">
        <v>467</v>
      </c>
      <c r="E317" s="643"/>
      <c r="F317" s="261"/>
      <c r="G317" s="261"/>
      <c r="H317" s="261"/>
      <c r="I317" s="261"/>
      <c r="J317" s="261"/>
      <c r="K317" s="261"/>
      <c r="L317" s="261"/>
      <c r="M317" s="261"/>
      <c r="N317" s="261"/>
      <c r="O317" s="395">
        <f t="shared" si="528"/>
        <v>0</v>
      </c>
      <c r="P317" s="395">
        <f t="shared" si="529"/>
        <v>0</v>
      </c>
      <c r="Q317" s="395">
        <f t="shared" si="530"/>
        <v>0</v>
      </c>
      <c r="S317" s="37" t="s">
        <v>1001</v>
      </c>
      <c r="T317" s="210"/>
      <c r="X317" s="397"/>
      <c r="Y317" s="397"/>
      <c r="Z317" s="397"/>
      <c r="AA317" s="397"/>
    </row>
    <row r="318" spans="3:30" ht="12.75" hidden="1" customHeight="1" outlineLevel="1" x14ac:dyDescent="0.2">
      <c r="C318" s="396">
        <v>2</v>
      </c>
      <c r="D318" s="674" t="s">
        <v>468</v>
      </c>
      <c r="E318" s="643"/>
      <c r="F318" s="261"/>
      <c r="G318" s="261"/>
      <c r="H318" s="261"/>
      <c r="I318" s="261"/>
      <c r="J318" s="261"/>
      <c r="K318" s="261"/>
      <c r="L318" s="261"/>
      <c r="M318" s="261"/>
      <c r="N318" s="261"/>
      <c r="O318" s="391"/>
      <c r="P318" s="395">
        <f t="shared" si="529"/>
        <v>0</v>
      </c>
      <c r="Q318" s="395">
        <f t="shared" si="530"/>
        <v>0</v>
      </c>
      <c r="S318" s="37" t="s">
        <v>1002</v>
      </c>
      <c r="T318" s="210"/>
      <c r="X318" s="397"/>
      <c r="Y318" s="397"/>
      <c r="Z318" s="397"/>
      <c r="AA318" s="397"/>
    </row>
    <row r="319" spans="3:30" ht="12.75" hidden="1" customHeight="1" outlineLevel="1" x14ac:dyDescent="0.2">
      <c r="C319" s="396">
        <v>1</v>
      </c>
      <c r="D319" s="674" t="s">
        <v>469</v>
      </c>
      <c r="E319" s="643"/>
      <c r="F319" s="261"/>
      <c r="G319" s="261"/>
      <c r="H319" s="261"/>
      <c r="I319" s="261"/>
      <c r="J319" s="261"/>
      <c r="K319" s="261"/>
      <c r="L319" s="261"/>
      <c r="M319" s="261"/>
      <c r="N319" s="261"/>
      <c r="O319" s="391"/>
      <c r="P319" s="391"/>
      <c r="Q319" s="395">
        <f t="shared" si="530"/>
        <v>0</v>
      </c>
      <c r="S319" s="37" t="s">
        <v>1022</v>
      </c>
      <c r="T319" s="210"/>
    </row>
    <row r="320" spans="3:30" ht="12.75" hidden="1" customHeight="1" outlineLevel="1" x14ac:dyDescent="0.2">
      <c r="K320" s="258" t="s">
        <v>73</v>
      </c>
      <c r="L320" s="263">
        <f>IFERROR((SUM(L308:L313)+IF(MATCH($AC$320,Switch,0)=1,L314,0)),0)</f>
        <v>0</v>
      </c>
      <c r="M320" s="263">
        <f>IFERROR((SUM(M308:M314)+IF(MATCH($AC$320,Switch,0)=1,M315,0)),0)</f>
        <v>0</v>
      </c>
      <c r="N320" s="263">
        <f>IFERROR((SUM(N308:N315)+IF(MATCH($AC$320,Switch,0)=1,N316,0)),0)</f>
        <v>0</v>
      </c>
      <c r="O320" s="263">
        <f>IFERROR((SUM(O308:O316)+IF(MATCH($AC$320,Switch,0)=1,O317,0)),0)</f>
        <v>0</v>
      </c>
      <c r="P320" s="263">
        <f>IFERROR((SUM(P308:P317)+IF(MATCH($AC$320,Switch,0)=1,P318,0)),0)</f>
        <v>0</v>
      </c>
      <c r="Q320" s="263">
        <f>IFERROR((SUM(Q308:Q318)+IF(MATCH($AC$320,Switch,0)=1,Q319,0)),0)</f>
        <v>0</v>
      </c>
      <c r="Z320" s="670" t="s">
        <v>1289</v>
      </c>
      <c r="AA320" s="671"/>
      <c r="AB320" s="672"/>
      <c r="AC320" s="227" t="s">
        <v>9</v>
      </c>
    </row>
    <row r="321" spans="1:30" ht="12.75" hidden="1" customHeight="1" outlineLevel="1" x14ac:dyDescent="0.2"/>
    <row r="322" spans="1:30" ht="12.75" customHeight="1" collapsed="1" x14ac:dyDescent="0.2"/>
    <row r="323" spans="1:30" ht="15.75" x14ac:dyDescent="0.2">
      <c r="A323" s="172"/>
      <c r="B323" s="209">
        <f>IF(G325&lt;&gt;"",1,0)</f>
        <v>0</v>
      </c>
      <c r="C323" s="209">
        <v>9</v>
      </c>
      <c r="D323" s="72" t="str">
        <f>IF(B323=0,MsgNotUsed, CONCATENATE("Persistent ", C323, ": ", G325, " (", F329, "-", Q329, ")"))</f>
        <v>** NOT USED **</v>
      </c>
      <c r="E323" s="113"/>
      <c r="F323" s="113"/>
      <c r="G323" s="113"/>
      <c r="H323" s="113"/>
      <c r="I323" s="113"/>
      <c r="J323" s="154"/>
      <c r="K323" s="113"/>
      <c r="L323" s="113"/>
      <c r="M323" s="113"/>
      <c r="N323" s="224"/>
      <c r="O323" s="224"/>
      <c r="P323" s="224"/>
      <c r="Q323" s="224"/>
      <c r="R323" s="224"/>
      <c r="S323" s="224"/>
      <c r="T323" s="224"/>
      <c r="U323" s="224"/>
      <c r="V323" s="224"/>
      <c r="W323" s="224"/>
      <c r="X323" s="224"/>
      <c r="Y323" s="224"/>
      <c r="Z323" s="224"/>
      <c r="AA323" s="224"/>
      <c r="AB323" s="224"/>
      <c r="AC323" s="224"/>
      <c r="AD323" s="224"/>
    </row>
    <row r="324" spans="1:30" ht="12.75" hidden="1" customHeight="1" outlineLevel="1" x14ac:dyDescent="0.2"/>
    <row r="325" spans="1:30" ht="12.75" hidden="1" customHeight="1" outlineLevel="1" x14ac:dyDescent="0.2">
      <c r="F325" s="37" t="s">
        <v>470</v>
      </c>
      <c r="G325" s="669"/>
      <c r="H325" s="642"/>
      <c r="I325" s="642"/>
      <c r="J325" s="642"/>
      <c r="K325" s="642"/>
      <c r="L325" s="643"/>
    </row>
    <row r="326" spans="1:30" ht="12.75" hidden="1" customHeight="1" outlineLevel="1" x14ac:dyDescent="0.2"/>
    <row r="327" spans="1:30" ht="12.75" hidden="1" customHeight="1" outlineLevel="1" x14ac:dyDescent="0.2">
      <c r="F327" s="37" t="s">
        <v>249</v>
      </c>
      <c r="G327" s="669"/>
      <c r="H327" s="642"/>
      <c r="I327" s="642"/>
      <c r="J327" s="642"/>
      <c r="K327" s="642"/>
      <c r="L327" s="643"/>
      <c r="Z327" s="542" t="str">
        <f>IF(AC329&lt;&gt;"",MsgNote &amp; VLOOKUP("PRate",WarningMessages,2),"")</f>
        <v/>
      </c>
      <c r="AA327" s="542"/>
      <c r="AB327" s="542"/>
      <c r="AC327" s="542"/>
      <c r="AD327" s="542"/>
    </row>
    <row r="328" spans="1:30" ht="12.75" hidden="1" customHeight="1" outlineLevel="1" x14ac:dyDescent="0.2">
      <c r="G328" s="400">
        <v>1</v>
      </c>
      <c r="H328" s="400">
        <v>2</v>
      </c>
      <c r="I328" s="400">
        <v>3</v>
      </c>
      <c r="J328" s="400">
        <v>4</v>
      </c>
      <c r="K328" s="400">
        <v>5</v>
      </c>
      <c r="L328" s="400">
        <v>6</v>
      </c>
      <c r="M328" s="400">
        <v>7</v>
      </c>
      <c r="N328" s="400">
        <v>8</v>
      </c>
      <c r="O328" s="400">
        <v>9</v>
      </c>
      <c r="P328" s="400">
        <v>10</v>
      </c>
      <c r="Q328" s="400">
        <v>11</v>
      </c>
    </row>
    <row r="329" spans="1:30" ht="12.75" hidden="1" customHeight="1" outlineLevel="1" x14ac:dyDescent="0.2">
      <c r="D329" s="260"/>
      <c r="E329" s="74" t="s">
        <v>1052</v>
      </c>
      <c r="F329" s="74">
        <f t="shared" ref="F329" si="531">G329-1</f>
        <v>2020</v>
      </c>
      <c r="G329" s="74">
        <f t="shared" ref="G329" si="532">H329-1</f>
        <v>2021</v>
      </c>
      <c r="H329" s="74">
        <f t="shared" ref="H329" si="533">I329-1</f>
        <v>2022</v>
      </c>
      <c r="I329" s="74">
        <f t="shared" ref="I329" si="534">J329-1</f>
        <v>2023</v>
      </c>
      <c r="J329" s="74">
        <f t="shared" ref="J329" si="535">K329-1</f>
        <v>2024</v>
      </c>
      <c r="K329" s="74">
        <f t="shared" ref="K329" si="536">L329-1</f>
        <v>2025</v>
      </c>
      <c r="L329" s="74">
        <f>FirstYear</f>
        <v>2026</v>
      </c>
      <c r="M329" s="74">
        <f>L329+1</f>
        <v>2027</v>
      </c>
      <c r="N329" s="74">
        <f>M329+1</f>
        <v>2028</v>
      </c>
      <c r="O329" s="74">
        <f>N329+1</f>
        <v>2029</v>
      </c>
      <c r="P329" s="74">
        <f>O329+1</f>
        <v>2030</v>
      </c>
      <c r="Q329" s="74">
        <f>P329+1</f>
        <v>2031</v>
      </c>
      <c r="S329" s="675" t="s">
        <v>1287</v>
      </c>
      <c r="T329" s="675"/>
      <c r="Z329" s="673" t="s">
        <v>1290</v>
      </c>
      <c r="AA329" s="673"/>
      <c r="AB329" s="673"/>
      <c r="AC329" s="210"/>
    </row>
    <row r="330" spans="1:30" ht="12.75" hidden="1" customHeight="1" outlineLevel="1" x14ac:dyDescent="0.2">
      <c r="D330" s="37" t="s">
        <v>273</v>
      </c>
      <c r="E330" s="262"/>
      <c r="F330" s="264">
        <f>E330</f>
        <v>0</v>
      </c>
      <c r="G330" s="264">
        <f t="shared" ref="G330" si="537">F330*VLOOKUP(G328,PRate01,2,FALSE)</f>
        <v>0</v>
      </c>
      <c r="H330" s="264">
        <f t="shared" ref="H330" si="538">G330*VLOOKUP(H328,PRate01,2,FALSE)</f>
        <v>0</v>
      </c>
      <c r="I330" s="264">
        <f t="shared" ref="I330" si="539">H330*VLOOKUP(I328,PRate01,2,FALSE)</f>
        <v>0</v>
      </c>
      <c r="J330" s="264">
        <f t="shared" ref="J330" si="540">I330*VLOOKUP(J328,PRate01,2,FALSE)</f>
        <v>0</v>
      </c>
      <c r="K330" s="264">
        <f t="shared" ref="K330" si="541">J330*VLOOKUP(K328,PRate01,2,FALSE)</f>
        <v>0</v>
      </c>
      <c r="L330" s="264">
        <f t="shared" ref="L330" si="542">K330*VLOOKUP(L328,PRate01,2,FALSE)</f>
        <v>0</v>
      </c>
      <c r="M330" s="264">
        <f t="shared" ref="M330" si="543">L330*VLOOKUP(M328,PRate01,2,FALSE)</f>
        <v>0</v>
      </c>
      <c r="N330" s="264">
        <f t="shared" ref="N330" si="544">M330*VLOOKUP(N328,PRate01,2,FALSE)</f>
        <v>0</v>
      </c>
      <c r="O330" s="264">
        <f t="shared" ref="O330" si="545">N330*VLOOKUP(O328,PRate01,2,FALSE)</f>
        <v>0</v>
      </c>
      <c r="P330" s="264">
        <f t="shared" ref="P330" si="546">O330*VLOOKUP(P328,PRate01,2,FALSE)</f>
        <v>0</v>
      </c>
      <c r="Q330" s="264">
        <f t="shared" ref="Q330" si="547">P330*VLOOKUP(Q328,PRate01,2,FALSE)</f>
        <v>0</v>
      </c>
      <c r="S330" s="392" t="s">
        <v>992</v>
      </c>
      <c r="T330" s="393"/>
      <c r="V330" s="398">
        <v>1</v>
      </c>
      <c r="W330" s="394">
        <f>IF($AC$329&lt;&gt;"",$AC$329,T330)</f>
        <v>0</v>
      </c>
      <c r="X330" s="394">
        <f>IF($AC$345&lt;&gt;"",$AC$345,T346)</f>
        <v>0</v>
      </c>
      <c r="Y330" s="397"/>
      <c r="Z330" s="397"/>
      <c r="AA330" s="397"/>
    </row>
    <row r="331" spans="1:30" ht="12.75" hidden="1" customHeight="1" outlineLevel="1" x14ac:dyDescent="0.2">
      <c r="D331" s="37" t="s">
        <v>274</v>
      </c>
      <c r="E331" s="262"/>
      <c r="F331" s="261"/>
      <c r="G331" s="264">
        <f>E331</f>
        <v>0</v>
      </c>
      <c r="H331" s="264">
        <f t="shared" ref="H331" si="548">G331*VLOOKUP(G328,PRate01,2,FALSE)</f>
        <v>0</v>
      </c>
      <c r="I331" s="264">
        <f t="shared" ref="I331" si="549">H331*VLOOKUP(H328,PRate01,2,FALSE)</f>
        <v>0</v>
      </c>
      <c r="J331" s="264">
        <f t="shared" ref="J331" si="550">I331*VLOOKUP(I328,PRate01,2,FALSE)</f>
        <v>0</v>
      </c>
      <c r="K331" s="264">
        <f t="shared" ref="K331" si="551">J331*VLOOKUP(J328,PRate01,2,FALSE)</f>
        <v>0</v>
      </c>
      <c r="L331" s="264">
        <f t="shared" ref="L331" si="552">K331*VLOOKUP(K328,PRate01,2,FALSE)</f>
        <v>0</v>
      </c>
      <c r="M331" s="264">
        <f t="shared" ref="M331" si="553">L331*VLOOKUP(L328,PRate01,2,FALSE)</f>
        <v>0</v>
      </c>
      <c r="N331" s="264">
        <f t="shared" ref="N331" si="554">M331*VLOOKUP(M328,PRate01,2,FALSE)</f>
        <v>0</v>
      </c>
      <c r="O331" s="264">
        <f t="shared" ref="O331" si="555">N331*VLOOKUP(N328,PRate01,2,FALSE)</f>
        <v>0</v>
      </c>
      <c r="P331" s="264">
        <f t="shared" ref="P331" si="556">O331*VLOOKUP(O328,PRate01,2,FALSE)</f>
        <v>0</v>
      </c>
      <c r="Q331" s="264">
        <f t="shared" ref="Q331" si="557">P331*VLOOKUP(P328,PRate01,2,FALSE)</f>
        <v>0</v>
      </c>
      <c r="S331" s="37" t="s">
        <v>993</v>
      </c>
      <c r="T331" s="210"/>
      <c r="V331" s="398">
        <v>2</v>
      </c>
      <c r="W331" s="394">
        <f t="shared" ref="W331:W340" si="558">IF($AC$329&lt;&gt;"",$AC$329,T331)</f>
        <v>0</v>
      </c>
      <c r="X331" s="394">
        <f t="shared" ref="X331:X341" si="559">IF($AC$345&lt;&gt;"",$AC$345,T347)</f>
        <v>0</v>
      </c>
      <c r="Z331" s="37" t="s">
        <v>249</v>
      </c>
      <c r="AA331" s="575"/>
      <c r="AB331" s="575"/>
      <c r="AC331" s="575"/>
      <c r="AD331" s="575"/>
    </row>
    <row r="332" spans="1:30" ht="12.75" hidden="1" customHeight="1" outlineLevel="1" x14ac:dyDescent="0.2">
      <c r="D332" s="37" t="s">
        <v>275</v>
      </c>
      <c r="E332" s="262"/>
      <c r="F332" s="261"/>
      <c r="G332" s="261"/>
      <c r="H332" s="264">
        <f>E332</f>
        <v>0</v>
      </c>
      <c r="I332" s="264">
        <f t="shared" ref="I332" si="560">H332*VLOOKUP(G328,PRate01,2,FALSE)</f>
        <v>0</v>
      </c>
      <c r="J332" s="264">
        <f t="shared" ref="J332" si="561">I332*VLOOKUP(H328,PRate01,2,FALSE)</f>
        <v>0</v>
      </c>
      <c r="K332" s="264">
        <f t="shared" ref="K332" si="562">J332*VLOOKUP(I328,PRate01,2,FALSE)</f>
        <v>0</v>
      </c>
      <c r="L332" s="264">
        <f t="shared" ref="L332" si="563">K332*VLOOKUP(J328,PRate01,2,FALSE)</f>
        <v>0</v>
      </c>
      <c r="M332" s="264">
        <f t="shared" ref="M332" si="564">L332*VLOOKUP(K328,PRate01,2,FALSE)</f>
        <v>0</v>
      </c>
      <c r="N332" s="264">
        <f t="shared" ref="N332" si="565">M332*VLOOKUP(L328,PRate01,2,FALSE)</f>
        <v>0</v>
      </c>
      <c r="O332" s="264">
        <f t="shared" ref="O332" si="566">N332*VLOOKUP(M328,PRate01,2,FALSE)</f>
        <v>0</v>
      </c>
      <c r="P332" s="264">
        <f t="shared" ref="P332" si="567">O332*VLOOKUP(N328,PRate01,2,FALSE)</f>
        <v>0</v>
      </c>
      <c r="Q332" s="264">
        <f t="shared" ref="Q332" si="568">P332*VLOOKUP(O328,PRate01,2,FALSE)</f>
        <v>0</v>
      </c>
      <c r="S332" s="37" t="s">
        <v>994</v>
      </c>
      <c r="T332" s="210"/>
      <c r="V332" s="398">
        <v>3</v>
      </c>
      <c r="W332" s="394">
        <f t="shared" si="558"/>
        <v>0</v>
      </c>
      <c r="X332" s="394">
        <f t="shared" si="559"/>
        <v>0</v>
      </c>
      <c r="Y332" s="397"/>
      <c r="Z332" s="397"/>
      <c r="AA332" s="397"/>
    </row>
    <row r="333" spans="1:30" ht="12.75" hidden="1" customHeight="1" outlineLevel="1" x14ac:dyDescent="0.2">
      <c r="D333" s="37" t="s">
        <v>276</v>
      </c>
      <c r="E333" s="262"/>
      <c r="F333" s="261"/>
      <c r="G333" s="261"/>
      <c r="H333" s="261"/>
      <c r="I333" s="264">
        <f>E333</f>
        <v>0</v>
      </c>
      <c r="J333" s="264">
        <f t="shared" ref="J333" si="569">I333*VLOOKUP(G328,PRate01,2,FALSE)</f>
        <v>0</v>
      </c>
      <c r="K333" s="264">
        <f t="shared" ref="K333" si="570">J333*VLOOKUP(H328,PRate01,2,FALSE)</f>
        <v>0</v>
      </c>
      <c r="L333" s="264">
        <f t="shared" ref="L333" si="571">K333*VLOOKUP(I328,PRate01,2,FALSE)</f>
        <v>0</v>
      </c>
      <c r="M333" s="264">
        <f t="shared" ref="M333" si="572">L333*VLOOKUP(J328,PRate01,2,FALSE)</f>
        <v>0</v>
      </c>
      <c r="N333" s="264">
        <f t="shared" ref="N333" si="573">M333*VLOOKUP(K328,PRate01,2,FALSE)</f>
        <v>0</v>
      </c>
      <c r="O333" s="264">
        <f t="shared" ref="O333" si="574">N333*VLOOKUP(L328,PRate01,2,FALSE)</f>
        <v>0</v>
      </c>
      <c r="P333" s="264">
        <f t="shared" ref="P333" si="575">O333*VLOOKUP(M328,PRate01,2,FALSE)</f>
        <v>0</v>
      </c>
      <c r="Q333" s="264">
        <f t="shared" ref="Q333" si="576">P333*VLOOKUP(N328,PRate01,2,FALSE)</f>
        <v>0</v>
      </c>
      <c r="S333" s="37" t="s">
        <v>995</v>
      </c>
      <c r="T333" s="210"/>
      <c r="V333" s="398">
        <v>4</v>
      </c>
      <c r="W333" s="394">
        <f t="shared" si="558"/>
        <v>0</v>
      </c>
      <c r="X333" s="394">
        <f t="shared" si="559"/>
        <v>0</v>
      </c>
      <c r="Y333" s="397"/>
      <c r="Z333" s="397"/>
      <c r="AA333" s="397"/>
    </row>
    <row r="334" spans="1:30" ht="12.75" hidden="1" customHeight="1" outlineLevel="1" x14ac:dyDescent="0.2">
      <c r="D334" s="37" t="s">
        <v>277</v>
      </c>
      <c r="E334" s="262"/>
      <c r="F334" s="261"/>
      <c r="G334" s="261"/>
      <c r="H334" s="261"/>
      <c r="I334" s="261"/>
      <c r="J334" s="264">
        <f>E334</f>
        <v>0</v>
      </c>
      <c r="K334" s="264">
        <f t="shared" ref="K334" si="577">J334*VLOOKUP(G328,PRate01,2,FALSE)</f>
        <v>0</v>
      </c>
      <c r="L334" s="264">
        <f t="shared" ref="L334" si="578">K334*VLOOKUP(H328,PRate01,2,FALSE)</f>
        <v>0</v>
      </c>
      <c r="M334" s="264">
        <f t="shared" ref="M334" si="579">L334*VLOOKUP(I328,PRate01,2,FALSE)</f>
        <v>0</v>
      </c>
      <c r="N334" s="264">
        <f t="shared" ref="N334" si="580">M334*VLOOKUP(J328,PRate01,2,FALSE)</f>
        <v>0</v>
      </c>
      <c r="O334" s="264">
        <f t="shared" ref="O334" si="581">N334*VLOOKUP(K328,PRate01,2,FALSE)</f>
        <v>0</v>
      </c>
      <c r="P334" s="264">
        <f t="shared" ref="P334" si="582">O334*VLOOKUP(L328,PRate01,2,FALSE)</f>
        <v>0</v>
      </c>
      <c r="Q334" s="264">
        <f t="shared" ref="Q334" si="583">P334*VLOOKUP(M328,PRate01,2,FALSE)</f>
        <v>0</v>
      </c>
      <c r="S334" s="37" t="s">
        <v>996</v>
      </c>
      <c r="T334" s="210"/>
      <c r="V334" s="398">
        <v>5</v>
      </c>
      <c r="W334" s="394">
        <f t="shared" si="558"/>
        <v>0</v>
      </c>
      <c r="X334" s="394">
        <f t="shared" si="559"/>
        <v>0</v>
      </c>
      <c r="Y334" s="397"/>
      <c r="Z334" s="397"/>
      <c r="AA334" s="397"/>
    </row>
    <row r="335" spans="1:30" ht="12.75" hidden="1" customHeight="1" outlineLevel="1" x14ac:dyDescent="0.2">
      <c r="D335" s="37" t="s">
        <v>278</v>
      </c>
      <c r="E335" s="262"/>
      <c r="F335" s="261"/>
      <c r="G335" s="261"/>
      <c r="H335" s="261"/>
      <c r="I335" s="261"/>
      <c r="J335" s="261"/>
      <c r="K335" s="264">
        <f>E335</f>
        <v>0</v>
      </c>
      <c r="L335" s="264">
        <f t="shared" ref="L335" si="584">K335*VLOOKUP(G328,PRate01,2,FALSE)</f>
        <v>0</v>
      </c>
      <c r="M335" s="264">
        <f t="shared" ref="M335" si="585">L335*VLOOKUP(H328,PRate01,2,FALSE)</f>
        <v>0</v>
      </c>
      <c r="N335" s="264">
        <f t="shared" ref="N335" si="586">M335*VLOOKUP(I328,PRate01,2,FALSE)</f>
        <v>0</v>
      </c>
      <c r="O335" s="264">
        <f t="shared" ref="O335" si="587">N335*VLOOKUP(J328,PRate01,2,FALSE)</f>
        <v>0</v>
      </c>
      <c r="P335" s="264">
        <f t="shared" ref="P335" si="588">O335*VLOOKUP(K328,PRate01,2,FALSE)</f>
        <v>0</v>
      </c>
      <c r="Q335" s="264">
        <f t="shared" ref="Q335" si="589">P335*VLOOKUP(L328,PRate01,2,FALSE)</f>
        <v>0</v>
      </c>
      <c r="S335" s="37" t="s">
        <v>997</v>
      </c>
      <c r="T335" s="210"/>
      <c r="V335" s="398">
        <v>6</v>
      </c>
      <c r="W335" s="394">
        <f t="shared" si="558"/>
        <v>0</v>
      </c>
      <c r="X335" s="394">
        <f t="shared" si="559"/>
        <v>0</v>
      </c>
      <c r="Y335" s="397"/>
      <c r="Z335" s="397"/>
      <c r="AA335" s="397"/>
    </row>
    <row r="336" spans="1:30" ht="12.75" hidden="1" customHeight="1" outlineLevel="1" x14ac:dyDescent="0.2">
      <c r="D336" s="37" t="s">
        <v>464</v>
      </c>
      <c r="E336" s="262"/>
      <c r="F336" s="261"/>
      <c r="G336" s="261"/>
      <c r="H336" s="261"/>
      <c r="I336" s="261"/>
      <c r="J336" s="261"/>
      <c r="K336" s="261"/>
      <c r="L336" s="264">
        <f>E336</f>
        <v>0</v>
      </c>
      <c r="M336" s="264">
        <f>L336*VLOOKUP(G328,PRate01,2,FALSE)</f>
        <v>0</v>
      </c>
      <c r="N336" s="264">
        <f>M336*VLOOKUP(H328,PRate01,2,FALSE)</f>
        <v>0</v>
      </c>
      <c r="O336" s="264">
        <f>N336*VLOOKUP(I328,PRate01,2,FALSE)</f>
        <v>0</v>
      </c>
      <c r="P336" s="264">
        <f>O336*VLOOKUP(J328,PRate01,2,FALSE)</f>
        <v>0</v>
      </c>
      <c r="Q336" s="264">
        <f>P336*VLOOKUP(K328,PRate01,2,FALSE)</f>
        <v>0</v>
      </c>
      <c r="S336" s="37" t="s">
        <v>998</v>
      </c>
      <c r="T336" s="210"/>
      <c r="V336" s="398">
        <v>7</v>
      </c>
      <c r="W336" s="394">
        <f t="shared" si="558"/>
        <v>0</v>
      </c>
      <c r="X336" s="394">
        <f t="shared" si="559"/>
        <v>0</v>
      </c>
      <c r="Y336" s="397"/>
      <c r="Z336" s="397"/>
      <c r="AA336" s="397"/>
    </row>
    <row r="337" spans="3:30" ht="12.75" hidden="1" customHeight="1" outlineLevel="1" x14ac:dyDescent="0.2">
      <c r="D337" s="37" t="s">
        <v>465</v>
      </c>
      <c r="E337" s="262"/>
      <c r="F337" s="261"/>
      <c r="G337" s="261"/>
      <c r="H337" s="261"/>
      <c r="I337" s="261"/>
      <c r="J337" s="261"/>
      <c r="K337" s="261"/>
      <c r="L337" s="261"/>
      <c r="M337" s="264">
        <f>E337</f>
        <v>0</v>
      </c>
      <c r="N337" s="264">
        <f>M337*VLOOKUP(G328,PRate01,2,FALSE)</f>
        <v>0</v>
      </c>
      <c r="O337" s="264">
        <f>N337*VLOOKUP(H328,PRate01,2,FALSE)</f>
        <v>0</v>
      </c>
      <c r="P337" s="264">
        <f>O337*VLOOKUP(I328,PRate01,2,FALSE)</f>
        <v>0</v>
      </c>
      <c r="Q337" s="264">
        <f>P337*VLOOKUP(J328,PRate01,2,FALSE)</f>
        <v>0</v>
      </c>
      <c r="S337" s="37" t="s">
        <v>999</v>
      </c>
      <c r="T337" s="210"/>
      <c r="V337" s="398">
        <v>8</v>
      </c>
      <c r="W337" s="394">
        <f t="shared" si="558"/>
        <v>0</v>
      </c>
      <c r="X337" s="394">
        <f t="shared" si="559"/>
        <v>0</v>
      </c>
      <c r="Y337" s="397"/>
      <c r="Z337" s="397"/>
      <c r="AA337" s="397"/>
    </row>
    <row r="338" spans="3:30" ht="12.75" hidden="1" customHeight="1" outlineLevel="1" x14ac:dyDescent="0.2">
      <c r="D338" s="37" t="s">
        <v>466</v>
      </c>
      <c r="E338" s="262"/>
      <c r="F338" s="261"/>
      <c r="G338" s="261"/>
      <c r="H338" s="261"/>
      <c r="I338" s="261"/>
      <c r="J338" s="261"/>
      <c r="K338" s="261"/>
      <c r="L338" s="261"/>
      <c r="M338" s="261"/>
      <c r="N338" s="264">
        <f>E338</f>
        <v>0</v>
      </c>
      <c r="O338" s="264">
        <f>N338*VLOOKUP(G328,PRate01,2,FALSE)</f>
        <v>0</v>
      </c>
      <c r="P338" s="264">
        <f>O338*VLOOKUP(H328,PRate01,2,FALSE)</f>
        <v>0</v>
      </c>
      <c r="Q338" s="264">
        <f>P338*VLOOKUP(I328,PRate01,2,FALSE)</f>
        <v>0</v>
      </c>
      <c r="S338" s="37" t="s">
        <v>1000</v>
      </c>
      <c r="T338" s="210"/>
      <c r="V338" s="398">
        <v>9</v>
      </c>
      <c r="W338" s="394">
        <f t="shared" si="558"/>
        <v>0</v>
      </c>
      <c r="X338" s="394">
        <f t="shared" si="559"/>
        <v>0</v>
      </c>
      <c r="Y338" s="397"/>
      <c r="Z338" s="397"/>
      <c r="AA338" s="397"/>
    </row>
    <row r="339" spans="3:30" ht="12.75" hidden="1" customHeight="1" outlineLevel="1" x14ac:dyDescent="0.2">
      <c r="D339" s="37" t="s">
        <v>467</v>
      </c>
      <c r="E339" s="262"/>
      <c r="F339" s="261"/>
      <c r="G339" s="261"/>
      <c r="H339" s="261"/>
      <c r="I339" s="261"/>
      <c r="J339" s="261"/>
      <c r="K339" s="261"/>
      <c r="L339" s="261"/>
      <c r="M339" s="261"/>
      <c r="N339" s="261"/>
      <c r="O339" s="395">
        <f>E339</f>
        <v>0</v>
      </c>
      <c r="P339" s="264">
        <f>O339*VLOOKUP(G328,PRate01,2,FALSE)</f>
        <v>0</v>
      </c>
      <c r="Q339" s="264">
        <f>P339*VLOOKUP(H328,PRate01,2,FALSE)</f>
        <v>0</v>
      </c>
      <c r="S339" s="37" t="s">
        <v>1001</v>
      </c>
      <c r="T339" s="210"/>
      <c r="V339" s="398">
        <v>10</v>
      </c>
      <c r="W339" s="394">
        <f t="shared" si="558"/>
        <v>0</v>
      </c>
      <c r="X339" s="394">
        <f t="shared" si="559"/>
        <v>0</v>
      </c>
      <c r="Y339" s="397"/>
      <c r="Z339" s="397"/>
      <c r="AA339" s="397"/>
    </row>
    <row r="340" spans="3:30" ht="12.75" hidden="1" customHeight="1" outlineLevel="1" x14ac:dyDescent="0.2">
      <c r="D340" s="37" t="s">
        <v>468</v>
      </c>
      <c r="E340" s="262"/>
      <c r="F340" s="261"/>
      <c r="G340" s="261"/>
      <c r="H340" s="261"/>
      <c r="I340" s="261"/>
      <c r="J340" s="261"/>
      <c r="K340" s="261"/>
      <c r="L340" s="261"/>
      <c r="M340" s="261"/>
      <c r="N340" s="261"/>
      <c r="O340" s="391"/>
      <c r="P340" s="395">
        <f>E340</f>
        <v>0</v>
      </c>
      <c r="Q340" s="264">
        <f>P340*VLOOKUP(G328,PRate01,2,FALSE)</f>
        <v>0</v>
      </c>
      <c r="S340" s="37" t="s">
        <v>1002</v>
      </c>
      <c r="T340" s="210"/>
      <c r="V340" s="398">
        <v>11</v>
      </c>
      <c r="W340" s="394">
        <f t="shared" si="558"/>
        <v>0</v>
      </c>
      <c r="X340" s="394">
        <f t="shared" si="559"/>
        <v>0</v>
      </c>
      <c r="Y340" s="397"/>
      <c r="Z340" s="397"/>
      <c r="AA340" s="397"/>
    </row>
    <row r="341" spans="3:30" ht="12.75" hidden="1" customHeight="1" outlineLevel="1" x14ac:dyDescent="0.2">
      <c r="D341" s="37" t="s">
        <v>469</v>
      </c>
      <c r="E341" s="262"/>
      <c r="F341" s="261"/>
      <c r="G341" s="261"/>
      <c r="H341" s="261"/>
      <c r="I341" s="261"/>
      <c r="J341" s="261"/>
      <c r="K341" s="261"/>
      <c r="L341" s="261"/>
      <c r="M341" s="261"/>
      <c r="N341" s="261"/>
      <c r="O341" s="391"/>
      <c r="P341" s="391"/>
      <c r="Q341" s="395">
        <f>E341</f>
        <v>0</v>
      </c>
      <c r="V341" s="398">
        <v>12</v>
      </c>
      <c r="W341" s="399"/>
      <c r="X341" s="394">
        <f t="shared" si="559"/>
        <v>0</v>
      </c>
      <c r="Y341" s="397"/>
      <c r="Z341" s="397"/>
      <c r="AA341" s="397"/>
    </row>
    <row r="342" spans="3:30" ht="12.75" hidden="1" customHeight="1" outlineLevel="1" x14ac:dyDescent="0.2"/>
    <row r="343" spans="3:30" ht="12.75" hidden="1" customHeight="1" outlineLevel="1" x14ac:dyDescent="0.2">
      <c r="Z343" s="542" t="str">
        <f>IF(AC345&lt;&gt;"",MsgNote &amp; VLOOKUP("PRate",WarningMessages,2),"")</f>
        <v/>
      </c>
      <c r="AA343" s="542"/>
      <c r="AB343" s="542"/>
      <c r="AC343" s="542"/>
      <c r="AD343" s="542"/>
    </row>
    <row r="344" spans="3:30" ht="12.75" hidden="1" customHeight="1" outlineLevel="1" x14ac:dyDescent="0.2">
      <c r="L344" s="121"/>
      <c r="M344" s="121"/>
      <c r="N344" s="121"/>
      <c r="O344" s="121"/>
      <c r="P344" s="121"/>
      <c r="Q344" s="121"/>
    </row>
    <row r="345" spans="3:30" ht="12.75" hidden="1" customHeight="1" outlineLevel="1" x14ac:dyDescent="0.2">
      <c r="D345" s="260"/>
      <c r="F345" s="74">
        <f t="shared" ref="F345" si="590">G345-1</f>
        <v>2020</v>
      </c>
      <c r="G345" s="74">
        <f t="shared" ref="G345" si="591">H345-1</f>
        <v>2021</v>
      </c>
      <c r="H345" s="74">
        <f t="shared" ref="H345" si="592">I345-1</f>
        <v>2022</v>
      </c>
      <c r="I345" s="74">
        <f t="shared" ref="I345" si="593">J345-1</f>
        <v>2023</v>
      </c>
      <c r="J345" s="74">
        <f t="shared" ref="J345" si="594">K345-1</f>
        <v>2024</v>
      </c>
      <c r="K345" s="74">
        <f t="shared" ref="K345" si="595">L345-1</f>
        <v>2025</v>
      </c>
      <c r="L345" s="74">
        <f>FirstYear</f>
        <v>2026</v>
      </c>
      <c r="M345" s="74">
        <f>L345+1</f>
        <v>2027</v>
      </c>
      <c r="N345" s="74">
        <f>M345+1</f>
        <v>2028</v>
      </c>
      <c r="O345" s="74">
        <f>N345+1</f>
        <v>2029</v>
      </c>
      <c r="P345" s="74">
        <f>O345+1</f>
        <v>2030</v>
      </c>
      <c r="Q345" s="74">
        <f>P345+1</f>
        <v>2031</v>
      </c>
      <c r="S345" s="675" t="s">
        <v>1288</v>
      </c>
      <c r="T345" s="675"/>
      <c r="Z345" s="673" t="s">
        <v>1291</v>
      </c>
      <c r="AA345" s="673"/>
      <c r="AB345" s="673"/>
      <c r="AC345" s="210"/>
    </row>
    <row r="346" spans="3:30" ht="12.75" hidden="1" customHeight="1" outlineLevel="1" x14ac:dyDescent="0.2">
      <c r="C346" s="396">
        <v>12</v>
      </c>
      <c r="D346" s="674" t="s">
        <v>273</v>
      </c>
      <c r="E346" s="643"/>
      <c r="F346" s="395">
        <f>F330*VLOOKUP(C357,PRate01,3,FALSE)</f>
        <v>0</v>
      </c>
      <c r="G346" s="395">
        <f>G330*VLOOKUP(C356,PRate01,3,FALSE)</f>
        <v>0</v>
      </c>
      <c r="H346" s="395">
        <f>H330*VLOOKUP(C355,PRate01,3,FALSE)</f>
        <v>0</v>
      </c>
      <c r="I346" s="395">
        <f>I330*VLOOKUP(C354,PRate01,3,FALSE)</f>
        <v>0</v>
      </c>
      <c r="J346" s="395">
        <f>J330*VLOOKUP(C353,PRate01,3,FALSE)</f>
        <v>0</v>
      </c>
      <c r="K346" s="395">
        <f t="shared" ref="K346:K351" si="596">K330*VLOOKUP(C352,PRate01,3,FALSE)</f>
        <v>0</v>
      </c>
      <c r="L346" s="395">
        <f t="shared" ref="L346:L352" si="597">L330*VLOOKUP(C351,PRate01,3,FALSE)</f>
        <v>0</v>
      </c>
      <c r="M346" s="395">
        <f t="shared" ref="M346:M353" si="598">M330*VLOOKUP(C350,PRate01,3,FALSE)</f>
        <v>0</v>
      </c>
      <c r="N346" s="395">
        <f t="shared" ref="N346:N354" si="599">N330*VLOOKUP(C349,PRate01,3,FALSE)</f>
        <v>0</v>
      </c>
      <c r="O346" s="395">
        <f t="shared" ref="O346:O355" si="600">O330*VLOOKUP(C348,PRate01,3,FALSE)</f>
        <v>0</v>
      </c>
      <c r="P346" s="395">
        <f t="shared" ref="P346:P356" si="601">P330*VLOOKUP(C347,PRate01,3,FALSE)</f>
        <v>0</v>
      </c>
      <c r="Q346" s="395">
        <f t="shared" ref="Q346:Q357" si="602">Q330*VLOOKUP(C346,PRate01,3,FALSE)</f>
        <v>0</v>
      </c>
      <c r="S346" s="392" t="s">
        <v>992</v>
      </c>
      <c r="T346" s="393"/>
      <c r="X346" s="397"/>
      <c r="Y346" s="397"/>
      <c r="Z346" s="397"/>
      <c r="AA346" s="397"/>
    </row>
    <row r="347" spans="3:30" ht="12.75" hidden="1" customHeight="1" outlineLevel="1" x14ac:dyDescent="0.2">
      <c r="C347" s="396">
        <v>11</v>
      </c>
      <c r="D347" s="674" t="s">
        <v>274</v>
      </c>
      <c r="E347" s="643"/>
      <c r="F347" s="261"/>
      <c r="G347" s="395">
        <f>G331*VLOOKUP(C357,PRate01,3,FALSE)</f>
        <v>0</v>
      </c>
      <c r="H347" s="395">
        <f>H331*VLOOKUP(C356,PRate01,3,FALSE)</f>
        <v>0</v>
      </c>
      <c r="I347" s="395">
        <f>I331*VLOOKUP(C355,PRate01,3,FALSE)</f>
        <v>0</v>
      </c>
      <c r="J347" s="395">
        <f>J331*VLOOKUP(C354,PRate01,3,FALSE)</f>
        <v>0</v>
      </c>
      <c r="K347" s="395">
        <f t="shared" si="596"/>
        <v>0</v>
      </c>
      <c r="L347" s="395">
        <f t="shared" si="597"/>
        <v>0</v>
      </c>
      <c r="M347" s="395">
        <f t="shared" si="598"/>
        <v>0</v>
      </c>
      <c r="N347" s="395">
        <f t="shared" si="599"/>
        <v>0</v>
      </c>
      <c r="O347" s="395">
        <f t="shared" si="600"/>
        <v>0</v>
      </c>
      <c r="P347" s="395">
        <f t="shared" si="601"/>
        <v>0</v>
      </c>
      <c r="Q347" s="395">
        <f t="shared" si="602"/>
        <v>0</v>
      </c>
      <c r="S347" s="37" t="s">
        <v>993</v>
      </c>
      <c r="T347" s="210"/>
      <c r="X347" s="397"/>
      <c r="Y347" s="397"/>
      <c r="Z347" s="37" t="s">
        <v>249</v>
      </c>
      <c r="AA347" s="575"/>
      <c r="AB347" s="575"/>
      <c r="AC347" s="575"/>
      <c r="AD347" s="575"/>
    </row>
    <row r="348" spans="3:30" ht="12.75" hidden="1" customHeight="1" outlineLevel="1" x14ac:dyDescent="0.2">
      <c r="C348" s="396">
        <v>10</v>
      </c>
      <c r="D348" s="674" t="s">
        <v>275</v>
      </c>
      <c r="E348" s="643"/>
      <c r="F348" s="261"/>
      <c r="G348" s="261"/>
      <c r="H348" s="395">
        <f>H332*VLOOKUP(C357,PRate01,3,FALSE)</f>
        <v>0</v>
      </c>
      <c r="I348" s="395">
        <f>I332*VLOOKUP(C356,PRate01,3,FALSE)</f>
        <v>0</v>
      </c>
      <c r="J348" s="395">
        <f>J332*VLOOKUP(C355,PRate01,3,FALSE)</f>
        <v>0</v>
      </c>
      <c r="K348" s="395">
        <f t="shared" si="596"/>
        <v>0</v>
      </c>
      <c r="L348" s="395">
        <f t="shared" si="597"/>
        <v>0</v>
      </c>
      <c r="M348" s="395">
        <f t="shared" si="598"/>
        <v>0</v>
      </c>
      <c r="N348" s="395">
        <f t="shared" si="599"/>
        <v>0</v>
      </c>
      <c r="O348" s="395">
        <f t="shared" si="600"/>
        <v>0</v>
      </c>
      <c r="P348" s="395">
        <f t="shared" si="601"/>
        <v>0</v>
      </c>
      <c r="Q348" s="395">
        <f t="shared" si="602"/>
        <v>0</v>
      </c>
      <c r="S348" s="37" t="s">
        <v>994</v>
      </c>
      <c r="T348" s="210"/>
      <c r="X348" s="397"/>
      <c r="Y348" s="397"/>
      <c r="Z348" s="397"/>
      <c r="AA348" s="397"/>
    </row>
    <row r="349" spans="3:30" ht="12.75" hidden="1" customHeight="1" outlineLevel="1" x14ac:dyDescent="0.2">
      <c r="C349" s="396">
        <v>9</v>
      </c>
      <c r="D349" s="674" t="s">
        <v>276</v>
      </c>
      <c r="E349" s="643"/>
      <c r="F349" s="261"/>
      <c r="G349" s="261"/>
      <c r="H349" s="261"/>
      <c r="I349" s="395">
        <f>I333*VLOOKUP(C357,PRate01,3,FALSE)</f>
        <v>0</v>
      </c>
      <c r="J349" s="395">
        <f>J333*VLOOKUP(C356,PRate01,3,FALSE)</f>
        <v>0</v>
      </c>
      <c r="K349" s="395">
        <f t="shared" si="596"/>
        <v>0</v>
      </c>
      <c r="L349" s="395">
        <f t="shared" si="597"/>
        <v>0</v>
      </c>
      <c r="M349" s="395">
        <f t="shared" si="598"/>
        <v>0</v>
      </c>
      <c r="N349" s="395">
        <f t="shared" si="599"/>
        <v>0</v>
      </c>
      <c r="O349" s="395">
        <f t="shared" si="600"/>
        <v>0</v>
      </c>
      <c r="P349" s="395">
        <f t="shared" si="601"/>
        <v>0</v>
      </c>
      <c r="Q349" s="395">
        <f t="shared" si="602"/>
        <v>0</v>
      </c>
      <c r="S349" s="37" t="s">
        <v>995</v>
      </c>
      <c r="T349" s="210"/>
      <c r="X349" s="397"/>
      <c r="Y349" s="397"/>
      <c r="Z349" s="397"/>
      <c r="AA349" s="397"/>
    </row>
    <row r="350" spans="3:30" ht="12.75" hidden="1" customHeight="1" outlineLevel="1" x14ac:dyDescent="0.2">
      <c r="C350" s="396">
        <v>8</v>
      </c>
      <c r="D350" s="674" t="s">
        <v>277</v>
      </c>
      <c r="E350" s="643"/>
      <c r="F350" s="261"/>
      <c r="G350" s="261"/>
      <c r="H350" s="261"/>
      <c r="I350" s="261"/>
      <c r="J350" s="395">
        <f>J334*VLOOKUP(C357,PRate01,3,FALSE)</f>
        <v>0</v>
      </c>
      <c r="K350" s="395">
        <f t="shared" si="596"/>
        <v>0</v>
      </c>
      <c r="L350" s="395">
        <f t="shared" si="597"/>
        <v>0</v>
      </c>
      <c r="M350" s="395">
        <f t="shared" si="598"/>
        <v>0</v>
      </c>
      <c r="N350" s="395">
        <f t="shared" si="599"/>
        <v>0</v>
      </c>
      <c r="O350" s="395">
        <f t="shared" si="600"/>
        <v>0</v>
      </c>
      <c r="P350" s="395">
        <f t="shared" si="601"/>
        <v>0</v>
      </c>
      <c r="Q350" s="395">
        <f t="shared" si="602"/>
        <v>0</v>
      </c>
      <c r="S350" s="37" t="s">
        <v>996</v>
      </c>
      <c r="T350" s="210"/>
      <c r="X350" s="397"/>
      <c r="Y350" s="397"/>
      <c r="Z350" s="397"/>
      <c r="AA350" s="397"/>
    </row>
    <row r="351" spans="3:30" ht="12.75" hidden="1" customHeight="1" outlineLevel="1" x14ac:dyDescent="0.2">
      <c r="C351" s="396">
        <v>7</v>
      </c>
      <c r="D351" s="674" t="s">
        <v>278</v>
      </c>
      <c r="E351" s="643"/>
      <c r="F351" s="261"/>
      <c r="G351" s="261"/>
      <c r="H351" s="261"/>
      <c r="I351" s="261"/>
      <c r="J351" s="261"/>
      <c r="K351" s="395">
        <f t="shared" si="596"/>
        <v>0</v>
      </c>
      <c r="L351" s="395">
        <f t="shared" si="597"/>
        <v>0</v>
      </c>
      <c r="M351" s="395">
        <f t="shared" si="598"/>
        <v>0</v>
      </c>
      <c r="N351" s="395">
        <f t="shared" si="599"/>
        <v>0</v>
      </c>
      <c r="O351" s="395">
        <f t="shared" si="600"/>
        <v>0</v>
      </c>
      <c r="P351" s="395">
        <f t="shared" si="601"/>
        <v>0</v>
      </c>
      <c r="Q351" s="395">
        <f t="shared" si="602"/>
        <v>0</v>
      </c>
      <c r="S351" s="37" t="s">
        <v>997</v>
      </c>
      <c r="T351" s="210"/>
      <c r="X351" s="397"/>
      <c r="Y351" s="397"/>
      <c r="Z351" s="397"/>
      <c r="AA351" s="397"/>
    </row>
    <row r="352" spans="3:30" ht="12.75" hidden="1" customHeight="1" outlineLevel="1" x14ac:dyDescent="0.2">
      <c r="C352" s="396">
        <v>6</v>
      </c>
      <c r="D352" s="674" t="s">
        <v>464</v>
      </c>
      <c r="E352" s="643"/>
      <c r="F352" s="261"/>
      <c r="G352" s="261"/>
      <c r="H352" s="261"/>
      <c r="I352" s="261"/>
      <c r="J352" s="261"/>
      <c r="K352" s="261"/>
      <c r="L352" s="395">
        <f t="shared" si="597"/>
        <v>0</v>
      </c>
      <c r="M352" s="395">
        <f t="shared" si="598"/>
        <v>0</v>
      </c>
      <c r="N352" s="395">
        <f t="shared" si="599"/>
        <v>0</v>
      </c>
      <c r="O352" s="395">
        <f t="shared" si="600"/>
        <v>0</v>
      </c>
      <c r="P352" s="395">
        <f t="shared" si="601"/>
        <v>0</v>
      </c>
      <c r="Q352" s="395">
        <f t="shared" si="602"/>
        <v>0</v>
      </c>
      <c r="S352" s="37" t="s">
        <v>998</v>
      </c>
      <c r="T352" s="210"/>
      <c r="X352" s="397"/>
      <c r="Y352" s="397"/>
      <c r="Z352" s="397"/>
      <c r="AA352" s="397"/>
    </row>
    <row r="353" spans="1:30" ht="12.75" hidden="1" customHeight="1" outlineLevel="1" x14ac:dyDescent="0.2">
      <c r="C353" s="396">
        <v>5</v>
      </c>
      <c r="D353" s="674" t="s">
        <v>465</v>
      </c>
      <c r="E353" s="643"/>
      <c r="F353" s="261"/>
      <c r="G353" s="261"/>
      <c r="H353" s="261"/>
      <c r="I353" s="261"/>
      <c r="J353" s="261"/>
      <c r="K353" s="261"/>
      <c r="L353" s="261"/>
      <c r="M353" s="395">
        <f t="shared" si="598"/>
        <v>0</v>
      </c>
      <c r="N353" s="395">
        <f t="shared" si="599"/>
        <v>0</v>
      </c>
      <c r="O353" s="395">
        <f t="shared" si="600"/>
        <v>0</v>
      </c>
      <c r="P353" s="395">
        <f t="shared" si="601"/>
        <v>0</v>
      </c>
      <c r="Q353" s="395">
        <f t="shared" si="602"/>
        <v>0</v>
      </c>
      <c r="S353" s="37" t="s">
        <v>999</v>
      </c>
      <c r="T353" s="210"/>
      <c r="X353" s="397"/>
      <c r="Y353" s="397"/>
      <c r="Z353" s="397"/>
      <c r="AA353" s="397"/>
    </row>
    <row r="354" spans="1:30" ht="12.75" hidden="1" customHeight="1" outlineLevel="1" x14ac:dyDescent="0.2">
      <c r="C354" s="396">
        <v>4</v>
      </c>
      <c r="D354" s="674" t="s">
        <v>466</v>
      </c>
      <c r="E354" s="643"/>
      <c r="F354" s="261"/>
      <c r="G354" s="261"/>
      <c r="H354" s="261"/>
      <c r="I354" s="261"/>
      <c r="J354" s="261"/>
      <c r="K354" s="261"/>
      <c r="L354" s="261"/>
      <c r="M354" s="261"/>
      <c r="N354" s="395">
        <f t="shared" si="599"/>
        <v>0</v>
      </c>
      <c r="O354" s="395">
        <f t="shared" si="600"/>
        <v>0</v>
      </c>
      <c r="P354" s="395">
        <f t="shared" si="601"/>
        <v>0</v>
      </c>
      <c r="Q354" s="395">
        <f t="shared" si="602"/>
        <v>0</v>
      </c>
      <c r="S354" s="37" t="s">
        <v>1000</v>
      </c>
      <c r="T354" s="210"/>
      <c r="X354" s="397"/>
      <c r="Y354" s="397"/>
      <c r="Z354" s="397"/>
      <c r="AA354" s="397"/>
    </row>
    <row r="355" spans="1:30" ht="12.75" hidden="1" customHeight="1" outlineLevel="1" x14ac:dyDescent="0.2">
      <c r="C355" s="396">
        <v>3</v>
      </c>
      <c r="D355" s="674" t="s">
        <v>467</v>
      </c>
      <c r="E355" s="643"/>
      <c r="F355" s="261"/>
      <c r="G355" s="261"/>
      <c r="H355" s="261"/>
      <c r="I355" s="261"/>
      <c r="J355" s="261"/>
      <c r="K355" s="261"/>
      <c r="L355" s="261"/>
      <c r="M355" s="261"/>
      <c r="N355" s="261"/>
      <c r="O355" s="395">
        <f t="shared" si="600"/>
        <v>0</v>
      </c>
      <c r="P355" s="395">
        <f t="shared" si="601"/>
        <v>0</v>
      </c>
      <c r="Q355" s="395">
        <f t="shared" si="602"/>
        <v>0</v>
      </c>
      <c r="S355" s="37" t="s">
        <v>1001</v>
      </c>
      <c r="T355" s="210"/>
      <c r="X355" s="397"/>
      <c r="Y355" s="397"/>
      <c r="Z355" s="397"/>
      <c r="AA355" s="397"/>
    </row>
    <row r="356" spans="1:30" ht="12.75" hidden="1" customHeight="1" outlineLevel="1" x14ac:dyDescent="0.2">
      <c r="C356" s="396">
        <v>2</v>
      </c>
      <c r="D356" s="674" t="s">
        <v>468</v>
      </c>
      <c r="E356" s="643"/>
      <c r="F356" s="261"/>
      <c r="G356" s="261"/>
      <c r="H356" s="261"/>
      <c r="I356" s="261"/>
      <c r="J356" s="261"/>
      <c r="K356" s="261"/>
      <c r="L356" s="261"/>
      <c r="M356" s="261"/>
      <c r="N356" s="261"/>
      <c r="O356" s="391"/>
      <c r="P356" s="395">
        <f t="shared" si="601"/>
        <v>0</v>
      </c>
      <c r="Q356" s="395">
        <f t="shared" si="602"/>
        <v>0</v>
      </c>
      <c r="S356" s="37" t="s">
        <v>1002</v>
      </c>
      <c r="T356" s="210"/>
      <c r="X356" s="397"/>
      <c r="Y356" s="397"/>
      <c r="Z356" s="397"/>
      <c r="AA356" s="397"/>
    </row>
    <row r="357" spans="1:30" ht="12.75" hidden="1" customHeight="1" outlineLevel="1" x14ac:dyDescent="0.2">
      <c r="C357" s="396">
        <v>1</v>
      </c>
      <c r="D357" s="674" t="s">
        <v>469</v>
      </c>
      <c r="E357" s="643"/>
      <c r="F357" s="261"/>
      <c r="G357" s="261"/>
      <c r="H357" s="261"/>
      <c r="I357" s="261"/>
      <c r="J357" s="261"/>
      <c r="K357" s="261"/>
      <c r="L357" s="261"/>
      <c r="M357" s="261"/>
      <c r="N357" s="261"/>
      <c r="O357" s="391"/>
      <c r="P357" s="391"/>
      <c r="Q357" s="395">
        <f t="shared" si="602"/>
        <v>0</v>
      </c>
      <c r="S357" s="37" t="s">
        <v>1022</v>
      </c>
      <c r="T357" s="210"/>
    </row>
    <row r="358" spans="1:30" ht="12.75" hidden="1" customHeight="1" outlineLevel="1" x14ac:dyDescent="0.2">
      <c r="K358" s="258" t="s">
        <v>73</v>
      </c>
      <c r="L358" s="263">
        <f>IFERROR((SUM(L346:L351)+IF(MATCH($AC$358,Switch,0)=1,L352,0)),0)</f>
        <v>0</v>
      </c>
      <c r="M358" s="263">
        <f>IFERROR((SUM(M346:M352)+IF(MATCH($AC$358,Switch,0)=1,M353,0)),0)</f>
        <v>0</v>
      </c>
      <c r="N358" s="263">
        <f>IFERROR((SUM(N346:N353)+IF(MATCH($AC$358,Switch,0)=1,N354,0)),0)</f>
        <v>0</v>
      </c>
      <c r="O358" s="263">
        <f>IFERROR((SUM(O346:O354)+IF(MATCH($AC$358,Switch,0)=1,O355,0)),0)</f>
        <v>0</v>
      </c>
      <c r="P358" s="263">
        <f>IFERROR((SUM(P346:P355)+IF(MATCH($AC$358,Switch,0)=1,P356,0)),0)</f>
        <v>0</v>
      </c>
      <c r="Q358" s="263">
        <f>IFERROR((SUM(Q346:Q356)+IF(MATCH($AC$358,Switch,0)=1,Q357,0)),0)</f>
        <v>0</v>
      </c>
      <c r="Z358" s="670" t="s">
        <v>1289</v>
      </c>
      <c r="AA358" s="671"/>
      <c r="AB358" s="672"/>
      <c r="AC358" s="227" t="s">
        <v>9</v>
      </c>
    </row>
    <row r="359" spans="1:30" ht="12.75" hidden="1" customHeight="1" outlineLevel="1" x14ac:dyDescent="0.2"/>
    <row r="360" spans="1:30" ht="12.75" customHeight="1" collapsed="1" x14ac:dyDescent="0.2"/>
    <row r="361" spans="1:30" ht="15.75" x14ac:dyDescent="0.2">
      <c r="A361" s="172"/>
      <c r="B361" s="209">
        <f>IF(G363&lt;&gt;"",1,0)</f>
        <v>0</v>
      </c>
      <c r="C361" s="209">
        <v>10</v>
      </c>
      <c r="D361" s="72" t="str">
        <f>IF(B361=0,MsgNotUsed, CONCATENATE("Persistent ", C361, ": ", G363, " (", F367, "-", Q367, ")"))</f>
        <v>** NOT USED **</v>
      </c>
      <c r="E361" s="113"/>
      <c r="F361" s="113"/>
      <c r="G361" s="113"/>
      <c r="H361" s="113"/>
      <c r="I361" s="113"/>
      <c r="J361" s="154"/>
      <c r="K361" s="113"/>
      <c r="L361" s="113"/>
      <c r="M361" s="113"/>
      <c r="N361" s="224"/>
      <c r="O361" s="224"/>
      <c r="P361" s="224"/>
      <c r="Q361" s="224"/>
      <c r="R361" s="224"/>
      <c r="S361" s="224"/>
      <c r="T361" s="224"/>
      <c r="U361" s="224"/>
      <c r="V361" s="224"/>
      <c r="W361" s="224"/>
      <c r="X361" s="224"/>
      <c r="Y361" s="224"/>
      <c r="Z361" s="224"/>
      <c r="AA361" s="224"/>
      <c r="AB361" s="224"/>
      <c r="AC361" s="224"/>
      <c r="AD361" s="224"/>
    </row>
    <row r="362" spans="1:30" ht="12.75" hidden="1" customHeight="1" outlineLevel="1" x14ac:dyDescent="0.2"/>
    <row r="363" spans="1:30" ht="12.75" hidden="1" customHeight="1" outlineLevel="1" x14ac:dyDescent="0.2">
      <c r="F363" s="37" t="s">
        <v>470</v>
      </c>
      <c r="G363" s="669"/>
      <c r="H363" s="642"/>
      <c r="I363" s="642"/>
      <c r="J363" s="642"/>
      <c r="K363" s="642"/>
      <c r="L363" s="643"/>
    </row>
    <row r="364" spans="1:30" ht="12.75" hidden="1" customHeight="1" outlineLevel="1" x14ac:dyDescent="0.2"/>
    <row r="365" spans="1:30" ht="12.75" hidden="1" customHeight="1" outlineLevel="1" x14ac:dyDescent="0.2">
      <c r="F365" s="37" t="s">
        <v>249</v>
      </c>
      <c r="G365" s="669"/>
      <c r="H365" s="642"/>
      <c r="I365" s="642"/>
      <c r="J365" s="642"/>
      <c r="K365" s="642"/>
      <c r="L365" s="643"/>
      <c r="Z365" s="542" t="str">
        <f>IF(AC367&lt;&gt;"",MsgNote &amp; VLOOKUP("PRate",WarningMessages,2),"")</f>
        <v/>
      </c>
      <c r="AA365" s="542"/>
      <c r="AB365" s="542"/>
      <c r="AC365" s="542"/>
      <c r="AD365" s="542"/>
    </row>
    <row r="366" spans="1:30" ht="12.75" hidden="1" customHeight="1" outlineLevel="1" x14ac:dyDescent="0.2">
      <c r="G366" s="400">
        <v>1</v>
      </c>
      <c r="H366" s="400">
        <v>2</v>
      </c>
      <c r="I366" s="400">
        <v>3</v>
      </c>
      <c r="J366" s="400">
        <v>4</v>
      </c>
      <c r="K366" s="400">
        <v>5</v>
      </c>
      <c r="L366" s="400">
        <v>6</v>
      </c>
      <c r="M366" s="400">
        <v>7</v>
      </c>
      <c r="N366" s="400">
        <v>8</v>
      </c>
      <c r="O366" s="400">
        <v>9</v>
      </c>
      <c r="P366" s="400">
        <v>10</v>
      </c>
      <c r="Q366" s="400">
        <v>11</v>
      </c>
    </row>
    <row r="367" spans="1:30" ht="12.75" hidden="1" customHeight="1" outlineLevel="1" x14ac:dyDescent="0.2">
      <c r="D367" s="260"/>
      <c r="E367" s="74" t="s">
        <v>1052</v>
      </c>
      <c r="F367" s="74">
        <f t="shared" ref="F367" si="603">G367-1</f>
        <v>2020</v>
      </c>
      <c r="G367" s="74">
        <f t="shared" ref="G367" si="604">H367-1</f>
        <v>2021</v>
      </c>
      <c r="H367" s="74">
        <f t="shared" ref="H367" si="605">I367-1</f>
        <v>2022</v>
      </c>
      <c r="I367" s="74">
        <f t="shared" ref="I367" si="606">J367-1</f>
        <v>2023</v>
      </c>
      <c r="J367" s="74">
        <f t="shared" ref="J367" si="607">K367-1</f>
        <v>2024</v>
      </c>
      <c r="K367" s="74">
        <f t="shared" ref="K367" si="608">L367-1</f>
        <v>2025</v>
      </c>
      <c r="L367" s="74">
        <f>FirstYear</f>
        <v>2026</v>
      </c>
      <c r="M367" s="74">
        <f>L367+1</f>
        <v>2027</v>
      </c>
      <c r="N367" s="74">
        <f>M367+1</f>
        <v>2028</v>
      </c>
      <c r="O367" s="74">
        <f>N367+1</f>
        <v>2029</v>
      </c>
      <c r="P367" s="74">
        <f>O367+1</f>
        <v>2030</v>
      </c>
      <c r="Q367" s="74">
        <f>P367+1</f>
        <v>2031</v>
      </c>
      <c r="S367" s="675" t="s">
        <v>1287</v>
      </c>
      <c r="T367" s="675"/>
      <c r="Z367" s="673" t="s">
        <v>1290</v>
      </c>
      <c r="AA367" s="673"/>
      <c r="AB367" s="673"/>
      <c r="AC367" s="210"/>
    </row>
    <row r="368" spans="1:30" ht="12.75" hidden="1" customHeight="1" outlineLevel="1" x14ac:dyDescent="0.2">
      <c r="D368" s="37" t="s">
        <v>273</v>
      </c>
      <c r="E368" s="262"/>
      <c r="F368" s="264">
        <f>E368</f>
        <v>0</v>
      </c>
      <c r="G368" s="264">
        <f t="shared" ref="G368" si="609">F368*VLOOKUP(G366,PRate01,2,FALSE)</f>
        <v>0</v>
      </c>
      <c r="H368" s="264">
        <f t="shared" ref="H368" si="610">G368*VLOOKUP(H366,PRate01,2,FALSE)</f>
        <v>0</v>
      </c>
      <c r="I368" s="264">
        <f t="shared" ref="I368" si="611">H368*VLOOKUP(I366,PRate01,2,FALSE)</f>
        <v>0</v>
      </c>
      <c r="J368" s="264">
        <f t="shared" ref="J368" si="612">I368*VLOOKUP(J366,PRate01,2,FALSE)</f>
        <v>0</v>
      </c>
      <c r="K368" s="264">
        <f t="shared" ref="K368" si="613">J368*VLOOKUP(K366,PRate01,2,FALSE)</f>
        <v>0</v>
      </c>
      <c r="L368" s="264">
        <f t="shared" ref="L368" si="614">K368*VLOOKUP(L366,PRate01,2,FALSE)</f>
        <v>0</v>
      </c>
      <c r="M368" s="264">
        <f t="shared" ref="M368" si="615">L368*VLOOKUP(M366,PRate01,2,FALSE)</f>
        <v>0</v>
      </c>
      <c r="N368" s="264">
        <f t="shared" ref="N368" si="616">M368*VLOOKUP(N366,PRate01,2,FALSE)</f>
        <v>0</v>
      </c>
      <c r="O368" s="264">
        <f t="shared" ref="O368" si="617">N368*VLOOKUP(O366,PRate01,2,FALSE)</f>
        <v>0</v>
      </c>
      <c r="P368" s="264">
        <f t="shared" ref="P368" si="618">O368*VLOOKUP(P366,PRate01,2,FALSE)</f>
        <v>0</v>
      </c>
      <c r="Q368" s="264">
        <f t="shared" ref="Q368" si="619">P368*VLOOKUP(Q366,PRate01,2,FALSE)</f>
        <v>0</v>
      </c>
      <c r="S368" s="392" t="s">
        <v>992</v>
      </c>
      <c r="T368" s="393"/>
      <c r="V368" s="398">
        <v>1</v>
      </c>
      <c r="W368" s="394">
        <f>IF($AC$367&lt;&gt;"",$AC$367,T368)</f>
        <v>0</v>
      </c>
      <c r="X368" s="394">
        <f>IF($AC$383&lt;&gt;"",$AC$383,T384)</f>
        <v>0</v>
      </c>
      <c r="Y368" s="397"/>
      <c r="Z368" s="397"/>
      <c r="AA368" s="397"/>
    </row>
    <row r="369" spans="3:30" ht="12.75" hidden="1" customHeight="1" outlineLevel="1" x14ac:dyDescent="0.2">
      <c r="D369" s="37" t="s">
        <v>274</v>
      </c>
      <c r="E369" s="262"/>
      <c r="F369" s="261"/>
      <c r="G369" s="264">
        <f>E369</f>
        <v>0</v>
      </c>
      <c r="H369" s="264">
        <f t="shared" ref="H369" si="620">G369*VLOOKUP(G366,PRate01,2,FALSE)</f>
        <v>0</v>
      </c>
      <c r="I369" s="264">
        <f t="shared" ref="I369" si="621">H369*VLOOKUP(H366,PRate01,2,FALSE)</f>
        <v>0</v>
      </c>
      <c r="J369" s="264">
        <f t="shared" ref="J369" si="622">I369*VLOOKUP(I366,PRate01,2,FALSE)</f>
        <v>0</v>
      </c>
      <c r="K369" s="264">
        <f t="shared" ref="K369" si="623">J369*VLOOKUP(J366,PRate01,2,FALSE)</f>
        <v>0</v>
      </c>
      <c r="L369" s="264">
        <f t="shared" ref="L369" si="624">K369*VLOOKUP(K366,PRate01,2,FALSE)</f>
        <v>0</v>
      </c>
      <c r="M369" s="264">
        <f t="shared" ref="M369" si="625">L369*VLOOKUP(L366,PRate01,2,FALSE)</f>
        <v>0</v>
      </c>
      <c r="N369" s="264">
        <f t="shared" ref="N369" si="626">M369*VLOOKUP(M366,PRate01,2,FALSE)</f>
        <v>0</v>
      </c>
      <c r="O369" s="264">
        <f t="shared" ref="O369" si="627">N369*VLOOKUP(N366,PRate01,2,FALSE)</f>
        <v>0</v>
      </c>
      <c r="P369" s="264">
        <f t="shared" ref="P369" si="628">O369*VLOOKUP(O366,PRate01,2,FALSE)</f>
        <v>0</v>
      </c>
      <c r="Q369" s="264">
        <f t="shared" ref="Q369" si="629">P369*VLOOKUP(P366,PRate01,2,FALSE)</f>
        <v>0</v>
      </c>
      <c r="S369" s="37" t="s">
        <v>993</v>
      </c>
      <c r="T369" s="210"/>
      <c r="V369" s="398">
        <v>2</v>
      </c>
      <c r="W369" s="394">
        <f t="shared" ref="W369:W378" si="630">IF($AC$367&lt;&gt;"",$AC$367,T369)</f>
        <v>0</v>
      </c>
      <c r="X369" s="394">
        <f t="shared" ref="X369:X379" si="631">IF($AC$383&lt;&gt;"",$AC$383,T385)</f>
        <v>0</v>
      </c>
      <c r="Z369" s="37" t="s">
        <v>249</v>
      </c>
      <c r="AA369" s="575"/>
      <c r="AB369" s="575"/>
      <c r="AC369" s="575"/>
      <c r="AD369" s="575"/>
    </row>
    <row r="370" spans="3:30" ht="12.75" hidden="1" customHeight="1" outlineLevel="1" x14ac:dyDescent="0.2">
      <c r="D370" s="37" t="s">
        <v>275</v>
      </c>
      <c r="E370" s="262"/>
      <c r="F370" s="261"/>
      <c r="G370" s="261"/>
      <c r="H370" s="264">
        <f>E370</f>
        <v>0</v>
      </c>
      <c r="I370" s="264">
        <f t="shared" ref="I370" si="632">H370*VLOOKUP(G366,PRate01,2,FALSE)</f>
        <v>0</v>
      </c>
      <c r="J370" s="264">
        <f t="shared" ref="J370" si="633">I370*VLOOKUP(H366,PRate01,2,FALSE)</f>
        <v>0</v>
      </c>
      <c r="K370" s="264">
        <f t="shared" ref="K370" si="634">J370*VLOOKUP(I366,PRate01,2,FALSE)</f>
        <v>0</v>
      </c>
      <c r="L370" s="264">
        <f t="shared" ref="L370" si="635">K370*VLOOKUP(J366,PRate01,2,FALSE)</f>
        <v>0</v>
      </c>
      <c r="M370" s="264">
        <f t="shared" ref="M370" si="636">L370*VLOOKUP(K366,PRate01,2,FALSE)</f>
        <v>0</v>
      </c>
      <c r="N370" s="264">
        <f t="shared" ref="N370" si="637">M370*VLOOKUP(L366,PRate01,2,FALSE)</f>
        <v>0</v>
      </c>
      <c r="O370" s="264">
        <f t="shared" ref="O370" si="638">N370*VLOOKUP(M366,PRate01,2,FALSE)</f>
        <v>0</v>
      </c>
      <c r="P370" s="264">
        <f t="shared" ref="P370" si="639">O370*VLOOKUP(N366,PRate01,2,FALSE)</f>
        <v>0</v>
      </c>
      <c r="Q370" s="264">
        <f t="shared" ref="Q370" si="640">P370*VLOOKUP(O366,PRate01,2,FALSE)</f>
        <v>0</v>
      </c>
      <c r="S370" s="37" t="s">
        <v>994</v>
      </c>
      <c r="T370" s="210"/>
      <c r="V370" s="398">
        <v>3</v>
      </c>
      <c r="W370" s="394">
        <f t="shared" si="630"/>
        <v>0</v>
      </c>
      <c r="X370" s="394">
        <f t="shared" si="631"/>
        <v>0</v>
      </c>
      <c r="Y370" s="397"/>
      <c r="Z370" s="397"/>
      <c r="AA370" s="397"/>
    </row>
    <row r="371" spans="3:30" ht="12.75" hidden="1" customHeight="1" outlineLevel="1" x14ac:dyDescent="0.2">
      <c r="D371" s="37" t="s">
        <v>276</v>
      </c>
      <c r="E371" s="262"/>
      <c r="F371" s="261"/>
      <c r="G371" s="261"/>
      <c r="H371" s="261"/>
      <c r="I371" s="264">
        <f>E371</f>
        <v>0</v>
      </c>
      <c r="J371" s="264">
        <f t="shared" ref="J371" si="641">I371*VLOOKUP(G366,PRate01,2,FALSE)</f>
        <v>0</v>
      </c>
      <c r="K371" s="264">
        <f t="shared" ref="K371" si="642">J371*VLOOKUP(H366,PRate01,2,FALSE)</f>
        <v>0</v>
      </c>
      <c r="L371" s="264">
        <f t="shared" ref="L371" si="643">K371*VLOOKUP(I366,PRate01,2,FALSE)</f>
        <v>0</v>
      </c>
      <c r="M371" s="264">
        <f t="shared" ref="M371" si="644">L371*VLOOKUP(J366,PRate01,2,FALSE)</f>
        <v>0</v>
      </c>
      <c r="N371" s="264">
        <f t="shared" ref="N371" si="645">M371*VLOOKUP(K366,PRate01,2,FALSE)</f>
        <v>0</v>
      </c>
      <c r="O371" s="264">
        <f t="shared" ref="O371" si="646">N371*VLOOKUP(L366,PRate01,2,FALSE)</f>
        <v>0</v>
      </c>
      <c r="P371" s="264">
        <f t="shared" ref="P371" si="647">O371*VLOOKUP(M366,PRate01,2,FALSE)</f>
        <v>0</v>
      </c>
      <c r="Q371" s="264">
        <f t="shared" ref="Q371" si="648">P371*VLOOKUP(N366,PRate01,2,FALSE)</f>
        <v>0</v>
      </c>
      <c r="S371" s="37" t="s">
        <v>995</v>
      </c>
      <c r="T371" s="210"/>
      <c r="V371" s="398">
        <v>4</v>
      </c>
      <c r="W371" s="394">
        <f t="shared" si="630"/>
        <v>0</v>
      </c>
      <c r="X371" s="394">
        <f t="shared" si="631"/>
        <v>0</v>
      </c>
      <c r="Y371" s="397"/>
      <c r="Z371" s="397"/>
      <c r="AA371" s="397"/>
    </row>
    <row r="372" spans="3:30" ht="12.75" hidden="1" customHeight="1" outlineLevel="1" x14ac:dyDescent="0.2">
      <c r="D372" s="37" t="s">
        <v>277</v>
      </c>
      <c r="E372" s="262"/>
      <c r="F372" s="261"/>
      <c r="G372" s="261"/>
      <c r="H372" s="261"/>
      <c r="I372" s="261"/>
      <c r="J372" s="264">
        <f>E372</f>
        <v>0</v>
      </c>
      <c r="K372" s="264">
        <f t="shared" ref="K372" si="649">J372*VLOOKUP(G366,PRate01,2,FALSE)</f>
        <v>0</v>
      </c>
      <c r="L372" s="264">
        <f t="shared" ref="L372" si="650">K372*VLOOKUP(H366,PRate01,2,FALSE)</f>
        <v>0</v>
      </c>
      <c r="M372" s="264">
        <f t="shared" ref="M372" si="651">L372*VLOOKUP(I366,PRate01,2,FALSE)</f>
        <v>0</v>
      </c>
      <c r="N372" s="264">
        <f t="shared" ref="N372" si="652">M372*VLOOKUP(J366,PRate01,2,FALSE)</f>
        <v>0</v>
      </c>
      <c r="O372" s="264">
        <f t="shared" ref="O372" si="653">N372*VLOOKUP(K366,PRate01,2,FALSE)</f>
        <v>0</v>
      </c>
      <c r="P372" s="264">
        <f t="shared" ref="P372" si="654">O372*VLOOKUP(L366,PRate01,2,FALSE)</f>
        <v>0</v>
      </c>
      <c r="Q372" s="264">
        <f t="shared" ref="Q372" si="655">P372*VLOOKUP(M366,PRate01,2,FALSE)</f>
        <v>0</v>
      </c>
      <c r="S372" s="37" t="s">
        <v>996</v>
      </c>
      <c r="T372" s="210"/>
      <c r="V372" s="398">
        <v>5</v>
      </c>
      <c r="W372" s="394">
        <f t="shared" si="630"/>
        <v>0</v>
      </c>
      <c r="X372" s="394">
        <f t="shared" si="631"/>
        <v>0</v>
      </c>
      <c r="Y372" s="397"/>
      <c r="Z372" s="397"/>
      <c r="AA372" s="397"/>
    </row>
    <row r="373" spans="3:30" ht="12.75" hidden="1" customHeight="1" outlineLevel="1" x14ac:dyDescent="0.2">
      <c r="D373" s="37" t="s">
        <v>278</v>
      </c>
      <c r="E373" s="262"/>
      <c r="F373" s="261"/>
      <c r="G373" s="261"/>
      <c r="H373" s="261"/>
      <c r="I373" s="261"/>
      <c r="J373" s="261"/>
      <c r="K373" s="264">
        <f>E373</f>
        <v>0</v>
      </c>
      <c r="L373" s="264">
        <f t="shared" ref="L373" si="656">K373*VLOOKUP(G366,PRate01,2,FALSE)</f>
        <v>0</v>
      </c>
      <c r="M373" s="264">
        <f t="shared" ref="M373" si="657">L373*VLOOKUP(H366,PRate01,2,FALSE)</f>
        <v>0</v>
      </c>
      <c r="N373" s="264">
        <f t="shared" ref="N373" si="658">M373*VLOOKUP(I366,PRate01,2,FALSE)</f>
        <v>0</v>
      </c>
      <c r="O373" s="264">
        <f t="shared" ref="O373" si="659">N373*VLOOKUP(J366,PRate01,2,FALSE)</f>
        <v>0</v>
      </c>
      <c r="P373" s="264">
        <f t="shared" ref="P373" si="660">O373*VLOOKUP(K366,PRate01,2,FALSE)</f>
        <v>0</v>
      </c>
      <c r="Q373" s="264">
        <f t="shared" ref="Q373" si="661">P373*VLOOKUP(L366,PRate01,2,FALSE)</f>
        <v>0</v>
      </c>
      <c r="S373" s="37" t="s">
        <v>997</v>
      </c>
      <c r="T373" s="210"/>
      <c r="V373" s="398">
        <v>6</v>
      </c>
      <c r="W373" s="394">
        <f t="shared" si="630"/>
        <v>0</v>
      </c>
      <c r="X373" s="394">
        <f t="shared" si="631"/>
        <v>0</v>
      </c>
      <c r="Y373" s="397"/>
      <c r="Z373" s="397"/>
      <c r="AA373" s="397"/>
    </row>
    <row r="374" spans="3:30" ht="12.75" hidden="1" customHeight="1" outlineLevel="1" x14ac:dyDescent="0.2">
      <c r="D374" s="37" t="s">
        <v>464</v>
      </c>
      <c r="E374" s="262"/>
      <c r="F374" s="261"/>
      <c r="G374" s="261"/>
      <c r="H374" s="261"/>
      <c r="I374" s="261"/>
      <c r="J374" s="261"/>
      <c r="K374" s="261"/>
      <c r="L374" s="264">
        <f>E374</f>
        <v>0</v>
      </c>
      <c r="M374" s="264">
        <f>L374*VLOOKUP(G366,PRate01,2,FALSE)</f>
        <v>0</v>
      </c>
      <c r="N374" s="264">
        <f>M374*VLOOKUP(H366,PRate01,2,FALSE)</f>
        <v>0</v>
      </c>
      <c r="O374" s="264">
        <f>N374*VLOOKUP(I366,PRate01,2,FALSE)</f>
        <v>0</v>
      </c>
      <c r="P374" s="264">
        <f>O374*VLOOKUP(J366,PRate01,2,FALSE)</f>
        <v>0</v>
      </c>
      <c r="Q374" s="264">
        <f>P374*VLOOKUP(K366,PRate01,2,FALSE)</f>
        <v>0</v>
      </c>
      <c r="S374" s="37" t="s">
        <v>998</v>
      </c>
      <c r="T374" s="210"/>
      <c r="V374" s="398">
        <v>7</v>
      </c>
      <c r="W374" s="394">
        <f t="shared" si="630"/>
        <v>0</v>
      </c>
      <c r="X374" s="394">
        <f t="shared" si="631"/>
        <v>0</v>
      </c>
      <c r="Y374" s="397"/>
      <c r="Z374" s="397"/>
      <c r="AA374" s="397"/>
    </row>
    <row r="375" spans="3:30" ht="12.75" hidden="1" customHeight="1" outlineLevel="1" x14ac:dyDescent="0.2">
      <c r="D375" s="37" t="s">
        <v>465</v>
      </c>
      <c r="E375" s="262"/>
      <c r="F375" s="261"/>
      <c r="G375" s="261"/>
      <c r="H375" s="261"/>
      <c r="I375" s="261"/>
      <c r="J375" s="261"/>
      <c r="K375" s="261"/>
      <c r="L375" s="261"/>
      <c r="M375" s="264">
        <f>E375</f>
        <v>0</v>
      </c>
      <c r="N375" s="264">
        <f>M375*VLOOKUP(G366,PRate01,2,FALSE)</f>
        <v>0</v>
      </c>
      <c r="O375" s="264">
        <f>N375*VLOOKUP(H366,PRate01,2,FALSE)</f>
        <v>0</v>
      </c>
      <c r="P375" s="264">
        <f>O375*VLOOKUP(I366,PRate01,2,FALSE)</f>
        <v>0</v>
      </c>
      <c r="Q375" s="264">
        <f>P375*VLOOKUP(J366,PRate01,2,FALSE)</f>
        <v>0</v>
      </c>
      <c r="S375" s="37" t="s">
        <v>999</v>
      </c>
      <c r="T375" s="210"/>
      <c r="V375" s="398">
        <v>8</v>
      </c>
      <c r="W375" s="394">
        <f t="shared" si="630"/>
        <v>0</v>
      </c>
      <c r="X375" s="394">
        <f t="shared" si="631"/>
        <v>0</v>
      </c>
      <c r="Y375" s="397"/>
      <c r="Z375" s="397"/>
      <c r="AA375" s="397"/>
    </row>
    <row r="376" spans="3:30" ht="12.75" hidden="1" customHeight="1" outlineLevel="1" x14ac:dyDescent="0.2">
      <c r="D376" s="37" t="s">
        <v>466</v>
      </c>
      <c r="E376" s="262"/>
      <c r="F376" s="261"/>
      <c r="G376" s="261"/>
      <c r="H376" s="261"/>
      <c r="I376" s="261"/>
      <c r="J376" s="261"/>
      <c r="K376" s="261"/>
      <c r="L376" s="261"/>
      <c r="M376" s="261"/>
      <c r="N376" s="264">
        <f>E376</f>
        <v>0</v>
      </c>
      <c r="O376" s="264">
        <f>N376*VLOOKUP(G366,PRate01,2,FALSE)</f>
        <v>0</v>
      </c>
      <c r="P376" s="264">
        <f>O376*VLOOKUP(H366,PRate01,2,FALSE)</f>
        <v>0</v>
      </c>
      <c r="Q376" s="264">
        <f>P376*VLOOKUP(I366,PRate01,2,FALSE)</f>
        <v>0</v>
      </c>
      <c r="S376" s="37" t="s">
        <v>1000</v>
      </c>
      <c r="T376" s="210"/>
      <c r="V376" s="398">
        <v>9</v>
      </c>
      <c r="W376" s="394">
        <f t="shared" si="630"/>
        <v>0</v>
      </c>
      <c r="X376" s="394">
        <f t="shared" si="631"/>
        <v>0</v>
      </c>
      <c r="Y376" s="397"/>
      <c r="Z376" s="397"/>
      <c r="AA376" s="397"/>
    </row>
    <row r="377" spans="3:30" ht="12.75" hidden="1" customHeight="1" outlineLevel="1" x14ac:dyDescent="0.2">
      <c r="D377" s="37" t="s">
        <v>467</v>
      </c>
      <c r="E377" s="262"/>
      <c r="F377" s="261"/>
      <c r="G377" s="261"/>
      <c r="H377" s="261"/>
      <c r="I377" s="261"/>
      <c r="J377" s="261"/>
      <c r="K377" s="261"/>
      <c r="L377" s="261"/>
      <c r="M377" s="261"/>
      <c r="N377" s="261"/>
      <c r="O377" s="395">
        <f>E377</f>
        <v>0</v>
      </c>
      <c r="P377" s="264">
        <f>O377*VLOOKUP(G366,PRate01,2,FALSE)</f>
        <v>0</v>
      </c>
      <c r="Q377" s="264">
        <f>P377*VLOOKUP(H366,PRate01,2,FALSE)</f>
        <v>0</v>
      </c>
      <c r="S377" s="37" t="s">
        <v>1001</v>
      </c>
      <c r="T377" s="210"/>
      <c r="V377" s="398">
        <v>10</v>
      </c>
      <c r="W377" s="394">
        <f t="shared" si="630"/>
        <v>0</v>
      </c>
      <c r="X377" s="394">
        <f t="shared" si="631"/>
        <v>0</v>
      </c>
      <c r="Y377" s="397"/>
      <c r="Z377" s="397"/>
      <c r="AA377" s="397"/>
    </row>
    <row r="378" spans="3:30" ht="12.75" hidden="1" customHeight="1" outlineLevel="1" x14ac:dyDescent="0.2">
      <c r="D378" s="37" t="s">
        <v>468</v>
      </c>
      <c r="E378" s="262"/>
      <c r="F378" s="261"/>
      <c r="G378" s="261"/>
      <c r="H378" s="261"/>
      <c r="I378" s="261"/>
      <c r="J378" s="261"/>
      <c r="K378" s="261"/>
      <c r="L378" s="261"/>
      <c r="M378" s="261"/>
      <c r="N378" s="261"/>
      <c r="O378" s="391"/>
      <c r="P378" s="395">
        <f>E378</f>
        <v>0</v>
      </c>
      <c r="Q378" s="264">
        <f>P378*VLOOKUP(G366,PRate01,2,FALSE)</f>
        <v>0</v>
      </c>
      <c r="S378" s="37" t="s">
        <v>1002</v>
      </c>
      <c r="T378" s="210"/>
      <c r="V378" s="398">
        <v>11</v>
      </c>
      <c r="W378" s="394">
        <f t="shared" si="630"/>
        <v>0</v>
      </c>
      <c r="X378" s="394">
        <f t="shared" si="631"/>
        <v>0</v>
      </c>
      <c r="Y378" s="397"/>
      <c r="Z378" s="397"/>
      <c r="AA378" s="397"/>
    </row>
    <row r="379" spans="3:30" ht="12.75" hidden="1" customHeight="1" outlineLevel="1" x14ac:dyDescent="0.2">
      <c r="D379" s="37" t="s">
        <v>469</v>
      </c>
      <c r="E379" s="262"/>
      <c r="F379" s="261"/>
      <c r="G379" s="261"/>
      <c r="H379" s="261"/>
      <c r="I379" s="261"/>
      <c r="J379" s="261"/>
      <c r="K379" s="261"/>
      <c r="L379" s="261"/>
      <c r="M379" s="261"/>
      <c r="N379" s="261"/>
      <c r="O379" s="391"/>
      <c r="P379" s="391"/>
      <c r="Q379" s="395">
        <f>E379</f>
        <v>0</v>
      </c>
      <c r="V379" s="398">
        <v>12</v>
      </c>
      <c r="W379" s="399"/>
      <c r="X379" s="394">
        <f t="shared" si="631"/>
        <v>0</v>
      </c>
      <c r="Y379" s="397"/>
      <c r="Z379" s="397"/>
      <c r="AA379" s="397"/>
    </row>
    <row r="380" spans="3:30" ht="12.75" hidden="1" customHeight="1" outlineLevel="1" x14ac:dyDescent="0.2"/>
    <row r="381" spans="3:30" ht="12.75" hidden="1" customHeight="1" outlineLevel="1" x14ac:dyDescent="0.2">
      <c r="Z381" s="542" t="str">
        <f>IF(AC383&lt;&gt;"",MsgNote &amp; VLOOKUP("PRate",WarningMessages,2),"")</f>
        <v/>
      </c>
      <c r="AA381" s="542"/>
      <c r="AB381" s="542"/>
      <c r="AC381" s="542"/>
      <c r="AD381" s="542"/>
    </row>
    <row r="382" spans="3:30" ht="12.75" hidden="1" customHeight="1" outlineLevel="1" x14ac:dyDescent="0.2">
      <c r="L382" s="121"/>
      <c r="M382" s="121"/>
      <c r="N382" s="121"/>
      <c r="O382" s="121"/>
      <c r="P382" s="121"/>
      <c r="Q382" s="121"/>
    </row>
    <row r="383" spans="3:30" ht="12.75" hidden="1" customHeight="1" outlineLevel="1" x14ac:dyDescent="0.2">
      <c r="D383" s="260"/>
      <c r="F383" s="74">
        <f t="shared" ref="F383" si="662">G383-1</f>
        <v>2020</v>
      </c>
      <c r="G383" s="74">
        <f t="shared" ref="G383" si="663">H383-1</f>
        <v>2021</v>
      </c>
      <c r="H383" s="74">
        <f t="shared" ref="H383" si="664">I383-1</f>
        <v>2022</v>
      </c>
      <c r="I383" s="74">
        <f t="shared" ref="I383" si="665">J383-1</f>
        <v>2023</v>
      </c>
      <c r="J383" s="74">
        <f t="shared" ref="J383" si="666">K383-1</f>
        <v>2024</v>
      </c>
      <c r="K383" s="74">
        <f t="shared" ref="K383" si="667">L383-1</f>
        <v>2025</v>
      </c>
      <c r="L383" s="74">
        <f>FirstYear</f>
        <v>2026</v>
      </c>
      <c r="M383" s="74">
        <f>L383+1</f>
        <v>2027</v>
      </c>
      <c r="N383" s="74">
        <f>M383+1</f>
        <v>2028</v>
      </c>
      <c r="O383" s="74">
        <f>N383+1</f>
        <v>2029</v>
      </c>
      <c r="P383" s="74">
        <f>O383+1</f>
        <v>2030</v>
      </c>
      <c r="Q383" s="74">
        <f>P383+1</f>
        <v>2031</v>
      </c>
      <c r="S383" s="675" t="s">
        <v>1288</v>
      </c>
      <c r="T383" s="675"/>
      <c r="Z383" s="673" t="s">
        <v>1291</v>
      </c>
      <c r="AA383" s="673"/>
      <c r="AB383" s="673"/>
      <c r="AC383" s="210"/>
    </row>
    <row r="384" spans="3:30" ht="12.75" hidden="1" customHeight="1" outlineLevel="1" x14ac:dyDescent="0.2">
      <c r="C384" s="396">
        <v>12</v>
      </c>
      <c r="D384" s="674" t="s">
        <v>273</v>
      </c>
      <c r="E384" s="643"/>
      <c r="F384" s="395">
        <f>F368*VLOOKUP(C395,PRate01,3,FALSE)</f>
        <v>0</v>
      </c>
      <c r="G384" s="395">
        <f>G368*VLOOKUP(C394,PRate01,3,FALSE)</f>
        <v>0</v>
      </c>
      <c r="H384" s="395">
        <f>H368*VLOOKUP(C393,PRate01,3,FALSE)</f>
        <v>0</v>
      </c>
      <c r="I384" s="395">
        <f>I368*VLOOKUP(C392,PRate01,3,FALSE)</f>
        <v>0</v>
      </c>
      <c r="J384" s="395">
        <f>J368*VLOOKUP(C391,PRate01,3,FALSE)</f>
        <v>0</v>
      </c>
      <c r="K384" s="395">
        <f t="shared" ref="K384:K389" si="668">K368*VLOOKUP(C390,PRate01,3,FALSE)</f>
        <v>0</v>
      </c>
      <c r="L384" s="395">
        <f t="shared" ref="L384:L390" si="669">L368*VLOOKUP(C389,PRate01,3,FALSE)</f>
        <v>0</v>
      </c>
      <c r="M384" s="395">
        <f t="shared" ref="M384:M391" si="670">M368*VLOOKUP(C388,PRate01,3,FALSE)</f>
        <v>0</v>
      </c>
      <c r="N384" s="395">
        <f t="shared" ref="N384:N392" si="671">N368*VLOOKUP(C387,PRate01,3,FALSE)</f>
        <v>0</v>
      </c>
      <c r="O384" s="395">
        <f t="shared" ref="O384:O393" si="672">O368*VLOOKUP(C386,PRate01,3,FALSE)</f>
        <v>0</v>
      </c>
      <c r="P384" s="395">
        <f t="shared" ref="P384:P394" si="673">P368*VLOOKUP(C385,PRate01,3,FALSE)</f>
        <v>0</v>
      </c>
      <c r="Q384" s="395">
        <f t="shared" ref="Q384:Q395" si="674">Q368*VLOOKUP(C384,PRate01,3,FALSE)</f>
        <v>0</v>
      </c>
      <c r="S384" s="392" t="s">
        <v>992</v>
      </c>
      <c r="T384" s="393"/>
      <c r="X384" s="397"/>
      <c r="Y384" s="397"/>
      <c r="Z384" s="397"/>
      <c r="AA384" s="397"/>
    </row>
    <row r="385" spans="3:30" ht="12.75" hidden="1" customHeight="1" outlineLevel="1" x14ac:dyDescent="0.2">
      <c r="C385" s="396">
        <v>11</v>
      </c>
      <c r="D385" s="674" t="s">
        <v>274</v>
      </c>
      <c r="E385" s="643"/>
      <c r="F385" s="261"/>
      <c r="G385" s="395">
        <f>G369*VLOOKUP(C395,PRate01,3,FALSE)</f>
        <v>0</v>
      </c>
      <c r="H385" s="395">
        <f>H369*VLOOKUP(C394,PRate01,3,FALSE)</f>
        <v>0</v>
      </c>
      <c r="I385" s="395">
        <f>I369*VLOOKUP(C393,PRate01,3,FALSE)</f>
        <v>0</v>
      </c>
      <c r="J385" s="395">
        <f>J369*VLOOKUP(C392,PRate01,3,FALSE)</f>
        <v>0</v>
      </c>
      <c r="K385" s="395">
        <f t="shared" si="668"/>
        <v>0</v>
      </c>
      <c r="L385" s="395">
        <f t="shared" si="669"/>
        <v>0</v>
      </c>
      <c r="M385" s="395">
        <f t="shared" si="670"/>
        <v>0</v>
      </c>
      <c r="N385" s="395">
        <f t="shared" si="671"/>
        <v>0</v>
      </c>
      <c r="O385" s="395">
        <f t="shared" si="672"/>
        <v>0</v>
      </c>
      <c r="P385" s="395">
        <f t="shared" si="673"/>
        <v>0</v>
      </c>
      <c r="Q385" s="395">
        <f t="shared" si="674"/>
        <v>0</v>
      </c>
      <c r="S385" s="37" t="s">
        <v>993</v>
      </c>
      <c r="T385" s="210"/>
      <c r="X385" s="397"/>
      <c r="Y385" s="397"/>
      <c r="Z385" s="37" t="s">
        <v>249</v>
      </c>
      <c r="AA385" s="575"/>
      <c r="AB385" s="575"/>
      <c r="AC385" s="575"/>
      <c r="AD385" s="575"/>
    </row>
    <row r="386" spans="3:30" ht="12.75" hidden="1" customHeight="1" outlineLevel="1" x14ac:dyDescent="0.2">
      <c r="C386" s="396">
        <v>10</v>
      </c>
      <c r="D386" s="674" t="s">
        <v>275</v>
      </c>
      <c r="E386" s="643"/>
      <c r="F386" s="261"/>
      <c r="G386" s="261"/>
      <c r="H386" s="395">
        <f>H370*VLOOKUP(C395,PRate01,3,FALSE)</f>
        <v>0</v>
      </c>
      <c r="I386" s="395">
        <f>I370*VLOOKUP(C394,PRate01,3,FALSE)</f>
        <v>0</v>
      </c>
      <c r="J386" s="395">
        <f>J370*VLOOKUP(C393,PRate01,3,FALSE)</f>
        <v>0</v>
      </c>
      <c r="K386" s="395">
        <f t="shared" si="668"/>
        <v>0</v>
      </c>
      <c r="L386" s="395">
        <f t="shared" si="669"/>
        <v>0</v>
      </c>
      <c r="M386" s="395">
        <f t="shared" si="670"/>
        <v>0</v>
      </c>
      <c r="N386" s="395">
        <f t="shared" si="671"/>
        <v>0</v>
      </c>
      <c r="O386" s="395">
        <f t="shared" si="672"/>
        <v>0</v>
      </c>
      <c r="P386" s="395">
        <f t="shared" si="673"/>
        <v>0</v>
      </c>
      <c r="Q386" s="395">
        <f t="shared" si="674"/>
        <v>0</v>
      </c>
      <c r="S386" s="37" t="s">
        <v>994</v>
      </c>
      <c r="T386" s="210"/>
      <c r="X386" s="397"/>
      <c r="Y386" s="397"/>
      <c r="Z386" s="397"/>
      <c r="AA386" s="397"/>
    </row>
    <row r="387" spans="3:30" ht="12.75" hidden="1" customHeight="1" outlineLevel="1" x14ac:dyDescent="0.2">
      <c r="C387" s="396">
        <v>9</v>
      </c>
      <c r="D387" s="674" t="s">
        <v>276</v>
      </c>
      <c r="E387" s="643"/>
      <c r="F387" s="261"/>
      <c r="G387" s="261"/>
      <c r="H387" s="261"/>
      <c r="I387" s="395">
        <f>I371*VLOOKUP(C395,PRate01,3,FALSE)</f>
        <v>0</v>
      </c>
      <c r="J387" s="395">
        <f>J371*VLOOKUP(C394,PRate01,3,FALSE)</f>
        <v>0</v>
      </c>
      <c r="K387" s="395">
        <f t="shared" si="668"/>
        <v>0</v>
      </c>
      <c r="L387" s="395">
        <f t="shared" si="669"/>
        <v>0</v>
      </c>
      <c r="M387" s="395">
        <f t="shared" si="670"/>
        <v>0</v>
      </c>
      <c r="N387" s="395">
        <f t="shared" si="671"/>
        <v>0</v>
      </c>
      <c r="O387" s="395">
        <f t="shared" si="672"/>
        <v>0</v>
      </c>
      <c r="P387" s="395">
        <f t="shared" si="673"/>
        <v>0</v>
      </c>
      <c r="Q387" s="395">
        <f t="shared" si="674"/>
        <v>0</v>
      </c>
      <c r="S387" s="37" t="s">
        <v>995</v>
      </c>
      <c r="T387" s="210"/>
      <c r="X387" s="397"/>
      <c r="Y387" s="397"/>
      <c r="Z387" s="397"/>
      <c r="AA387" s="397"/>
    </row>
    <row r="388" spans="3:30" ht="12.75" hidden="1" customHeight="1" outlineLevel="1" x14ac:dyDescent="0.2">
      <c r="C388" s="396">
        <v>8</v>
      </c>
      <c r="D388" s="674" t="s">
        <v>277</v>
      </c>
      <c r="E388" s="643"/>
      <c r="F388" s="261"/>
      <c r="G388" s="261"/>
      <c r="H388" s="261"/>
      <c r="I388" s="261"/>
      <c r="J388" s="395">
        <f>J372*VLOOKUP(C395,PRate01,3,FALSE)</f>
        <v>0</v>
      </c>
      <c r="K388" s="395">
        <f t="shared" si="668"/>
        <v>0</v>
      </c>
      <c r="L388" s="395">
        <f t="shared" si="669"/>
        <v>0</v>
      </c>
      <c r="M388" s="395">
        <f t="shared" si="670"/>
        <v>0</v>
      </c>
      <c r="N388" s="395">
        <f t="shared" si="671"/>
        <v>0</v>
      </c>
      <c r="O388" s="395">
        <f t="shared" si="672"/>
        <v>0</v>
      </c>
      <c r="P388" s="395">
        <f t="shared" si="673"/>
        <v>0</v>
      </c>
      <c r="Q388" s="395">
        <f t="shared" si="674"/>
        <v>0</v>
      </c>
      <c r="S388" s="37" t="s">
        <v>996</v>
      </c>
      <c r="T388" s="210"/>
      <c r="X388" s="397"/>
      <c r="Y388" s="397"/>
      <c r="Z388" s="397"/>
      <c r="AA388" s="397"/>
    </row>
    <row r="389" spans="3:30" ht="12.75" hidden="1" customHeight="1" outlineLevel="1" x14ac:dyDescent="0.2">
      <c r="C389" s="396">
        <v>7</v>
      </c>
      <c r="D389" s="674" t="s">
        <v>278</v>
      </c>
      <c r="E389" s="643"/>
      <c r="F389" s="261"/>
      <c r="G389" s="261"/>
      <c r="H389" s="261"/>
      <c r="I389" s="261"/>
      <c r="J389" s="261"/>
      <c r="K389" s="395">
        <f t="shared" si="668"/>
        <v>0</v>
      </c>
      <c r="L389" s="395">
        <f t="shared" si="669"/>
        <v>0</v>
      </c>
      <c r="M389" s="395">
        <f t="shared" si="670"/>
        <v>0</v>
      </c>
      <c r="N389" s="395">
        <f t="shared" si="671"/>
        <v>0</v>
      </c>
      <c r="O389" s="395">
        <f t="shared" si="672"/>
        <v>0</v>
      </c>
      <c r="P389" s="395">
        <f t="shared" si="673"/>
        <v>0</v>
      </c>
      <c r="Q389" s="395">
        <f t="shared" si="674"/>
        <v>0</v>
      </c>
      <c r="S389" s="37" t="s">
        <v>997</v>
      </c>
      <c r="T389" s="210"/>
      <c r="X389" s="397"/>
      <c r="Y389" s="397"/>
      <c r="Z389" s="397"/>
      <c r="AA389" s="397"/>
    </row>
    <row r="390" spans="3:30" ht="12.75" hidden="1" customHeight="1" outlineLevel="1" x14ac:dyDescent="0.2">
      <c r="C390" s="396">
        <v>6</v>
      </c>
      <c r="D390" s="674" t="s">
        <v>464</v>
      </c>
      <c r="E390" s="643"/>
      <c r="F390" s="261"/>
      <c r="G390" s="261"/>
      <c r="H390" s="261"/>
      <c r="I390" s="261"/>
      <c r="J390" s="261"/>
      <c r="K390" s="261"/>
      <c r="L390" s="395">
        <f t="shared" si="669"/>
        <v>0</v>
      </c>
      <c r="M390" s="395">
        <f t="shared" si="670"/>
        <v>0</v>
      </c>
      <c r="N390" s="395">
        <f t="shared" si="671"/>
        <v>0</v>
      </c>
      <c r="O390" s="395">
        <f t="shared" si="672"/>
        <v>0</v>
      </c>
      <c r="P390" s="395">
        <f t="shared" si="673"/>
        <v>0</v>
      </c>
      <c r="Q390" s="395">
        <f t="shared" si="674"/>
        <v>0</v>
      </c>
      <c r="S390" s="37" t="s">
        <v>998</v>
      </c>
      <c r="T390" s="210"/>
      <c r="X390" s="397"/>
      <c r="Y390" s="397"/>
      <c r="Z390" s="397"/>
      <c r="AA390" s="397"/>
    </row>
    <row r="391" spans="3:30" ht="12.75" hidden="1" customHeight="1" outlineLevel="1" x14ac:dyDescent="0.2">
      <c r="C391" s="396">
        <v>5</v>
      </c>
      <c r="D391" s="674" t="s">
        <v>465</v>
      </c>
      <c r="E391" s="643"/>
      <c r="F391" s="261"/>
      <c r="G391" s="261"/>
      <c r="H391" s="261"/>
      <c r="I391" s="261"/>
      <c r="J391" s="261"/>
      <c r="K391" s="261"/>
      <c r="L391" s="261"/>
      <c r="M391" s="395">
        <f t="shared" si="670"/>
        <v>0</v>
      </c>
      <c r="N391" s="395">
        <f t="shared" si="671"/>
        <v>0</v>
      </c>
      <c r="O391" s="395">
        <f t="shared" si="672"/>
        <v>0</v>
      </c>
      <c r="P391" s="395">
        <f t="shared" si="673"/>
        <v>0</v>
      </c>
      <c r="Q391" s="395">
        <f t="shared" si="674"/>
        <v>0</v>
      </c>
      <c r="S391" s="37" t="s">
        <v>999</v>
      </c>
      <c r="T391" s="210"/>
      <c r="X391" s="397"/>
      <c r="Y391" s="397"/>
      <c r="Z391" s="397"/>
      <c r="AA391" s="397"/>
    </row>
    <row r="392" spans="3:30" ht="12.75" hidden="1" customHeight="1" outlineLevel="1" x14ac:dyDescent="0.2">
      <c r="C392" s="396">
        <v>4</v>
      </c>
      <c r="D392" s="674" t="s">
        <v>466</v>
      </c>
      <c r="E392" s="643"/>
      <c r="F392" s="261"/>
      <c r="G392" s="261"/>
      <c r="H392" s="261"/>
      <c r="I392" s="261"/>
      <c r="J392" s="261"/>
      <c r="K392" s="261"/>
      <c r="L392" s="261"/>
      <c r="M392" s="261"/>
      <c r="N392" s="395">
        <f t="shared" si="671"/>
        <v>0</v>
      </c>
      <c r="O392" s="395">
        <f t="shared" si="672"/>
        <v>0</v>
      </c>
      <c r="P392" s="395">
        <f t="shared" si="673"/>
        <v>0</v>
      </c>
      <c r="Q392" s="395">
        <f t="shared" si="674"/>
        <v>0</v>
      </c>
      <c r="S392" s="37" t="s">
        <v>1000</v>
      </c>
      <c r="T392" s="210"/>
      <c r="X392" s="397"/>
      <c r="Y392" s="397"/>
      <c r="Z392" s="397"/>
      <c r="AA392" s="397"/>
    </row>
    <row r="393" spans="3:30" ht="12.75" hidden="1" customHeight="1" outlineLevel="1" x14ac:dyDescent="0.2">
      <c r="C393" s="396">
        <v>3</v>
      </c>
      <c r="D393" s="674" t="s">
        <v>467</v>
      </c>
      <c r="E393" s="643"/>
      <c r="F393" s="261"/>
      <c r="G393" s="261"/>
      <c r="H393" s="261"/>
      <c r="I393" s="261"/>
      <c r="J393" s="261"/>
      <c r="K393" s="261"/>
      <c r="L393" s="261"/>
      <c r="M393" s="261"/>
      <c r="N393" s="261"/>
      <c r="O393" s="395">
        <f t="shared" si="672"/>
        <v>0</v>
      </c>
      <c r="P393" s="395">
        <f t="shared" si="673"/>
        <v>0</v>
      </c>
      <c r="Q393" s="395">
        <f t="shared" si="674"/>
        <v>0</v>
      </c>
      <c r="S393" s="37" t="s">
        <v>1001</v>
      </c>
      <c r="T393" s="210"/>
      <c r="X393" s="397"/>
      <c r="Y393" s="397"/>
      <c r="Z393" s="397"/>
      <c r="AA393" s="397"/>
    </row>
    <row r="394" spans="3:30" ht="12.75" hidden="1" customHeight="1" outlineLevel="1" x14ac:dyDescent="0.2">
      <c r="C394" s="396">
        <v>2</v>
      </c>
      <c r="D394" s="674" t="s">
        <v>468</v>
      </c>
      <c r="E394" s="643"/>
      <c r="F394" s="261"/>
      <c r="G394" s="261"/>
      <c r="H394" s="261"/>
      <c r="I394" s="261"/>
      <c r="J394" s="261"/>
      <c r="K394" s="261"/>
      <c r="L394" s="261"/>
      <c r="M394" s="261"/>
      <c r="N394" s="261"/>
      <c r="O394" s="391"/>
      <c r="P394" s="395">
        <f t="shared" si="673"/>
        <v>0</v>
      </c>
      <c r="Q394" s="395">
        <f t="shared" si="674"/>
        <v>0</v>
      </c>
      <c r="S394" s="37" t="s">
        <v>1002</v>
      </c>
      <c r="T394" s="210"/>
      <c r="X394" s="397"/>
      <c r="Y394" s="397"/>
      <c r="Z394" s="397"/>
      <c r="AA394" s="397"/>
    </row>
    <row r="395" spans="3:30" ht="12.75" hidden="1" customHeight="1" outlineLevel="1" x14ac:dyDescent="0.2">
      <c r="C395" s="396">
        <v>1</v>
      </c>
      <c r="D395" s="674" t="s">
        <v>469</v>
      </c>
      <c r="E395" s="643"/>
      <c r="F395" s="261"/>
      <c r="G395" s="261"/>
      <c r="H395" s="261"/>
      <c r="I395" s="261"/>
      <c r="J395" s="261"/>
      <c r="K395" s="261"/>
      <c r="L395" s="261"/>
      <c r="M395" s="261"/>
      <c r="N395" s="261"/>
      <c r="O395" s="391"/>
      <c r="P395" s="391"/>
      <c r="Q395" s="395">
        <f t="shared" si="674"/>
        <v>0</v>
      </c>
      <c r="S395" s="37" t="s">
        <v>1022</v>
      </c>
      <c r="T395" s="210"/>
    </row>
    <row r="396" spans="3:30" ht="12.75" hidden="1" customHeight="1" outlineLevel="1" x14ac:dyDescent="0.2">
      <c r="K396" s="258" t="s">
        <v>73</v>
      </c>
      <c r="L396" s="263">
        <f>IFERROR((SUM(L384:L389)+IF(MATCH($AC$54,Switch,0)=1,L390,0)),0)</f>
        <v>0</v>
      </c>
      <c r="M396" s="263">
        <f>IFERROR((SUM(M384:M390)+IF(MATCH($AC$54,Switch,0)=1,M391,0)),0)</f>
        <v>0</v>
      </c>
      <c r="N396" s="263">
        <f>IFERROR((SUM(N384:N391)+IF(MATCH($AC$54,Switch,0)=1,N392,0)),0)</f>
        <v>0</v>
      </c>
      <c r="O396" s="263">
        <f>IFERROR((SUM(O384:O392)+IF(MATCH($AC$54,Switch,0)=1,O393,0)),0)</f>
        <v>0</v>
      </c>
      <c r="P396" s="263">
        <f>IFERROR((SUM(P384:P393)+IF(MATCH($AC$54,Switch,0)=1,P394,0)),0)</f>
        <v>0</v>
      </c>
      <c r="Q396" s="263">
        <f>IFERROR((SUM(Q384:Q394)+IF(MATCH($AC$54,Switch,0)=1,Q395,0)),0)</f>
        <v>0</v>
      </c>
      <c r="Z396" s="670" t="s">
        <v>1289</v>
      </c>
      <c r="AA396" s="671"/>
      <c r="AB396" s="672"/>
      <c r="AC396" s="227" t="s">
        <v>9</v>
      </c>
    </row>
    <row r="397" spans="3:30" ht="12.75" hidden="1" customHeight="1" outlineLevel="1" x14ac:dyDescent="0.2"/>
    <row r="398" spans="3:30" ht="12.75" customHeight="1" collapsed="1" x14ac:dyDescent="0.2"/>
  </sheetData>
  <mergeCells count="231">
    <mergeCell ref="G287:L287"/>
    <mergeCell ref="G289:L289"/>
    <mergeCell ref="G325:L325"/>
    <mergeCell ref="G327:L327"/>
    <mergeCell ref="G363:L363"/>
    <mergeCell ref="G365:L365"/>
    <mergeCell ref="S291:T291"/>
    <mergeCell ref="Z305:AD305"/>
    <mergeCell ref="S307:T307"/>
    <mergeCell ref="Z327:AD327"/>
    <mergeCell ref="S329:T329"/>
    <mergeCell ref="Z291:AB291"/>
    <mergeCell ref="AA293:AD293"/>
    <mergeCell ref="Z307:AB307"/>
    <mergeCell ref="AA309:AD309"/>
    <mergeCell ref="S253:T253"/>
    <mergeCell ref="Z267:AD267"/>
    <mergeCell ref="S269:T269"/>
    <mergeCell ref="Z289:AD289"/>
    <mergeCell ref="AA271:AD271"/>
    <mergeCell ref="Z282:AB282"/>
    <mergeCell ref="S383:T383"/>
    <mergeCell ref="Z343:AD343"/>
    <mergeCell ref="S345:T345"/>
    <mergeCell ref="Z365:AD365"/>
    <mergeCell ref="S367:T367"/>
    <mergeCell ref="G211:L211"/>
    <mergeCell ref="G213:L213"/>
    <mergeCell ref="G249:L249"/>
    <mergeCell ref="G251:L251"/>
    <mergeCell ref="S79:T79"/>
    <mergeCell ref="S101:T101"/>
    <mergeCell ref="S193:T193"/>
    <mergeCell ref="G175:L175"/>
    <mergeCell ref="G173:L173"/>
    <mergeCell ref="G137:L137"/>
    <mergeCell ref="S215:T215"/>
    <mergeCell ref="S231:T231"/>
    <mergeCell ref="S155:T155"/>
    <mergeCell ref="S177:T177"/>
    <mergeCell ref="S117:T117"/>
    <mergeCell ref="S139:T139"/>
    <mergeCell ref="AB1:AD1"/>
    <mergeCell ref="G21:L21"/>
    <mergeCell ref="G59:L59"/>
    <mergeCell ref="G97:L97"/>
    <mergeCell ref="G135:L135"/>
    <mergeCell ref="G23:L23"/>
    <mergeCell ref="G61:L61"/>
    <mergeCell ref="G99:L99"/>
    <mergeCell ref="S25:T25"/>
    <mergeCell ref="S41:T41"/>
    <mergeCell ref="Z23:AD23"/>
    <mergeCell ref="Z39:AD39"/>
    <mergeCell ref="Z61:AD61"/>
    <mergeCell ref="Z99:AD99"/>
    <mergeCell ref="Z77:AD77"/>
    <mergeCell ref="AA27:AD27"/>
    <mergeCell ref="AA43:AD43"/>
    <mergeCell ref="Z54:AB54"/>
    <mergeCell ref="Z25:AB25"/>
    <mergeCell ref="S63:T63"/>
    <mergeCell ref="Z41:AB41"/>
    <mergeCell ref="Z63:AB63"/>
    <mergeCell ref="AA65:AD65"/>
    <mergeCell ref="Z79:AB79"/>
    <mergeCell ref="D47:E47"/>
    <mergeCell ref="D48:E48"/>
    <mergeCell ref="D49:E49"/>
    <mergeCell ref="D50:E50"/>
    <mergeCell ref="D51:E51"/>
    <mergeCell ref="D42:E42"/>
    <mergeCell ref="D43:E43"/>
    <mergeCell ref="D44:E44"/>
    <mergeCell ref="D45:E45"/>
    <mergeCell ref="D46:E46"/>
    <mergeCell ref="D83:E83"/>
    <mergeCell ref="D84:E84"/>
    <mergeCell ref="D85:E85"/>
    <mergeCell ref="D86:E86"/>
    <mergeCell ref="D87:E87"/>
    <mergeCell ref="D52:E52"/>
    <mergeCell ref="D53:E53"/>
    <mergeCell ref="D80:E80"/>
    <mergeCell ref="D81:E81"/>
    <mergeCell ref="D82:E82"/>
    <mergeCell ref="D119:E119"/>
    <mergeCell ref="D120:E120"/>
    <mergeCell ref="D121:E121"/>
    <mergeCell ref="D122:E122"/>
    <mergeCell ref="D123:E123"/>
    <mergeCell ref="D88:E88"/>
    <mergeCell ref="D89:E89"/>
    <mergeCell ref="D90:E90"/>
    <mergeCell ref="D91:E91"/>
    <mergeCell ref="D118:E118"/>
    <mergeCell ref="D129:E129"/>
    <mergeCell ref="D156:E156"/>
    <mergeCell ref="D157:E157"/>
    <mergeCell ref="D158:E158"/>
    <mergeCell ref="D159:E159"/>
    <mergeCell ref="D124:E124"/>
    <mergeCell ref="D125:E125"/>
    <mergeCell ref="D126:E126"/>
    <mergeCell ref="D127:E127"/>
    <mergeCell ref="D128:E128"/>
    <mergeCell ref="D165:E165"/>
    <mergeCell ref="D166:E166"/>
    <mergeCell ref="D167:E167"/>
    <mergeCell ref="D194:E194"/>
    <mergeCell ref="D195:E195"/>
    <mergeCell ref="D160:E160"/>
    <mergeCell ref="D161:E161"/>
    <mergeCell ref="D162:E162"/>
    <mergeCell ref="D163:E163"/>
    <mergeCell ref="D164:E164"/>
    <mergeCell ref="D201:E201"/>
    <mergeCell ref="D202:E202"/>
    <mergeCell ref="D203:E203"/>
    <mergeCell ref="D204:E204"/>
    <mergeCell ref="D205:E205"/>
    <mergeCell ref="D196:E196"/>
    <mergeCell ref="D197:E197"/>
    <mergeCell ref="D198:E198"/>
    <mergeCell ref="D199:E199"/>
    <mergeCell ref="D200:E200"/>
    <mergeCell ref="D237:E237"/>
    <mergeCell ref="D238:E238"/>
    <mergeCell ref="D239:E239"/>
    <mergeCell ref="D240:E240"/>
    <mergeCell ref="D241:E241"/>
    <mergeCell ref="D232:E232"/>
    <mergeCell ref="D233:E233"/>
    <mergeCell ref="D234:E234"/>
    <mergeCell ref="D235:E235"/>
    <mergeCell ref="D236:E236"/>
    <mergeCell ref="D273:E273"/>
    <mergeCell ref="D274:E274"/>
    <mergeCell ref="D275:E275"/>
    <mergeCell ref="D276:E276"/>
    <mergeCell ref="D277:E277"/>
    <mergeCell ref="D242:E242"/>
    <mergeCell ref="D243:E243"/>
    <mergeCell ref="D270:E270"/>
    <mergeCell ref="D271:E271"/>
    <mergeCell ref="D272:E272"/>
    <mergeCell ref="D309:E309"/>
    <mergeCell ref="D310:E310"/>
    <mergeCell ref="D311:E311"/>
    <mergeCell ref="D312:E312"/>
    <mergeCell ref="D313:E313"/>
    <mergeCell ref="D278:E278"/>
    <mergeCell ref="D279:E279"/>
    <mergeCell ref="D280:E280"/>
    <mergeCell ref="D281:E281"/>
    <mergeCell ref="D308:E308"/>
    <mergeCell ref="D319:E319"/>
    <mergeCell ref="D346:E346"/>
    <mergeCell ref="D347:E347"/>
    <mergeCell ref="D348:E348"/>
    <mergeCell ref="D349:E349"/>
    <mergeCell ref="D314:E314"/>
    <mergeCell ref="D315:E315"/>
    <mergeCell ref="D316:E316"/>
    <mergeCell ref="D317:E317"/>
    <mergeCell ref="D318:E318"/>
    <mergeCell ref="D355:E355"/>
    <mergeCell ref="D356:E356"/>
    <mergeCell ref="D357:E357"/>
    <mergeCell ref="D384:E384"/>
    <mergeCell ref="D385:E385"/>
    <mergeCell ref="D350:E350"/>
    <mergeCell ref="D351:E351"/>
    <mergeCell ref="D352:E352"/>
    <mergeCell ref="D353:E353"/>
    <mergeCell ref="D354:E354"/>
    <mergeCell ref="D391:E391"/>
    <mergeCell ref="D392:E392"/>
    <mergeCell ref="D393:E393"/>
    <mergeCell ref="D394:E394"/>
    <mergeCell ref="D395:E395"/>
    <mergeCell ref="D386:E386"/>
    <mergeCell ref="D387:E387"/>
    <mergeCell ref="D388:E388"/>
    <mergeCell ref="D389:E389"/>
    <mergeCell ref="D390:E390"/>
    <mergeCell ref="AA81:AD81"/>
    <mergeCell ref="Z92:AB92"/>
    <mergeCell ref="Z101:AB101"/>
    <mergeCell ref="AA103:AD103"/>
    <mergeCell ref="Z117:AB117"/>
    <mergeCell ref="Z115:AD115"/>
    <mergeCell ref="AA179:AD179"/>
    <mergeCell ref="Z193:AB193"/>
    <mergeCell ref="AA195:AD195"/>
    <mergeCell ref="Z175:AD175"/>
    <mergeCell ref="Z191:AD191"/>
    <mergeCell ref="Z137:AD137"/>
    <mergeCell ref="Z153:AD153"/>
    <mergeCell ref="AA119:AD119"/>
    <mergeCell ref="Z130:AB130"/>
    <mergeCell ref="Z139:AB139"/>
    <mergeCell ref="AA141:AD141"/>
    <mergeCell ref="Z155:AB155"/>
    <mergeCell ref="AA157:AD157"/>
    <mergeCell ref="Z168:AB168"/>
    <mergeCell ref="Z177:AB177"/>
    <mergeCell ref="Z206:AB206"/>
    <mergeCell ref="Z215:AB215"/>
    <mergeCell ref="AA217:AD217"/>
    <mergeCell ref="Z231:AB231"/>
    <mergeCell ref="AA233:AD233"/>
    <mergeCell ref="Z244:AB244"/>
    <mergeCell ref="Z253:AB253"/>
    <mergeCell ref="AA255:AD255"/>
    <mergeCell ref="Z269:AB269"/>
    <mergeCell ref="Z213:AD213"/>
    <mergeCell ref="Z229:AD229"/>
    <mergeCell ref="Z251:AD251"/>
    <mergeCell ref="AA385:AD385"/>
    <mergeCell ref="Z396:AB396"/>
    <mergeCell ref="Z320:AB320"/>
    <mergeCell ref="Z329:AB329"/>
    <mergeCell ref="AA331:AD331"/>
    <mergeCell ref="Z345:AB345"/>
    <mergeCell ref="AA347:AD347"/>
    <mergeCell ref="Z358:AB358"/>
    <mergeCell ref="Z367:AB367"/>
    <mergeCell ref="AA369:AD369"/>
    <mergeCell ref="Z383:AB383"/>
    <mergeCell ref="Z381:AD381"/>
  </mergeCells>
  <conditionalFormatting sqref="Z23:AD23">
    <cfRule type="notContainsBlanks" dxfId="19" priority="32">
      <formula>LEN(TRIM(Z23))&gt;0</formula>
    </cfRule>
  </conditionalFormatting>
  <conditionalFormatting sqref="Z39:AD39">
    <cfRule type="notContainsBlanks" dxfId="18" priority="33">
      <formula>LEN(TRIM(Z39))&gt;0</formula>
    </cfRule>
  </conditionalFormatting>
  <conditionalFormatting sqref="Z61:AD61">
    <cfRule type="notContainsBlanks" dxfId="17" priority="17">
      <formula>LEN(TRIM(Z61))&gt;0</formula>
    </cfRule>
  </conditionalFormatting>
  <conditionalFormatting sqref="Z77:AD77">
    <cfRule type="notContainsBlanks" dxfId="16" priority="18">
      <formula>LEN(TRIM(Z77))&gt;0</formula>
    </cfRule>
  </conditionalFormatting>
  <conditionalFormatting sqref="Z99:AD99">
    <cfRule type="notContainsBlanks" dxfId="15" priority="15">
      <formula>LEN(TRIM(Z99))&gt;0</formula>
    </cfRule>
  </conditionalFormatting>
  <conditionalFormatting sqref="Z115:AD115">
    <cfRule type="notContainsBlanks" dxfId="14" priority="16">
      <formula>LEN(TRIM(Z115))&gt;0</formula>
    </cfRule>
  </conditionalFormatting>
  <conditionalFormatting sqref="Z137:AD137">
    <cfRule type="notContainsBlanks" dxfId="13" priority="13">
      <formula>LEN(TRIM(Z137))&gt;0</formula>
    </cfRule>
  </conditionalFormatting>
  <conditionalFormatting sqref="Z153:AD153">
    <cfRule type="notContainsBlanks" dxfId="12" priority="14">
      <formula>LEN(TRIM(Z153))&gt;0</formula>
    </cfRule>
  </conditionalFormatting>
  <conditionalFormatting sqref="Z175:AD175">
    <cfRule type="notContainsBlanks" dxfId="11" priority="11">
      <formula>LEN(TRIM(Z175))&gt;0</formula>
    </cfRule>
  </conditionalFormatting>
  <conditionalFormatting sqref="Z191:AD191">
    <cfRule type="notContainsBlanks" dxfId="10" priority="12">
      <formula>LEN(TRIM(Z191))&gt;0</formula>
    </cfRule>
  </conditionalFormatting>
  <conditionalFormatting sqref="Z213:AD213">
    <cfRule type="notContainsBlanks" dxfId="9" priority="9">
      <formula>LEN(TRIM(Z213))&gt;0</formula>
    </cfRule>
  </conditionalFormatting>
  <conditionalFormatting sqref="Z229:AD229">
    <cfRule type="notContainsBlanks" dxfId="8" priority="10">
      <formula>LEN(TRIM(Z229))&gt;0</formula>
    </cfRule>
  </conditionalFormatting>
  <conditionalFormatting sqref="Z251:AD251">
    <cfRule type="notContainsBlanks" dxfId="7" priority="7">
      <formula>LEN(TRIM(Z251))&gt;0</formula>
    </cfRule>
  </conditionalFormatting>
  <conditionalFormatting sqref="Z267:AD267">
    <cfRule type="notContainsBlanks" dxfId="6" priority="8">
      <formula>LEN(TRIM(Z267))&gt;0</formula>
    </cfRule>
  </conditionalFormatting>
  <conditionalFormatting sqref="Z289:AD289">
    <cfRule type="notContainsBlanks" dxfId="5" priority="5">
      <formula>LEN(TRIM(Z289))&gt;0</formula>
    </cfRule>
  </conditionalFormatting>
  <conditionalFormatting sqref="Z305:AD305">
    <cfRule type="notContainsBlanks" dxfId="4" priority="6">
      <formula>LEN(TRIM(Z305))&gt;0</formula>
    </cfRule>
  </conditionalFormatting>
  <conditionalFormatting sqref="Z327:AD327">
    <cfRule type="notContainsBlanks" dxfId="3" priority="3">
      <formula>LEN(TRIM(Z327))&gt;0</formula>
    </cfRule>
  </conditionalFormatting>
  <conditionalFormatting sqref="Z343:AD343">
    <cfRule type="notContainsBlanks" dxfId="2" priority="4">
      <formula>LEN(TRIM(Z343))&gt;0</formula>
    </cfRule>
  </conditionalFormatting>
  <conditionalFormatting sqref="Z365:AD365">
    <cfRule type="notContainsBlanks" dxfId="1" priority="1">
      <formula>LEN(TRIM(Z365))&gt;0</formula>
    </cfRule>
  </conditionalFormatting>
  <conditionalFormatting sqref="Z381:AD381">
    <cfRule type="notContainsBlanks" dxfId="0" priority="2">
      <formula>LEN(TRIM(Z381))&gt;0</formula>
    </cfRule>
  </conditionalFormatting>
  <dataValidations count="1">
    <dataValidation type="list" allowBlank="1" showInputMessage="1" showErrorMessage="1" sqref="AC54 AC92 AC130 AC168 AC206 AC244 AC282 AC320 AC358 AC396" xr:uid="{00000000-0002-0000-1300-000000000000}">
      <formula1>Switch</formula1>
    </dataValidation>
  </dataValidations>
  <pageMargins left="0.7" right="0.7" top="0.75" bottom="0.75" header="0.3" footer="0.3"/>
  <pageSetup paperSize="9" orientation="portrait" r:id="rId1"/>
  <headerFooter>
    <oddHeader>&amp;C&amp;"Calibri"&amp;12&amp;KFF0000 OFFICIAL&amp;1#_x000D_</oddHeader>
    <oddFooter>&amp;C_x000D_&amp;1#&amp;"Calibri"&amp;12&amp;KFF0000 OFFICIAL</odd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21">
    <tabColor theme="8"/>
  </sheetPr>
  <dimension ref="A1:O19"/>
  <sheetViews>
    <sheetView showGridLines="0" zoomScaleNormal="100" workbookViewId="0">
      <pane ySplit="3" topLeftCell="A4" activePane="bottomLeft" state="frozen"/>
      <selection pane="bottomLeft"/>
    </sheetView>
  </sheetViews>
  <sheetFormatPr defaultRowHeight="12.75" customHeight="1" x14ac:dyDescent="0.2"/>
  <cols>
    <col min="1" max="1" width="3.7109375" customWidth="1"/>
    <col min="2" max="4" width="30.7109375" customWidth="1"/>
    <col min="5" max="5" width="25.7109375" customWidth="1"/>
    <col min="6" max="6" width="30.7109375" customWidth="1"/>
    <col min="7" max="7" width="20.7109375" customWidth="1"/>
    <col min="8" max="16" width="10.7109375" customWidth="1"/>
  </cols>
  <sheetData>
    <row r="1" spans="1:15" ht="23.25" x14ac:dyDescent="0.2">
      <c r="A1" s="174">
        <f>IF(COUNTA(C10:C15)=0,0,2)</f>
        <v>0</v>
      </c>
      <c r="B1" s="175" t="s">
        <v>25</v>
      </c>
      <c r="C1" s="176"/>
      <c r="D1" s="176"/>
      <c r="E1" s="176"/>
      <c r="F1" s="176"/>
      <c r="G1" s="176"/>
      <c r="H1" s="176"/>
      <c r="I1" s="176"/>
      <c r="J1" s="176"/>
      <c r="K1" s="176"/>
      <c r="L1" s="176"/>
      <c r="M1" s="176"/>
      <c r="N1" s="176"/>
      <c r="O1" s="176"/>
    </row>
    <row r="2" spans="1:15" ht="15.75" x14ac:dyDescent="0.2">
      <c r="A2" s="176"/>
      <c r="B2" s="177" t="str">
        <f>CONCATENATE("Name of medicine: ", MedicineBrand)</f>
        <v xml:space="preserve">Name of medicine: </v>
      </c>
      <c r="C2" s="176"/>
      <c r="D2" s="176"/>
      <c r="E2" s="176"/>
      <c r="F2" s="176"/>
      <c r="G2" s="176"/>
      <c r="H2" s="176"/>
      <c r="I2" s="176"/>
      <c r="J2" s="176"/>
      <c r="K2" s="176"/>
      <c r="L2" s="176"/>
      <c r="M2" s="176"/>
      <c r="N2" s="176"/>
      <c r="O2" s="176"/>
    </row>
    <row r="3" spans="1:15" ht="15.75" x14ac:dyDescent="0.2">
      <c r="A3" s="176"/>
      <c r="B3" s="177" t="str">
        <f>CONCATENATE("Indication: ",Indication)</f>
        <v xml:space="preserve">Indication: </v>
      </c>
      <c r="C3" s="176"/>
      <c r="D3" s="176"/>
      <c r="E3" s="176"/>
      <c r="F3" s="176"/>
      <c r="G3" s="176"/>
      <c r="H3" s="176"/>
      <c r="I3" s="176"/>
      <c r="J3" s="176"/>
      <c r="K3" s="176"/>
      <c r="L3" s="176"/>
      <c r="M3" s="176"/>
      <c r="N3" s="176"/>
      <c r="O3" s="176"/>
    </row>
    <row r="4" spans="1:15" x14ac:dyDescent="0.2">
      <c r="B4" s="260"/>
    </row>
    <row r="5" spans="1:15" x14ac:dyDescent="0.2">
      <c r="B5" t="s">
        <v>78</v>
      </c>
    </row>
    <row r="6" spans="1:15" x14ac:dyDescent="0.2">
      <c r="B6" t="s">
        <v>252</v>
      </c>
    </row>
    <row r="7" spans="1:15" x14ac:dyDescent="0.2">
      <c r="B7" s="447" t="s">
        <v>79</v>
      </c>
      <c r="C7" s="447"/>
      <c r="D7" s="447"/>
      <c r="E7" s="447"/>
      <c r="F7" s="447"/>
      <c r="G7" s="447"/>
    </row>
    <row r="8" spans="1:15" x14ac:dyDescent="0.2"/>
    <row r="9" spans="1:15" ht="14.25" x14ac:dyDescent="0.2">
      <c r="B9" s="448"/>
      <c r="C9" s="5" t="s">
        <v>31</v>
      </c>
      <c r="D9" s="5" t="s">
        <v>13</v>
      </c>
      <c r="E9" s="5" t="s">
        <v>15</v>
      </c>
      <c r="F9" s="5" t="s">
        <v>14</v>
      </c>
      <c r="G9" s="5" t="s">
        <v>16</v>
      </c>
    </row>
    <row r="10" spans="1:15" x14ac:dyDescent="0.2">
      <c r="B10" s="75" t="s">
        <v>17</v>
      </c>
      <c r="C10" s="178"/>
      <c r="D10" s="179"/>
      <c r="E10" s="138"/>
      <c r="F10" s="179"/>
      <c r="G10" s="237"/>
    </row>
    <row r="11" spans="1:15" x14ac:dyDescent="0.2">
      <c r="B11" s="75" t="s">
        <v>18</v>
      </c>
      <c r="C11" s="178"/>
      <c r="D11" s="179"/>
      <c r="E11" s="138"/>
      <c r="F11" s="179"/>
      <c r="G11" s="179"/>
    </row>
    <row r="12" spans="1:15" x14ac:dyDescent="0.2">
      <c r="B12" s="75" t="s">
        <v>19</v>
      </c>
      <c r="C12" s="178"/>
      <c r="D12" s="179"/>
      <c r="E12" s="138"/>
      <c r="F12" s="179"/>
      <c r="G12" s="179"/>
    </row>
    <row r="13" spans="1:15" x14ac:dyDescent="0.2">
      <c r="B13" s="75" t="s">
        <v>20</v>
      </c>
      <c r="C13" s="178"/>
      <c r="D13" s="179"/>
      <c r="E13" s="138"/>
      <c r="F13" s="179"/>
      <c r="G13" s="179"/>
    </row>
    <row r="14" spans="1:15" x14ac:dyDescent="0.2">
      <c r="B14" s="75" t="s">
        <v>21</v>
      </c>
      <c r="C14" s="178"/>
      <c r="D14" s="179"/>
      <c r="E14" s="138"/>
      <c r="F14" s="179"/>
      <c r="G14" s="179"/>
    </row>
    <row r="15" spans="1:15" x14ac:dyDescent="0.2">
      <c r="B15" s="75" t="s">
        <v>22</v>
      </c>
      <c r="C15" s="178"/>
      <c r="D15" s="179"/>
      <c r="E15" s="138"/>
      <c r="F15" s="179"/>
      <c r="G15" s="179"/>
    </row>
    <row r="16" spans="1:15" ht="12.75" customHeight="1" x14ac:dyDescent="0.2">
      <c r="B16" s="75" t="s">
        <v>612</v>
      </c>
      <c r="C16" s="178"/>
      <c r="D16" s="179"/>
      <c r="E16" s="138"/>
      <c r="F16" s="179"/>
      <c r="G16" s="179"/>
    </row>
    <row r="17" spans="2:7" ht="12.75" customHeight="1" x14ac:dyDescent="0.2">
      <c r="B17" s="75" t="s">
        <v>613</v>
      </c>
      <c r="C17" s="178"/>
      <c r="D17" s="179"/>
      <c r="E17" s="138"/>
      <c r="F17" s="179"/>
      <c r="G17" s="179"/>
    </row>
    <row r="18" spans="2:7" ht="12.75" customHeight="1" x14ac:dyDescent="0.2">
      <c r="B18" s="75" t="s">
        <v>614</v>
      </c>
      <c r="C18" s="178"/>
      <c r="D18" s="179"/>
      <c r="E18" s="138"/>
      <c r="F18" s="179"/>
      <c r="G18" s="179"/>
    </row>
    <row r="19" spans="2:7" ht="12.75" customHeight="1" x14ac:dyDescent="0.2">
      <c r="B19" s="75" t="s">
        <v>615</v>
      </c>
      <c r="C19" s="178"/>
      <c r="D19" s="179"/>
      <c r="E19" s="138"/>
      <c r="F19" s="179"/>
      <c r="G19" s="179"/>
    </row>
  </sheetData>
  <dataValidations count="2">
    <dataValidation allowBlank="1" showErrorMessage="1" sqref="C10:D19 F10:G19" xr:uid="{00000000-0002-0000-1400-000000000000}"/>
    <dataValidation type="list" allowBlank="1" showErrorMessage="1" sqref="E10:E19" xr:uid="{00000000-0002-0000-1400-000001000000}">
      <formula1>DataSource</formula1>
    </dataValidation>
  </dataValidations>
  <pageMargins left="0.7" right="0.7" top="0.75" bottom="0.75" header="0.3" footer="0.3"/>
  <pageSetup paperSize="9" orientation="portrait" verticalDpi="0" r:id="rId1"/>
  <headerFooter>
    <oddHeader>&amp;C&amp;"Calibri"&amp;12&amp;KFF0000 OFFICIAL&amp;1#_x000D_</oddHeader>
    <oddFooter>&amp;C_x000D_&amp;1#&amp;"Calibri"&amp;12&amp;KFF0000 OFFICIAL</odd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23">
    <tabColor theme="8"/>
  </sheetPr>
  <dimension ref="A1:BF12"/>
  <sheetViews>
    <sheetView showGridLines="0" zoomScaleNormal="100" workbookViewId="0">
      <pane ySplit="3" topLeftCell="A4" activePane="bottomLeft" state="frozen"/>
      <selection pane="bottomLeft"/>
    </sheetView>
  </sheetViews>
  <sheetFormatPr defaultRowHeight="12.75" customHeight="1" x14ac:dyDescent="0.2"/>
  <cols>
    <col min="1" max="1" width="3.7109375" customWidth="1"/>
    <col min="2" max="2" width="30.7109375" customWidth="1"/>
    <col min="3" max="24" width="10.7109375" customWidth="1"/>
    <col min="25" max="53" width="9.140625" customWidth="1"/>
  </cols>
  <sheetData>
    <row r="1" spans="1:58" ht="23.25" x14ac:dyDescent="0.2">
      <c r="A1" s="174"/>
      <c r="B1" s="175" t="s">
        <v>673</v>
      </c>
      <c r="C1" s="174"/>
      <c r="D1" s="174"/>
      <c r="E1" s="174"/>
      <c r="F1" s="174"/>
      <c r="G1" s="174"/>
      <c r="H1" s="174"/>
      <c r="I1" s="174"/>
      <c r="J1" s="174"/>
      <c r="K1" s="174"/>
      <c r="L1" s="174"/>
      <c r="M1" s="174"/>
      <c r="N1" s="174"/>
      <c r="O1" s="174"/>
      <c r="P1" s="174"/>
      <c r="Q1" s="174"/>
      <c r="R1" s="174"/>
      <c r="S1" s="174"/>
      <c r="T1" s="174"/>
      <c r="U1" s="174"/>
      <c r="V1" s="174"/>
      <c r="W1" s="174"/>
    </row>
    <row r="2" spans="1:58" ht="15.75" x14ac:dyDescent="0.2">
      <c r="A2" s="176"/>
      <c r="B2" s="177" t="str">
        <f>CONCATENATE("Name of medicine: ", MedicineBrand)</f>
        <v xml:space="preserve">Name of medicine: </v>
      </c>
      <c r="C2" s="176"/>
      <c r="D2" s="176"/>
      <c r="E2" s="176"/>
      <c r="F2" s="176"/>
      <c r="G2" s="176"/>
      <c r="H2" s="176"/>
      <c r="I2" s="176"/>
      <c r="J2" s="176"/>
      <c r="K2" s="176"/>
      <c r="L2" s="176"/>
      <c r="M2" s="176"/>
      <c r="N2" s="176"/>
      <c r="O2" s="176"/>
      <c r="P2" s="176"/>
      <c r="Q2" s="176"/>
      <c r="R2" s="176"/>
      <c r="S2" s="176"/>
      <c r="T2" s="176"/>
      <c r="U2" s="176"/>
      <c r="V2" s="176"/>
      <c r="W2" s="176"/>
    </row>
    <row r="3" spans="1:58" ht="15.75" x14ac:dyDescent="0.2">
      <c r="A3" s="176"/>
      <c r="B3" s="177" t="str">
        <f>CONCATENATE("Indication: ",Indication)</f>
        <v xml:space="preserve">Indication: </v>
      </c>
      <c r="C3" s="176"/>
      <c r="D3" s="176"/>
      <c r="E3" s="176"/>
      <c r="F3" s="176"/>
      <c r="G3" s="176"/>
      <c r="H3" s="176"/>
      <c r="I3" s="176"/>
      <c r="J3" s="176"/>
      <c r="K3" s="176"/>
      <c r="L3" s="176"/>
      <c r="M3" s="176"/>
      <c r="N3" s="176"/>
      <c r="O3" s="176"/>
      <c r="P3" s="176"/>
      <c r="Q3" s="176"/>
      <c r="R3" s="176"/>
      <c r="S3" s="176"/>
      <c r="T3" s="176"/>
      <c r="U3" s="176"/>
      <c r="V3" s="176"/>
      <c r="W3" s="176"/>
    </row>
    <row r="7" spans="1:58" ht="12.75" customHeight="1" x14ac:dyDescent="0.2">
      <c r="BF7" s="103"/>
    </row>
    <row r="8" spans="1:58" ht="12.75" customHeight="1" x14ac:dyDescent="0.2">
      <c r="BF8" s="103"/>
    </row>
    <row r="9" spans="1:58" ht="12.75" customHeight="1" x14ac:dyDescent="0.2">
      <c r="BF9" s="103"/>
    </row>
    <row r="10" spans="1:58" ht="12.75" customHeight="1" x14ac:dyDescent="0.2">
      <c r="BF10" s="103"/>
    </row>
    <row r="11" spans="1:58" ht="12.75" customHeight="1" x14ac:dyDescent="0.2">
      <c r="BF11" s="103"/>
    </row>
    <row r="12" spans="1:58" ht="12.75" customHeight="1" x14ac:dyDescent="0.2">
      <c r="BF12" s="103"/>
    </row>
  </sheetData>
  <pageMargins left="0.7" right="0.7" top="0.75" bottom="0.75" header="0.3" footer="0.3"/>
  <pageSetup paperSize="9" orientation="portrait" verticalDpi="0" r:id="rId1"/>
  <headerFooter>
    <oddHeader>&amp;C&amp;"Calibri"&amp;12&amp;KFF0000 OFFICIAL&amp;1#_x000D_</oddHeader>
    <oddFooter>&amp;C_x000D_&amp;1#&amp;"Calibri"&amp;12&amp;KFF0000 OFFICIAL</odd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heet111">
    <tabColor theme="5"/>
  </sheetPr>
  <dimension ref="A1:BC147"/>
  <sheetViews>
    <sheetView showGridLines="0" zoomScaleNormal="100" workbookViewId="0"/>
  </sheetViews>
  <sheetFormatPr defaultRowHeight="12.75" customHeight="1" x14ac:dyDescent="0.2"/>
  <cols>
    <col min="1" max="1" width="3.7109375" customWidth="1"/>
    <col min="2" max="3" width="32.7109375" customWidth="1"/>
    <col min="4" max="4" width="3.7109375" customWidth="1"/>
    <col min="5" max="5" width="15.7109375" customWidth="1"/>
    <col min="6" max="6" width="10.7109375" customWidth="1"/>
    <col min="7" max="7" width="3.7109375" customWidth="1"/>
    <col min="8" max="8" width="30.7109375" customWidth="1"/>
    <col min="9" max="9" width="3.7109375" customWidth="1"/>
    <col min="10" max="10" width="20.7109375" customWidth="1"/>
    <col min="11" max="11" width="3.7109375" customWidth="1"/>
    <col min="12" max="12" width="25.7109375" customWidth="1"/>
    <col min="13" max="13" width="3.7109375" customWidth="1"/>
    <col min="14" max="14" width="10.7109375" customWidth="1"/>
    <col min="15" max="15" width="3.7109375" customWidth="1"/>
    <col min="16" max="16" width="40.7109375" customWidth="1"/>
    <col min="17" max="18" width="3.7109375" customWidth="1"/>
    <col min="19" max="20" width="15.7109375" customWidth="1"/>
    <col min="21" max="22" width="3.7109375" customWidth="1"/>
    <col min="23" max="23" width="10.7109375" customWidth="1"/>
    <col min="24" max="24" width="25.7109375" customWidth="1"/>
    <col min="25" max="25" width="10.7109375" customWidth="1"/>
    <col min="26" max="26" width="3.7109375" customWidth="1"/>
    <col min="27" max="27" width="15.7109375" customWidth="1"/>
    <col min="28" max="28" width="125.7109375" customWidth="1"/>
    <col min="29" max="30" width="3.7109375" customWidth="1"/>
    <col min="31" max="34" width="40.7109375" customWidth="1"/>
    <col min="35" max="36" width="3.7109375" customWidth="1"/>
    <col min="37" max="44" width="10.7109375" customWidth="1"/>
    <col min="45" max="45" width="3.7109375" customWidth="1"/>
    <col min="46" max="55" width="10.7109375" customWidth="1"/>
    <col min="56" max="56" width="3.7109375" customWidth="1"/>
  </cols>
  <sheetData>
    <row r="1" spans="1:55" ht="23.25" x14ac:dyDescent="0.2">
      <c r="A1" s="180"/>
      <c r="B1" s="181" t="s">
        <v>32</v>
      </c>
      <c r="C1" s="180"/>
      <c r="D1" s="180"/>
      <c r="E1" s="180"/>
      <c r="F1" s="180"/>
      <c r="G1" s="180"/>
      <c r="H1" s="180"/>
      <c r="I1" s="180"/>
      <c r="J1" s="180"/>
      <c r="K1" s="180"/>
      <c r="L1" s="180"/>
      <c r="M1" s="180"/>
      <c r="N1" s="180"/>
      <c r="O1" s="180"/>
      <c r="P1" s="180"/>
      <c r="Q1" s="180"/>
      <c r="R1" s="180"/>
      <c r="S1" s="180"/>
      <c r="T1" s="180"/>
      <c r="U1" s="180"/>
      <c r="V1" s="180"/>
      <c r="W1" s="180"/>
      <c r="X1" s="180"/>
      <c r="Y1" s="180"/>
      <c r="Z1" s="180"/>
      <c r="AA1" s="180"/>
      <c r="AB1" s="180"/>
      <c r="AC1" s="180"/>
      <c r="AD1" s="180"/>
      <c r="AE1" s="180"/>
      <c r="AF1" s="180"/>
      <c r="AG1" s="180"/>
      <c r="AH1" s="180"/>
      <c r="AI1" s="180"/>
      <c r="AJ1" s="180"/>
      <c r="AK1" s="180"/>
      <c r="AL1" s="180"/>
      <c r="AM1" s="180"/>
      <c r="AN1" s="180"/>
      <c r="AO1" s="180"/>
      <c r="AP1" s="180"/>
      <c r="AQ1" s="180"/>
      <c r="AR1" s="180"/>
      <c r="AS1" s="180"/>
      <c r="AT1" s="180"/>
      <c r="AU1" s="180"/>
      <c r="AV1" s="180"/>
      <c r="AW1" s="180"/>
      <c r="AX1" s="180"/>
      <c r="AY1" s="180"/>
      <c r="AZ1" s="180"/>
      <c r="BA1" s="180"/>
      <c r="BB1" s="180"/>
      <c r="BC1" s="180"/>
    </row>
    <row r="2" spans="1:55" ht="15.75" x14ac:dyDescent="0.2">
      <c r="A2" s="180"/>
      <c r="B2" s="182" t="s">
        <v>306</v>
      </c>
      <c r="C2" s="183"/>
      <c r="D2" s="180"/>
      <c r="E2" s="180"/>
      <c r="F2" s="180"/>
      <c r="G2" s="180"/>
      <c r="H2" s="314" t="str">
        <f>"Release " &amp; C6</f>
        <v>Release 3</v>
      </c>
      <c r="I2" s="180"/>
      <c r="J2" s="180"/>
      <c r="K2" s="180"/>
      <c r="L2" s="180"/>
      <c r="M2" s="180"/>
      <c r="N2" s="180"/>
      <c r="O2" s="180"/>
      <c r="P2" s="180"/>
      <c r="Q2" s="180"/>
      <c r="R2" s="180"/>
      <c r="S2" s="180"/>
      <c r="T2" s="180"/>
      <c r="U2" s="180"/>
      <c r="V2" s="180"/>
      <c r="W2" s="180"/>
      <c r="X2" s="180"/>
      <c r="Y2" s="180"/>
      <c r="Z2" s="180"/>
      <c r="AA2" s="180"/>
      <c r="AB2" s="180"/>
      <c r="AC2" s="180"/>
      <c r="AD2" s="180"/>
      <c r="AE2" s="180"/>
      <c r="AF2" s="180"/>
      <c r="AG2" s="180"/>
      <c r="AH2" s="180"/>
      <c r="AI2" s="180"/>
      <c r="AJ2" s="180"/>
      <c r="AK2" s="180"/>
      <c r="AL2" s="180"/>
      <c r="AM2" s="180"/>
      <c r="AN2" s="180"/>
      <c r="AO2" s="180"/>
      <c r="AP2" s="180"/>
      <c r="AQ2" s="180"/>
      <c r="AR2" s="180"/>
      <c r="AS2" s="180"/>
      <c r="AT2" s="180"/>
      <c r="AU2" s="180"/>
      <c r="AV2" s="180"/>
      <c r="AW2" s="180"/>
      <c r="AX2" s="180"/>
      <c r="AY2" s="180"/>
      <c r="AZ2" s="180"/>
      <c r="BA2" s="180"/>
      <c r="BB2" s="180"/>
      <c r="BC2" s="180"/>
    </row>
    <row r="3" spans="1:55" ht="15.75" x14ac:dyDescent="0.2">
      <c r="A3" s="180"/>
      <c r="B3" s="182" t="s">
        <v>307</v>
      </c>
      <c r="C3" s="183"/>
      <c r="D3" s="180"/>
      <c r="E3" s="180"/>
      <c r="F3" s="180"/>
      <c r="G3" s="180"/>
      <c r="H3" s="315" t="str">
        <f>"Version "&amp; C7 &amp; " - " &amp; DAY(C8) &amp; "/" &amp; MONTH(C8) &amp; "/" &amp; YEAR(C8)</f>
        <v>Version 10.82 - 1/12/2025</v>
      </c>
      <c r="I3" s="180"/>
      <c r="J3" s="180"/>
      <c r="K3" s="180"/>
      <c r="L3" s="180"/>
      <c r="M3" s="180"/>
      <c r="N3" s="180"/>
      <c r="O3" s="180"/>
      <c r="P3" s="180"/>
      <c r="Q3" s="180"/>
      <c r="R3" s="180"/>
      <c r="S3" s="180"/>
      <c r="T3" s="180"/>
      <c r="U3" s="180"/>
      <c r="V3" s="180"/>
      <c r="W3" s="180"/>
      <c r="X3" s="180"/>
      <c r="Y3" s="180"/>
      <c r="Z3" s="180"/>
      <c r="AA3" s="180"/>
      <c r="AB3" s="180"/>
      <c r="AC3" s="180"/>
      <c r="AD3" s="180"/>
      <c r="AE3" s="180"/>
      <c r="AF3" s="180"/>
      <c r="AG3" s="180"/>
      <c r="AH3" s="180"/>
      <c r="AI3" s="180"/>
      <c r="AJ3" s="180"/>
      <c r="AK3" s="180"/>
      <c r="AL3" s="180"/>
      <c r="AM3" s="180"/>
      <c r="AN3" s="180"/>
      <c r="AO3" s="180"/>
      <c r="AP3" s="180"/>
      <c r="AQ3" s="180"/>
      <c r="AR3" s="180"/>
      <c r="AS3" s="180"/>
      <c r="AT3" s="180"/>
      <c r="AU3" s="180"/>
      <c r="AV3" s="180"/>
      <c r="AW3" s="180"/>
      <c r="AX3" s="180"/>
      <c r="AY3" s="180"/>
      <c r="AZ3" s="180"/>
      <c r="BA3" s="180"/>
      <c r="BB3" s="180"/>
      <c r="BC3" s="180"/>
    </row>
    <row r="4" spans="1:55" x14ac:dyDescent="0.2"/>
    <row r="5" spans="1:55" ht="12.75" customHeight="1" x14ac:dyDescent="0.2">
      <c r="B5" s="677" t="s">
        <v>492</v>
      </c>
      <c r="C5" s="679"/>
      <c r="E5" s="677" t="s">
        <v>242</v>
      </c>
      <c r="F5" s="679"/>
      <c r="H5" s="184" t="s">
        <v>125</v>
      </c>
      <c r="J5" s="184" t="s">
        <v>189</v>
      </c>
      <c r="L5" s="678" t="s">
        <v>589</v>
      </c>
      <c r="M5" s="678"/>
      <c r="N5" s="595"/>
      <c r="P5" s="184" t="s">
        <v>272</v>
      </c>
      <c r="R5" s="678" t="s">
        <v>247</v>
      </c>
      <c r="S5" s="678"/>
      <c r="T5" s="678"/>
      <c r="U5" s="678"/>
      <c r="W5" s="184" t="s">
        <v>240</v>
      </c>
      <c r="X5" s="184" t="s">
        <v>48</v>
      </c>
      <c r="Y5" s="184" t="s">
        <v>241</v>
      </c>
      <c r="AA5" s="66" t="s">
        <v>143</v>
      </c>
      <c r="AB5" s="235" t="s">
        <v>144</v>
      </c>
      <c r="AE5" s="678" t="s">
        <v>336</v>
      </c>
      <c r="AF5" s="678"/>
      <c r="AG5" s="678"/>
      <c r="AH5" s="595"/>
      <c r="AL5" s="677" t="s">
        <v>336</v>
      </c>
      <c r="AM5" s="677"/>
      <c r="AN5" s="677"/>
      <c r="AO5" s="677"/>
      <c r="AP5" s="677"/>
      <c r="AQ5" s="677"/>
      <c r="AU5" s="680" t="s">
        <v>1238</v>
      </c>
      <c r="AV5" s="681"/>
      <c r="AW5" s="681"/>
      <c r="AX5" s="681"/>
      <c r="AY5" s="682"/>
    </row>
    <row r="6" spans="1:55" x14ac:dyDescent="0.2">
      <c r="B6" s="268" t="s">
        <v>616</v>
      </c>
      <c r="C6" s="235">
        <v>3</v>
      </c>
      <c r="E6" s="235" t="s">
        <v>243</v>
      </c>
      <c r="F6" s="235">
        <v>2</v>
      </c>
      <c r="H6" s="235" t="s">
        <v>126</v>
      </c>
      <c r="J6" s="235" t="s">
        <v>1083</v>
      </c>
      <c r="L6" s="235" t="s">
        <v>91</v>
      </c>
      <c r="M6" s="300" t="s">
        <v>590</v>
      </c>
      <c r="N6" s="297">
        <v>25</v>
      </c>
      <c r="O6" s="121"/>
      <c r="P6" s="235" t="s">
        <v>709</v>
      </c>
      <c r="R6" s="326" t="s">
        <v>280</v>
      </c>
      <c r="S6" s="236" t="s">
        <v>710</v>
      </c>
      <c r="T6" s="236">
        <v>1</v>
      </c>
      <c r="U6" s="328" t="str">
        <f>R6</f>
        <v>I</v>
      </c>
      <c r="W6" s="235" t="s">
        <v>155</v>
      </c>
      <c r="X6" s="235" t="s">
        <v>156</v>
      </c>
      <c r="Y6" s="235">
        <v>0</v>
      </c>
      <c r="AA6" s="66" t="s">
        <v>145</v>
      </c>
      <c r="AB6" s="235" t="s">
        <v>146</v>
      </c>
      <c r="AE6" s="184" t="s">
        <v>263</v>
      </c>
      <c r="AF6" s="184" t="s">
        <v>264</v>
      </c>
      <c r="AG6" s="184" t="s">
        <v>54</v>
      </c>
      <c r="AH6" s="184" t="s">
        <v>371</v>
      </c>
      <c r="AL6" s="185">
        <f>FirstYear</f>
        <v>2026</v>
      </c>
      <c r="AM6" s="63">
        <f>AL6+1</f>
        <v>2027</v>
      </c>
      <c r="AN6" s="63">
        <f>AM6+1</f>
        <v>2028</v>
      </c>
      <c r="AO6" s="63">
        <f>AN6+1</f>
        <v>2029</v>
      </c>
      <c r="AP6" s="63">
        <f>AO6+1</f>
        <v>2030</v>
      </c>
      <c r="AQ6" s="63">
        <f>AP6+1</f>
        <v>2031</v>
      </c>
      <c r="AU6" s="185" t="s">
        <v>1159</v>
      </c>
      <c r="AV6" s="185" t="s">
        <v>366</v>
      </c>
      <c r="AW6" s="185" t="s">
        <v>1235</v>
      </c>
      <c r="AX6" s="185" t="s">
        <v>1237</v>
      </c>
      <c r="AY6" s="185" t="s">
        <v>1236</v>
      </c>
    </row>
    <row r="7" spans="1:55" x14ac:dyDescent="0.2">
      <c r="B7" s="268" t="s">
        <v>617</v>
      </c>
      <c r="C7" s="531">
        <v>10.82</v>
      </c>
      <c r="E7" s="235" t="s">
        <v>244</v>
      </c>
      <c r="F7" s="235">
        <v>0</v>
      </c>
      <c r="H7" s="235" t="s">
        <v>127</v>
      </c>
      <c r="J7" s="235" t="s">
        <v>631</v>
      </c>
      <c r="L7" s="235" t="s">
        <v>92</v>
      </c>
      <c r="M7" s="300" t="s">
        <v>591</v>
      </c>
      <c r="N7" s="297">
        <v>7.7</v>
      </c>
      <c r="O7" s="121"/>
      <c r="P7" s="235" t="s">
        <v>271</v>
      </c>
      <c r="R7" s="327" t="s">
        <v>139</v>
      </c>
      <c r="S7" s="235" t="s">
        <v>61</v>
      </c>
      <c r="T7" s="235">
        <v>2</v>
      </c>
      <c r="U7" s="328" t="str">
        <f>R7</f>
        <v>C</v>
      </c>
      <c r="W7" s="235" t="s">
        <v>157</v>
      </c>
      <c r="X7" s="235" t="s">
        <v>158</v>
      </c>
      <c r="Y7" s="235">
        <v>1</v>
      </c>
      <c r="AA7" s="66" t="s">
        <v>148</v>
      </c>
      <c r="AB7" s="235" t="s">
        <v>149</v>
      </c>
      <c r="AD7" s="186">
        <v>1</v>
      </c>
      <c r="AE7" s="80" t="str">
        <f>'8. ABS population'!D19</f>
        <v>** NOT USED **</v>
      </c>
      <c r="AF7" s="80" t="str">
        <f>'9. AIHW population'!D19</f>
        <v>** NOT USED **</v>
      </c>
      <c r="AG7" s="80" t="str">
        <f>'10. Registry population'!D19</f>
        <v>** NOT USED **</v>
      </c>
      <c r="AH7" s="80" t="str">
        <f>'11. Persistent population'!D19</f>
        <v>** NOT USED **</v>
      </c>
      <c r="AI7" t="s">
        <v>409</v>
      </c>
      <c r="AK7" s="66" t="s">
        <v>317</v>
      </c>
      <c r="AL7" s="384">
        <f>'8. ABS population'!E8</f>
        <v>0</v>
      </c>
      <c r="AM7" s="384">
        <f>'8. ABS population'!F8</f>
        <v>0</v>
      </c>
      <c r="AN7" s="384">
        <f>'8. ABS population'!G8</f>
        <v>0</v>
      </c>
      <c r="AO7" s="384">
        <f>'8. ABS population'!H8</f>
        <v>0</v>
      </c>
      <c r="AP7" s="384">
        <f>'8. ABS population'!I8</f>
        <v>0</v>
      </c>
      <c r="AQ7" s="384">
        <f>'8. ABS population'!J8</f>
        <v>0</v>
      </c>
      <c r="AT7" s="66" t="s">
        <v>1275</v>
      </c>
      <c r="AU7" s="500" t="str">
        <f t="shared" ref="AU7:AU46" si="0">IFERROR(IF(AY7&lt;999999,AY7,""),"")</f>
        <v/>
      </c>
      <c r="AV7" s="80">
        <f>IF('7. Net changes - MBS'!D63&lt;&gt;"",'7. Net changes - MBS'!D63,999999)</f>
        <v>999999</v>
      </c>
      <c r="AW7" s="80">
        <f>LOOKUP(2,1/(COUNTIF($AW$6:AW6,MBSItemsAll)=0),MBSItemsAll)</f>
        <v>999999</v>
      </c>
      <c r="AX7" s="80">
        <f>COUNTIF($AW$7:$AW$46, "&lt;" &amp; AW7)+COUNTIF($AW$7:AW7,AW7)</f>
        <v>1</v>
      </c>
      <c r="AY7" s="80">
        <f>INDEX($AW$7:$AW$46,MATCH(ROWS($AY$7:AY7),$AX$7:$AX$46,0))</f>
        <v>999999</v>
      </c>
    </row>
    <row r="8" spans="1:55" x14ac:dyDescent="0.2">
      <c r="B8" s="268" t="s">
        <v>618</v>
      </c>
      <c r="C8" s="267">
        <v>45992</v>
      </c>
      <c r="H8" s="235" t="s">
        <v>128</v>
      </c>
      <c r="J8" s="235" t="s">
        <v>632</v>
      </c>
      <c r="L8" s="235" t="s">
        <v>93</v>
      </c>
      <c r="M8" s="300" t="s">
        <v>592</v>
      </c>
      <c r="N8" s="298">
        <f>N7</f>
        <v>7.7</v>
      </c>
      <c r="O8" s="121"/>
      <c r="R8" s="327" t="s">
        <v>281</v>
      </c>
      <c r="S8" s="235" t="s">
        <v>366</v>
      </c>
      <c r="T8" s="235">
        <v>3</v>
      </c>
      <c r="U8" s="328" t="str">
        <f>R8</f>
        <v>IC</v>
      </c>
      <c r="W8" s="235" t="s">
        <v>159</v>
      </c>
      <c r="X8" s="235" t="s">
        <v>877</v>
      </c>
      <c r="Y8" s="235">
        <v>0</v>
      </c>
      <c r="AA8" s="187"/>
      <c r="AB8" s="188"/>
      <c r="AD8" s="186">
        <v>2</v>
      </c>
      <c r="AE8" s="80" t="str">
        <f>'8. ABS population'!D37</f>
        <v>** NOT USED **</v>
      </c>
      <c r="AF8" s="80" t="str">
        <f>'9. AIHW population'!D36</f>
        <v>** NOT USED **</v>
      </c>
      <c r="AG8" s="80" t="str">
        <f>'10. Registry population'!D36</f>
        <v>** NOT USED **</v>
      </c>
      <c r="AH8" s="80" t="str">
        <f>'11. Persistent population'!D57</f>
        <v>** NOT USED **</v>
      </c>
      <c r="AI8" t="s">
        <v>409</v>
      </c>
      <c r="AK8" s="66" t="s">
        <v>318</v>
      </c>
      <c r="AL8" s="384">
        <f>'8. ABS population'!E9</f>
        <v>0</v>
      </c>
      <c r="AM8" s="384">
        <f>'8. ABS population'!F9</f>
        <v>0</v>
      </c>
      <c r="AN8" s="384">
        <f>'8. ABS population'!G9</f>
        <v>0</v>
      </c>
      <c r="AO8" s="384">
        <f>'8. ABS population'!H9</f>
        <v>0</v>
      </c>
      <c r="AP8" s="384">
        <f>'8. ABS population'!I9</f>
        <v>0</v>
      </c>
      <c r="AQ8" s="384">
        <f>'8. ABS population'!J9</f>
        <v>0</v>
      </c>
      <c r="AT8" s="66" t="s">
        <v>1276</v>
      </c>
      <c r="AU8" s="500" t="str">
        <f t="shared" si="0"/>
        <v/>
      </c>
      <c r="AV8" s="80">
        <f>IF('7. Net changes - MBS'!D64&lt;&gt;"",'7. Net changes - MBS'!D64,999999)</f>
        <v>999999</v>
      </c>
      <c r="AW8" s="80" t="e">
        <f>LOOKUP(2,1/(COUNTIF($AW$6:AW7,MBSItemsAll)=0),MBSItemsAll)</f>
        <v>#N/A</v>
      </c>
      <c r="AX8" s="80">
        <f>COUNTIF($AW$7:$AW$46, "&lt;" &amp; AW8)+COUNTIF($AW$7:AW8,AW8)</f>
        <v>40</v>
      </c>
      <c r="AY8" s="80" t="e">
        <f>INDEX($AW$7:$AW$46,MATCH(ROWS($AY$7:AY8),$AX$7:$AX$46,0))</f>
        <v>#N/A</v>
      </c>
    </row>
    <row r="9" spans="1:55" x14ac:dyDescent="0.2">
      <c r="H9" s="235" t="s">
        <v>129</v>
      </c>
      <c r="J9" s="235" t="s">
        <v>629</v>
      </c>
      <c r="L9" s="235" t="s">
        <v>94</v>
      </c>
      <c r="M9" s="300" t="s">
        <v>593</v>
      </c>
      <c r="N9" s="297">
        <v>0</v>
      </c>
      <c r="O9" s="121"/>
      <c r="R9" s="327" t="s">
        <v>280</v>
      </c>
      <c r="S9" s="235" t="s">
        <v>59</v>
      </c>
      <c r="T9" s="235">
        <v>1</v>
      </c>
      <c r="U9" s="328" t="s">
        <v>280</v>
      </c>
      <c r="W9" s="235" t="s">
        <v>154</v>
      </c>
      <c r="X9" s="235" t="s">
        <v>876</v>
      </c>
      <c r="Y9" s="235">
        <v>0</v>
      </c>
      <c r="AA9" s="66" t="s">
        <v>151</v>
      </c>
      <c r="AB9" s="235" t="s">
        <v>367</v>
      </c>
      <c r="AD9" s="186">
        <v>3</v>
      </c>
      <c r="AE9" s="80" t="str">
        <f>'8. ABS population'!D55</f>
        <v>** NOT USED **</v>
      </c>
      <c r="AF9" s="80" t="str">
        <f>'9. AIHW population'!D53</f>
        <v>** NOT USED **</v>
      </c>
      <c r="AG9" s="80" t="str">
        <f>'10. Registry population'!D53</f>
        <v>** NOT USED **</v>
      </c>
      <c r="AH9" s="80" t="str">
        <f>'11. Persistent population'!D95</f>
        <v>** NOT USED **</v>
      </c>
      <c r="AI9" t="s">
        <v>409</v>
      </c>
      <c r="AK9" s="66" t="s">
        <v>319</v>
      </c>
      <c r="AL9" s="384">
        <f>'8. ABS population'!E10</f>
        <v>0</v>
      </c>
      <c r="AM9" s="384">
        <f>'8. ABS population'!F10</f>
        <v>0</v>
      </c>
      <c r="AN9" s="384">
        <f>'8. ABS population'!G10</f>
        <v>0</v>
      </c>
      <c r="AO9" s="384">
        <f>'8. ABS population'!H10</f>
        <v>0</v>
      </c>
      <c r="AP9" s="384">
        <f>'8. ABS population'!I10</f>
        <v>0</v>
      </c>
      <c r="AQ9" s="384">
        <f>'8. ABS population'!J10</f>
        <v>0</v>
      </c>
      <c r="AT9" s="66" t="s">
        <v>1277</v>
      </c>
      <c r="AU9" s="500" t="str">
        <f t="shared" si="0"/>
        <v/>
      </c>
      <c r="AV9" s="80">
        <f>IF('7. Net changes - MBS'!D65&lt;&gt;"",'7. Net changes - MBS'!D65,999999)</f>
        <v>999999</v>
      </c>
      <c r="AW9" s="80" t="e">
        <f>LOOKUP(2,1/(COUNTIF($AW$6:AW8,MBSItemsAll)=0),MBSItemsAll)</f>
        <v>#N/A</v>
      </c>
      <c r="AX9" s="80">
        <f>COUNTIF($AW$7:$AW$46, "&lt;" &amp; AW9)+COUNTIF($AW$7:AW9,AW9)</f>
        <v>41</v>
      </c>
      <c r="AY9" s="80" t="e">
        <f>INDEX($AW$7:$AW$46,MATCH(ROWS($AY$7:AY9),$AX$7:$AX$46,0))</f>
        <v>#N/A</v>
      </c>
    </row>
    <row r="10" spans="1:55" x14ac:dyDescent="0.2">
      <c r="J10" s="235" t="s">
        <v>633</v>
      </c>
      <c r="L10" s="235" t="s">
        <v>95</v>
      </c>
      <c r="M10" s="300" t="s">
        <v>183</v>
      </c>
      <c r="N10" s="298">
        <f>N7</f>
        <v>7.7</v>
      </c>
      <c r="O10" s="121"/>
      <c r="W10" s="235" t="s">
        <v>160</v>
      </c>
      <c r="X10" s="235" t="s">
        <v>161</v>
      </c>
      <c r="Y10" s="235">
        <v>0</v>
      </c>
      <c r="AA10" s="66" t="s">
        <v>145</v>
      </c>
      <c r="AB10" s="235" t="s">
        <v>200</v>
      </c>
      <c r="AD10" s="186">
        <v>4</v>
      </c>
      <c r="AE10" s="80" t="str">
        <f>'8. ABS population'!D73</f>
        <v>** NOT USED **</v>
      </c>
      <c r="AF10" s="80" t="str">
        <f>'9. AIHW population'!D70</f>
        <v>** NOT USED **</v>
      </c>
      <c r="AG10" s="80" t="str">
        <f>'10. Registry population'!D70</f>
        <v>** NOT USED **</v>
      </c>
      <c r="AH10" s="80" t="str">
        <f>'11. Persistent population'!D133</f>
        <v>** NOT USED **</v>
      </c>
      <c r="AI10" t="s">
        <v>409</v>
      </c>
      <c r="AK10" s="66" t="s">
        <v>320</v>
      </c>
      <c r="AL10" s="384">
        <f>'8. ABS population'!E11</f>
        <v>0</v>
      </c>
      <c r="AM10" s="384">
        <f>'8. ABS population'!F11</f>
        <v>0</v>
      </c>
      <c r="AN10" s="384">
        <f>'8. ABS population'!G11</f>
        <v>0</v>
      </c>
      <c r="AO10" s="384">
        <f>'8. ABS population'!H11</f>
        <v>0</v>
      </c>
      <c r="AP10" s="384">
        <f>'8. ABS population'!I11</f>
        <v>0</v>
      </c>
      <c r="AQ10" s="384">
        <f>'8. ABS population'!J11</f>
        <v>0</v>
      </c>
      <c r="AT10" s="66" t="s">
        <v>1278</v>
      </c>
      <c r="AU10" s="500" t="str">
        <f t="shared" si="0"/>
        <v/>
      </c>
      <c r="AV10" s="80">
        <f>IF('7. Net changes - MBS'!D66&lt;&gt;"",'7. Net changes - MBS'!D66,999999)</f>
        <v>999999</v>
      </c>
      <c r="AW10" s="80" t="e">
        <f>LOOKUP(2,1/(COUNTIF($AW$6:AW9,MBSItemsAll)=0),MBSItemsAll)</f>
        <v>#N/A</v>
      </c>
      <c r="AX10" s="80">
        <f>COUNTIF($AW$7:$AW$46, "&lt;" &amp; AW10)+COUNTIF($AW$7:AW10,AW10)</f>
        <v>42</v>
      </c>
      <c r="AY10" s="80" t="e">
        <f>INDEX($AW$7:$AW$46,MATCH(ROWS($AY$7:AY10),$AX$7:$AX$46,0))</f>
        <v>#N/A</v>
      </c>
    </row>
    <row r="11" spans="1:55" x14ac:dyDescent="0.2">
      <c r="J11" s="235" t="s">
        <v>634</v>
      </c>
      <c r="L11" s="235" t="s">
        <v>96</v>
      </c>
      <c r="M11" s="300" t="s">
        <v>594</v>
      </c>
      <c r="N11" s="298">
        <f>N9</f>
        <v>0</v>
      </c>
      <c r="O11" s="121"/>
      <c r="W11" s="235" t="s">
        <v>162</v>
      </c>
      <c r="X11" s="235" t="s">
        <v>163</v>
      </c>
      <c r="Y11" s="235">
        <v>0</v>
      </c>
      <c r="AA11" s="66" t="s">
        <v>148</v>
      </c>
      <c r="AB11" s="235" t="s">
        <v>201</v>
      </c>
      <c r="AD11" s="186">
        <v>5</v>
      </c>
      <c r="AE11" s="80" t="str">
        <f>'8. ABS population'!D91</f>
        <v>** NOT USED **</v>
      </c>
      <c r="AF11" s="80" t="str">
        <f>'9. AIHW population'!D87</f>
        <v>** NOT USED **</v>
      </c>
      <c r="AG11" s="80" t="str">
        <f>'10. Registry population'!D87</f>
        <v>** NOT USED **</v>
      </c>
      <c r="AH11" s="80" t="str">
        <f>'11. Persistent population'!D171</f>
        <v>** NOT USED **</v>
      </c>
      <c r="AI11" t="s">
        <v>409</v>
      </c>
      <c r="AK11" s="66" t="s">
        <v>321</v>
      </c>
      <c r="AL11" s="384">
        <f>'8. ABS population'!E12</f>
        <v>0</v>
      </c>
      <c r="AM11" s="384">
        <f>'8. ABS population'!F12</f>
        <v>0</v>
      </c>
      <c r="AN11" s="384">
        <f>'8. ABS population'!G12</f>
        <v>0</v>
      </c>
      <c r="AO11" s="384">
        <f>'8. ABS population'!H12</f>
        <v>0</v>
      </c>
      <c r="AP11" s="384">
        <f>'8. ABS population'!I12</f>
        <v>0</v>
      </c>
      <c r="AQ11" s="384">
        <f>'8. ABS population'!J12</f>
        <v>0</v>
      </c>
      <c r="AT11" s="66" t="s">
        <v>1279</v>
      </c>
      <c r="AU11" s="500" t="str">
        <f t="shared" si="0"/>
        <v/>
      </c>
      <c r="AV11" s="80">
        <f>IF('7. Net changes - MBS'!D67&lt;&gt;"",'7. Net changes - MBS'!D67,999999)</f>
        <v>999999</v>
      </c>
      <c r="AW11" s="80" t="e">
        <f>LOOKUP(2,1/(COUNTIF($AW$6:AW10,MBSItemsAll)=0),MBSItemsAll)</f>
        <v>#N/A</v>
      </c>
      <c r="AX11" s="80">
        <f>COUNTIF($AW$7:$AW$46, "&lt;" &amp; AW11)+COUNTIF($AW$7:AW11,AW11)</f>
        <v>43</v>
      </c>
      <c r="AY11" s="80" t="e">
        <f>INDEX($AW$7:$AW$46,MATCH(ROWS($AY$7:AY11),$AX$7:$AX$46,0))</f>
        <v>#N/A</v>
      </c>
    </row>
    <row r="12" spans="1:55" x14ac:dyDescent="0.2">
      <c r="J12" s="235" t="s">
        <v>630</v>
      </c>
      <c r="W12" s="235" t="s">
        <v>164</v>
      </c>
      <c r="X12" s="235" t="s">
        <v>165</v>
      </c>
      <c r="Y12" s="235">
        <v>0</v>
      </c>
      <c r="AA12" s="187"/>
      <c r="AB12" s="188"/>
      <c r="AD12" s="186">
        <v>6</v>
      </c>
      <c r="AE12" s="80" t="str">
        <f>'8. ABS population'!D109</f>
        <v>** NOT USED **</v>
      </c>
      <c r="AF12" s="80" t="str">
        <f>'9. AIHW population'!D104</f>
        <v>** NOT USED **</v>
      </c>
      <c r="AG12" s="80" t="str">
        <f>'10. Registry population'!D104</f>
        <v>** NOT USED **</v>
      </c>
      <c r="AH12" s="265" t="str">
        <f>MsgNotUsed</f>
        <v>** NOT USED **</v>
      </c>
      <c r="AI12" t="s">
        <v>409</v>
      </c>
      <c r="AK12" s="66" t="s">
        <v>337</v>
      </c>
      <c r="AL12" s="384">
        <f>'8. ABS population'!E13</f>
        <v>0</v>
      </c>
      <c r="AM12" s="384">
        <f>'8. ABS population'!F13</f>
        <v>0</v>
      </c>
      <c r="AN12" s="384">
        <f>'8. ABS population'!G13</f>
        <v>0</v>
      </c>
      <c r="AO12" s="384">
        <f>'8. ABS population'!H13</f>
        <v>0</v>
      </c>
      <c r="AP12" s="384">
        <f>'8. ABS population'!I13</f>
        <v>0</v>
      </c>
      <c r="AQ12" s="384">
        <f>'8. ABS population'!J13</f>
        <v>0</v>
      </c>
      <c r="AT12" s="66" t="s">
        <v>1280</v>
      </c>
      <c r="AU12" s="500" t="str">
        <f t="shared" si="0"/>
        <v/>
      </c>
      <c r="AV12" s="80">
        <f>IF('7. Net changes - MBS'!D68&lt;&gt;"",'7. Net changes - MBS'!D68,999999)</f>
        <v>999999</v>
      </c>
      <c r="AW12" s="80" t="e">
        <f>LOOKUP(2,1/(COUNTIF($AW$6:AW11,MBSItemsAll)=0),MBSItemsAll)</f>
        <v>#N/A</v>
      </c>
      <c r="AX12" s="80">
        <f>COUNTIF($AW$7:$AW$46, "&lt;" &amp; AW12)+COUNTIF($AW$7:AW12,AW12)</f>
        <v>44</v>
      </c>
      <c r="AY12" s="80" t="e">
        <f>INDEX($AW$7:$AW$46,MATCH(ROWS($AY$7:AY12),$AX$7:$AX$46,0))</f>
        <v>#N/A</v>
      </c>
    </row>
    <row r="13" spans="1:55" x14ac:dyDescent="0.2">
      <c r="J13" s="235" t="s">
        <v>1077</v>
      </c>
      <c r="W13" s="235" t="s">
        <v>167</v>
      </c>
      <c r="X13" s="235" t="s">
        <v>168</v>
      </c>
      <c r="Y13" s="235">
        <v>0</v>
      </c>
      <c r="AA13" s="66" t="s">
        <v>152</v>
      </c>
      <c r="AB13" s="235" t="s">
        <v>368</v>
      </c>
      <c r="AD13" s="186">
        <v>7</v>
      </c>
      <c r="AE13" s="80" t="str">
        <f>'8. ABS population'!D127</f>
        <v>** NOT USED **</v>
      </c>
      <c r="AF13" s="80" t="str">
        <f>'9. AIHW population'!D121</f>
        <v>** NOT USED **</v>
      </c>
      <c r="AG13" s="80" t="str">
        <f>'10. Registry population'!D121</f>
        <v>** NOT USED **</v>
      </c>
      <c r="AH13" s="265" t="str">
        <f>MsgNotUsed</f>
        <v>** NOT USED **</v>
      </c>
      <c r="AI13" t="s">
        <v>409</v>
      </c>
      <c r="AK13" s="66" t="s">
        <v>338</v>
      </c>
      <c r="AL13" s="384">
        <f>'8. ABS population'!E14</f>
        <v>0</v>
      </c>
      <c r="AM13" s="384">
        <f>'8. ABS population'!F14</f>
        <v>0</v>
      </c>
      <c r="AN13" s="384">
        <f>'8. ABS population'!G14</f>
        <v>0</v>
      </c>
      <c r="AO13" s="384">
        <f>'8. ABS population'!H14</f>
        <v>0</v>
      </c>
      <c r="AP13" s="384">
        <f>'8. ABS population'!I14</f>
        <v>0</v>
      </c>
      <c r="AQ13" s="384">
        <f>'8. ABS population'!J14</f>
        <v>0</v>
      </c>
      <c r="AT13" s="66" t="s">
        <v>1281</v>
      </c>
      <c r="AU13" s="500" t="str">
        <f t="shared" si="0"/>
        <v/>
      </c>
      <c r="AV13" s="80">
        <f>IF('7. Net changes - MBS'!D69&lt;&gt;"",'7. Net changes - MBS'!D69,999999)</f>
        <v>999999</v>
      </c>
      <c r="AW13" s="80" t="e">
        <f>LOOKUP(2,1/(COUNTIF($AW$6:AW12,MBSItemsAll)=0),MBSItemsAll)</f>
        <v>#N/A</v>
      </c>
      <c r="AX13" s="80">
        <f>COUNTIF($AW$7:$AW$46, "&lt;" &amp; AW13)+COUNTIF($AW$7:AW13,AW13)</f>
        <v>45</v>
      </c>
      <c r="AY13" s="80" t="e">
        <f>INDEX($AW$7:$AW$46,MATCH(ROWS($AY$7:AY13),$AX$7:$AX$46,0))</f>
        <v>#N/A</v>
      </c>
    </row>
    <row r="14" spans="1:55" x14ac:dyDescent="0.2">
      <c r="J14" s="235" t="s">
        <v>1078</v>
      </c>
      <c r="W14" s="235" t="s">
        <v>169</v>
      </c>
      <c r="X14" s="235" t="s">
        <v>170</v>
      </c>
      <c r="Y14" s="235">
        <v>1</v>
      </c>
      <c r="AA14" s="66" t="s">
        <v>145</v>
      </c>
      <c r="AB14" s="235" t="s">
        <v>202</v>
      </c>
      <c r="AD14" s="186">
        <v>8</v>
      </c>
      <c r="AE14" s="80" t="str">
        <f>'8. ABS population'!D145</f>
        <v>** NOT USED **</v>
      </c>
      <c r="AF14" s="80" t="str">
        <f>'9. AIHW population'!D138</f>
        <v>** NOT USED **</v>
      </c>
      <c r="AG14" s="80" t="str">
        <f>'10. Registry population'!D138</f>
        <v>** NOT USED **</v>
      </c>
      <c r="AH14" s="265" t="str">
        <f>MsgNotUsed</f>
        <v>** NOT USED **</v>
      </c>
      <c r="AI14" t="s">
        <v>409</v>
      </c>
      <c r="AK14" s="66" t="s">
        <v>339</v>
      </c>
      <c r="AL14" s="384">
        <f>'8. ABS population'!E15</f>
        <v>0</v>
      </c>
      <c r="AM14" s="384">
        <f>'8. ABS population'!F15</f>
        <v>0</v>
      </c>
      <c r="AN14" s="384">
        <f>'8. ABS population'!G15</f>
        <v>0</v>
      </c>
      <c r="AO14" s="384">
        <f>'8. ABS population'!H15</f>
        <v>0</v>
      </c>
      <c r="AP14" s="384">
        <f>'8. ABS population'!I15</f>
        <v>0</v>
      </c>
      <c r="AQ14" s="384">
        <f>'8. ABS population'!J15</f>
        <v>0</v>
      </c>
      <c r="AT14" s="66" t="s">
        <v>1282</v>
      </c>
      <c r="AU14" s="500" t="str">
        <f t="shared" si="0"/>
        <v/>
      </c>
      <c r="AV14" s="80">
        <f>IF('7. Net changes - MBS'!D70&lt;&gt;"",'7. Net changes - MBS'!D70,999999)</f>
        <v>999999</v>
      </c>
      <c r="AW14" s="80" t="e">
        <f>LOOKUP(2,1/(COUNTIF($AW$6:AW13,MBSItemsAll)=0),MBSItemsAll)</f>
        <v>#N/A</v>
      </c>
      <c r="AX14" s="80">
        <f>COUNTIF($AW$7:$AW$46, "&lt;" &amp; AW14)+COUNTIF($AW$7:AW14,AW14)</f>
        <v>46</v>
      </c>
      <c r="AY14" s="80" t="e">
        <f>INDEX($AW$7:$AW$46,MATCH(ROWS($AY$7:AY14),$AX$7:$AX$46,0))</f>
        <v>#N/A</v>
      </c>
    </row>
    <row r="15" spans="1:55" x14ac:dyDescent="0.2">
      <c r="J15" s="235" t="s">
        <v>1074</v>
      </c>
      <c r="W15" s="235" t="s">
        <v>171</v>
      </c>
      <c r="X15" s="235" t="s">
        <v>172</v>
      </c>
      <c r="Y15" s="235">
        <v>1</v>
      </c>
      <c r="AA15" s="66" t="s">
        <v>148</v>
      </c>
      <c r="AB15" s="235" t="s">
        <v>203</v>
      </c>
      <c r="AD15" s="186">
        <v>9</v>
      </c>
      <c r="AE15" s="80" t="str">
        <f>'8. ABS population'!D163</f>
        <v>** NOT USED **</v>
      </c>
      <c r="AF15" s="80" t="str">
        <f>'9. AIHW population'!D155</f>
        <v>** NOT USED **</v>
      </c>
      <c r="AG15" s="80" t="str">
        <f>'10. Registry population'!D155</f>
        <v>** NOT USED **</v>
      </c>
      <c r="AH15" s="265" t="str">
        <f>MsgNotUsed</f>
        <v>** NOT USED **</v>
      </c>
      <c r="AI15" t="s">
        <v>409</v>
      </c>
      <c r="AK15" s="66" t="s">
        <v>340</v>
      </c>
      <c r="AL15" s="384">
        <f>'8. ABS population'!E16</f>
        <v>0</v>
      </c>
      <c r="AM15" s="384">
        <f>'8. ABS population'!F16</f>
        <v>0</v>
      </c>
      <c r="AN15" s="384">
        <f>'8. ABS population'!G16</f>
        <v>0</v>
      </c>
      <c r="AO15" s="384">
        <f>'8. ABS population'!H16</f>
        <v>0</v>
      </c>
      <c r="AP15" s="384">
        <f>'8. ABS population'!I16</f>
        <v>0</v>
      </c>
      <c r="AQ15" s="384">
        <f>'8. ABS population'!J16</f>
        <v>0</v>
      </c>
      <c r="AT15" s="66" t="s">
        <v>1283</v>
      </c>
      <c r="AU15" s="500" t="str">
        <f t="shared" si="0"/>
        <v/>
      </c>
      <c r="AV15" s="80">
        <f>IF('7. Net changes - MBS'!D71&lt;&gt;"",'7. Net changes - MBS'!D71,999999)</f>
        <v>999999</v>
      </c>
      <c r="AW15" s="80" t="e">
        <f>LOOKUP(2,1/(COUNTIF($AW$6:AW14,MBSItemsAll)=0),MBSItemsAll)</f>
        <v>#N/A</v>
      </c>
      <c r="AX15" s="80">
        <f>COUNTIF($AW$7:$AW$46, "&lt;" &amp; AW15)+COUNTIF($AW$7:AW15,AW15)</f>
        <v>47</v>
      </c>
      <c r="AY15" s="80" t="e">
        <f>INDEX($AW$7:$AW$46,MATCH(ROWS($AY$7:AY15),$AX$7:$AX$46,0))</f>
        <v>#N/A</v>
      </c>
    </row>
    <row r="16" spans="1:55" x14ac:dyDescent="0.2">
      <c r="J16" s="235" t="s">
        <v>1079</v>
      </c>
      <c r="W16" s="235" t="s">
        <v>173</v>
      </c>
      <c r="X16" s="235" t="s">
        <v>174</v>
      </c>
      <c r="Y16" s="235">
        <v>0</v>
      </c>
      <c r="AA16" s="187"/>
      <c r="AB16" s="188"/>
      <c r="AD16" s="186">
        <v>10</v>
      </c>
      <c r="AE16" s="80" t="str">
        <f>'8. ABS population'!D181</f>
        <v>** NOT USED **</v>
      </c>
      <c r="AF16" s="80" t="str">
        <f>'9. AIHW population'!D172</f>
        <v>** NOT USED **</v>
      </c>
      <c r="AG16" s="80" t="str">
        <f>'10. Registry population'!D172</f>
        <v>** NOT USED **</v>
      </c>
      <c r="AH16" s="265" t="str">
        <f>MsgNotUsed</f>
        <v>** NOT USED **</v>
      </c>
      <c r="AI16" t="s">
        <v>409</v>
      </c>
      <c r="AK16" s="66" t="s">
        <v>341</v>
      </c>
      <c r="AL16" s="384">
        <f>'8. ABS population'!E17</f>
        <v>0</v>
      </c>
      <c r="AM16" s="384">
        <f>'8. ABS population'!F17</f>
        <v>0</v>
      </c>
      <c r="AN16" s="384">
        <f>'8. ABS population'!G17</f>
        <v>0</v>
      </c>
      <c r="AO16" s="384">
        <f>'8. ABS population'!H17</f>
        <v>0</v>
      </c>
      <c r="AP16" s="384">
        <f>'8. ABS population'!I17</f>
        <v>0</v>
      </c>
      <c r="AQ16" s="384">
        <f>'8. ABS population'!J17</f>
        <v>0</v>
      </c>
      <c r="AT16" s="66" t="s">
        <v>1244</v>
      </c>
      <c r="AU16" s="500" t="str">
        <f t="shared" si="0"/>
        <v/>
      </c>
      <c r="AV16" s="80">
        <f>IF('7. Net changes - MBS'!D72&lt;&gt;"",'7. Net changes - MBS'!D72,999999)</f>
        <v>999999</v>
      </c>
      <c r="AW16" s="80" t="e">
        <f>LOOKUP(2,1/(COUNTIF($AW$6:AW15,MBSItemsAll)=0),MBSItemsAll)</f>
        <v>#N/A</v>
      </c>
      <c r="AX16" s="80">
        <f>COUNTIF($AW$7:$AW$46, "&lt;" &amp; AW16)+COUNTIF($AW$7:AW16,AW16)</f>
        <v>48</v>
      </c>
      <c r="AY16" s="80" t="e">
        <f>INDEX($AW$7:$AW$46,MATCH(ROWS($AY$7:AY16),$AX$7:$AX$46,0))</f>
        <v>#N/A</v>
      </c>
    </row>
    <row r="17" spans="2:51" ht="12.75" customHeight="1" x14ac:dyDescent="0.2">
      <c r="B17" s="680" t="s">
        <v>112</v>
      </c>
      <c r="C17" s="627"/>
      <c r="E17" s="678" t="s">
        <v>262</v>
      </c>
      <c r="F17" s="595"/>
      <c r="J17" s="235" t="s">
        <v>1080</v>
      </c>
      <c r="L17" s="678" t="s">
        <v>1243</v>
      </c>
      <c r="M17" s="678"/>
      <c r="N17" s="595"/>
      <c r="W17" s="235" t="s">
        <v>177</v>
      </c>
      <c r="X17" s="235" t="s">
        <v>178</v>
      </c>
      <c r="Y17" s="235">
        <v>0</v>
      </c>
      <c r="AA17" s="66" t="s">
        <v>136</v>
      </c>
      <c r="AB17" s="235" t="s">
        <v>153</v>
      </c>
      <c r="AE17" s="189">
        <f>COUNTIF(AE7:AE16,"&lt;&gt;"&amp;MsgNotUsed)</f>
        <v>0</v>
      </c>
      <c r="AF17" s="189">
        <f>COUNTIF(AF7:AF16,"&lt;&gt;"&amp;MsgNotUsed)</f>
        <v>0</v>
      </c>
      <c r="AG17" s="189">
        <f>COUNTIF(AG7:AG16,"&lt;&gt;"&amp;MsgNotUsed)</f>
        <v>0</v>
      </c>
      <c r="AH17" s="189">
        <f>COUNTIF(AH7:AH16,"&lt;&gt;"&amp;MsgNotUsed)</f>
        <v>0</v>
      </c>
      <c r="AK17" s="66" t="s">
        <v>322</v>
      </c>
      <c r="AL17" s="384">
        <f>'9. AIHW population'!E8</f>
        <v>0</v>
      </c>
      <c r="AM17" s="384">
        <f>'9. AIHW population'!F8</f>
        <v>0</v>
      </c>
      <c r="AN17" s="384">
        <f>'9. AIHW population'!G8</f>
        <v>0</v>
      </c>
      <c r="AO17" s="384">
        <f>'9. AIHW population'!H8</f>
        <v>0</v>
      </c>
      <c r="AP17" s="384">
        <f>'9. AIHW population'!I8</f>
        <v>0</v>
      </c>
      <c r="AQ17" s="384">
        <f>'9. AIHW population'!J8</f>
        <v>0</v>
      </c>
      <c r="AT17" s="66" t="s">
        <v>1245</v>
      </c>
      <c r="AU17" s="500" t="str">
        <f t="shared" si="0"/>
        <v/>
      </c>
      <c r="AV17" s="80">
        <f>IF('7. Net changes - MBS'!D73&lt;&gt;"",'7. Net changes - MBS'!D73,999999)</f>
        <v>999999</v>
      </c>
      <c r="AW17" s="80" t="e">
        <f>LOOKUP(2,1/(COUNTIF($AW$6:AW16,MBSItemsAll)=0),MBSItemsAll)</f>
        <v>#N/A</v>
      </c>
      <c r="AX17" s="80">
        <f>COUNTIF($AW$7:$AW$46, "&lt;" &amp; AW17)+COUNTIF($AW$7:AW17,AW17)</f>
        <v>49</v>
      </c>
      <c r="AY17" s="80" t="e">
        <f>INDEX($AW$7:$AW$46,MATCH(ROWS($AY$7:AY17),$AX$7:$AX$46,0))</f>
        <v>#N/A</v>
      </c>
    </row>
    <row r="18" spans="2:51" x14ac:dyDescent="0.2">
      <c r="B18" s="236" t="s">
        <v>113</v>
      </c>
      <c r="C18" s="235">
        <v>1</v>
      </c>
      <c r="E18" s="235" t="s">
        <v>263</v>
      </c>
      <c r="F18" s="235">
        <v>1</v>
      </c>
      <c r="J18" s="235" t="s">
        <v>1075</v>
      </c>
      <c r="L18" s="235" t="s">
        <v>358</v>
      </c>
      <c r="M18" s="235">
        <v>1</v>
      </c>
      <c r="N18" s="409">
        <v>365.25</v>
      </c>
      <c r="W18" s="235" t="s">
        <v>179</v>
      </c>
      <c r="X18" s="235" t="s">
        <v>180</v>
      </c>
      <c r="Y18" s="235">
        <v>0</v>
      </c>
      <c r="AA18" s="66" t="s">
        <v>723</v>
      </c>
      <c r="AB18" s="235" t="s">
        <v>724</v>
      </c>
      <c r="AH18" s="189" t="s">
        <v>353</v>
      </c>
      <c r="AI18" s="190">
        <f>COUNT(AD7:AD16)</f>
        <v>10</v>
      </c>
      <c r="AK18" s="66" t="s">
        <v>323</v>
      </c>
      <c r="AL18" s="384">
        <f>'9. AIHW population'!E9</f>
        <v>0</v>
      </c>
      <c r="AM18" s="384">
        <f>'9. AIHW population'!F9</f>
        <v>0</v>
      </c>
      <c r="AN18" s="384">
        <f>'9. AIHW population'!G9</f>
        <v>0</v>
      </c>
      <c r="AO18" s="384">
        <f>'9. AIHW population'!H9</f>
        <v>0</v>
      </c>
      <c r="AP18" s="384">
        <f>'9. AIHW population'!I9</f>
        <v>0</v>
      </c>
      <c r="AQ18" s="384">
        <f>'9. AIHW population'!J9</f>
        <v>0</v>
      </c>
      <c r="AT18" s="66" t="s">
        <v>1246</v>
      </c>
      <c r="AU18" s="500" t="str">
        <f t="shared" si="0"/>
        <v/>
      </c>
      <c r="AV18" s="80">
        <f>IF('7. Net changes - MBS'!D74&lt;&gt;"",'7. Net changes - MBS'!D74,999999)</f>
        <v>999999</v>
      </c>
      <c r="AW18" s="80" t="e">
        <f>LOOKUP(2,1/(COUNTIF($AW$6:AW17,MBSItemsAll)=0),MBSItemsAll)</f>
        <v>#N/A</v>
      </c>
      <c r="AX18" s="80">
        <f>COUNTIF($AW$7:$AW$46, "&lt;" &amp; AW18)+COUNTIF($AW$7:AW18,AW18)</f>
        <v>50</v>
      </c>
      <c r="AY18" s="80" t="e">
        <f>INDEX($AW$7:$AW$46,MATCH(ROWS($AY$7:AY18),$AX$7:$AX$46,0))</f>
        <v>#N/A</v>
      </c>
    </row>
    <row r="19" spans="2:51" x14ac:dyDescent="0.2">
      <c r="B19" s="235" t="s">
        <v>114</v>
      </c>
      <c r="C19" s="235">
        <v>3</v>
      </c>
      <c r="E19" s="235" t="s">
        <v>264</v>
      </c>
      <c r="F19" s="235">
        <v>2</v>
      </c>
      <c r="J19" s="235" t="s">
        <v>1081</v>
      </c>
      <c r="L19" s="235" t="s">
        <v>359</v>
      </c>
      <c r="M19" s="235">
        <v>2</v>
      </c>
      <c r="N19" s="409">
        <v>52</v>
      </c>
      <c r="W19" s="235" t="s">
        <v>181</v>
      </c>
      <c r="X19" s="235" t="s">
        <v>182</v>
      </c>
      <c r="Y19" s="235">
        <v>0</v>
      </c>
      <c r="AK19" s="66" t="s">
        <v>324</v>
      </c>
      <c r="AL19" s="384">
        <f>'9. AIHW population'!E10</f>
        <v>0</v>
      </c>
      <c r="AM19" s="384">
        <f>'9. AIHW population'!F10</f>
        <v>0</v>
      </c>
      <c r="AN19" s="384">
        <f>'9. AIHW population'!G10</f>
        <v>0</v>
      </c>
      <c r="AO19" s="384">
        <f>'9. AIHW population'!H10</f>
        <v>0</v>
      </c>
      <c r="AP19" s="384">
        <f>'9. AIHW population'!I10</f>
        <v>0</v>
      </c>
      <c r="AQ19" s="384">
        <f>'9. AIHW population'!J10</f>
        <v>0</v>
      </c>
      <c r="AT19" s="66" t="s">
        <v>1247</v>
      </c>
      <c r="AU19" s="500" t="str">
        <f t="shared" si="0"/>
        <v/>
      </c>
      <c r="AV19" s="80">
        <f>IF('7. Net changes - MBS'!D75&lt;&gt;"",'7. Net changes - MBS'!D75,999999)</f>
        <v>999999</v>
      </c>
      <c r="AW19" s="80" t="e">
        <f>LOOKUP(2,1/(COUNTIF($AW$6:AW18,MBSItemsAll)=0),MBSItemsAll)</f>
        <v>#N/A</v>
      </c>
      <c r="AX19" s="80">
        <f>COUNTIF($AW$7:$AW$46, "&lt;" &amp; AW19)+COUNTIF($AW$7:AW19,AW19)</f>
        <v>51</v>
      </c>
      <c r="AY19" s="80" t="e">
        <f>INDEX($AW$7:$AW$46,MATCH(ROWS($AY$7:AY19),$AX$7:$AX$46,0))</f>
        <v>#N/A</v>
      </c>
    </row>
    <row r="20" spans="2:51" x14ac:dyDescent="0.2">
      <c r="B20" s="235" t="s">
        <v>115</v>
      </c>
      <c r="C20" s="235">
        <v>2</v>
      </c>
      <c r="E20" s="235" t="s">
        <v>54</v>
      </c>
      <c r="F20" s="235">
        <v>3</v>
      </c>
      <c r="J20" s="235" t="s">
        <v>1082</v>
      </c>
      <c r="L20" s="235" t="s">
        <v>360</v>
      </c>
      <c r="M20" s="235">
        <v>3</v>
      </c>
      <c r="N20" s="410">
        <v>12</v>
      </c>
      <c r="W20" s="235" t="s">
        <v>183</v>
      </c>
      <c r="X20" s="235" t="s">
        <v>1</v>
      </c>
      <c r="Y20" s="235">
        <v>0</v>
      </c>
      <c r="AK20" s="66" t="s">
        <v>325</v>
      </c>
      <c r="AL20" s="384">
        <f>'9. AIHW population'!E11</f>
        <v>0</v>
      </c>
      <c r="AM20" s="384">
        <f>'9. AIHW population'!F11</f>
        <v>0</v>
      </c>
      <c r="AN20" s="384">
        <f>'9. AIHW population'!G11</f>
        <v>0</v>
      </c>
      <c r="AO20" s="384">
        <f>'9. AIHW population'!H11</f>
        <v>0</v>
      </c>
      <c r="AP20" s="384">
        <f>'9. AIHW population'!I11</f>
        <v>0</v>
      </c>
      <c r="AQ20" s="384">
        <f>'9. AIHW population'!J11</f>
        <v>0</v>
      </c>
      <c r="AT20" s="66" t="s">
        <v>1248</v>
      </c>
      <c r="AU20" s="500" t="str">
        <f t="shared" si="0"/>
        <v/>
      </c>
      <c r="AV20" s="80">
        <f>IF('7. Net changes - MBS'!D76&lt;&gt;"",'7. Net changes - MBS'!D76,999999)</f>
        <v>999999</v>
      </c>
      <c r="AW20" s="80" t="e">
        <f>LOOKUP(2,1/(COUNTIF($AW$6:AW19,MBSItemsAll)=0),MBSItemsAll)</f>
        <v>#N/A</v>
      </c>
      <c r="AX20" s="80">
        <f>COUNTIF($AW$7:$AW$46, "&lt;" &amp; AW20)+COUNTIF($AW$7:AW20,AW20)</f>
        <v>52</v>
      </c>
      <c r="AY20" s="80" t="e">
        <f>INDEX($AW$7:$AW$46,MATCH(ROWS($AY$7:AY20),$AX$7:$AX$46,0))</f>
        <v>#N/A</v>
      </c>
    </row>
    <row r="21" spans="2:51" x14ac:dyDescent="0.2">
      <c r="E21" s="235" t="s">
        <v>1020</v>
      </c>
      <c r="F21" s="235">
        <v>4</v>
      </c>
      <c r="J21" s="235" t="s">
        <v>1076</v>
      </c>
      <c r="W21" s="235" t="s">
        <v>184</v>
      </c>
      <c r="X21" s="235" t="s">
        <v>185</v>
      </c>
      <c r="Y21" s="235">
        <v>0</v>
      </c>
      <c r="AA21" s="677" t="s">
        <v>639</v>
      </c>
      <c r="AB21" s="677"/>
      <c r="AE21" s="677" t="s">
        <v>373</v>
      </c>
      <c r="AF21" s="677"/>
      <c r="AG21" s="677"/>
      <c r="AH21" s="677"/>
      <c r="AK21" s="66" t="s">
        <v>326</v>
      </c>
      <c r="AL21" s="384">
        <f>'9. AIHW population'!E12</f>
        <v>0</v>
      </c>
      <c r="AM21" s="384">
        <f>'9. AIHW population'!F12</f>
        <v>0</v>
      </c>
      <c r="AN21" s="384">
        <f>'9. AIHW population'!G12</f>
        <v>0</v>
      </c>
      <c r="AO21" s="384">
        <f>'9. AIHW population'!H12</f>
        <v>0</v>
      </c>
      <c r="AP21" s="384">
        <f>'9. AIHW population'!I12</f>
        <v>0</v>
      </c>
      <c r="AQ21" s="384">
        <f>'9. AIHW population'!J12</f>
        <v>0</v>
      </c>
      <c r="AT21" s="66" t="s">
        <v>1249</v>
      </c>
      <c r="AU21" s="500" t="str">
        <f t="shared" si="0"/>
        <v/>
      </c>
      <c r="AV21" s="80">
        <f>IF('7. Net changes - MBS'!D77&lt;&gt;"",'7. Net changes - MBS'!D77,999999)</f>
        <v>999999</v>
      </c>
      <c r="AW21" s="80" t="e">
        <f>LOOKUP(2,1/(COUNTIF($AW$6:AW20,MBSItemsAll)=0),MBSItemsAll)</f>
        <v>#N/A</v>
      </c>
      <c r="AX21" s="80">
        <f>COUNTIF($AW$7:$AW$46, "&lt;" &amp; AW21)+COUNTIF($AW$7:AW21,AW21)</f>
        <v>53</v>
      </c>
      <c r="AY21" s="80" t="e">
        <f>INDEX($AW$7:$AW$46,MATCH(ROWS($AY$7:AY21),$AX$7:$AX$46,0))</f>
        <v>#N/A</v>
      </c>
    </row>
    <row r="22" spans="2:51" x14ac:dyDescent="0.2">
      <c r="J22" s="235" t="s">
        <v>1303</v>
      </c>
      <c r="W22" s="235" t="s">
        <v>187</v>
      </c>
      <c r="X22" s="235" t="s">
        <v>188</v>
      </c>
      <c r="Y22" s="235">
        <v>0</v>
      </c>
      <c r="AA22" s="316" t="s">
        <v>656</v>
      </c>
      <c r="AB22" s="316" t="s">
        <v>655</v>
      </c>
      <c r="AE22" s="184" t="s">
        <v>370</v>
      </c>
      <c r="AF22" s="184" t="s">
        <v>371</v>
      </c>
      <c r="AG22" s="184" t="s">
        <v>166</v>
      </c>
      <c r="AH22" s="184" t="s">
        <v>372</v>
      </c>
      <c r="AK22" s="66" t="s">
        <v>342</v>
      </c>
      <c r="AL22" s="384">
        <f>'9. AIHW population'!E13</f>
        <v>0</v>
      </c>
      <c r="AM22" s="384">
        <f>'9. AIHW population'!F13</f>
        <v>0</v>
      </c>
      <c r="AN22" s="384">
        <f>'9. AIHW population'!G13</f>
        <v>0</v>
      </c>
      <c r="AO22" s="384">
        <f>'9. AIHW population'!H13</f>
        <v>0</v>
      </c>
      <c r="AP22" s="384">
        <f>'9. AIHW population'!I13</f>
        <v>0</v>
      </c>
      <c r="AQ22" s="384">
        <f>'9. AIHW population'!J13</f>
        <v>0</v>
      </c>
      <c r="AT22" s="66" t="s">
        <v>1250</v>
      </c>
      <c r="AU22" s="500" t="str">
        <f t="shared" si="0"/>
        <v/>
      </c>
      <c r="AV22" s="80">
        <f>IF('7. Net changes - MBS'!D78&lt;&gt;"",'7. Net changes - MBS'!D78,999999)</f>
        <v>999999</v>
      </c>
      <c r="AW22" s="80" t="e">
        <f>LOOKUP(2,1/(COUNTIF($AW$6:AW21,MBSItemsAll)=0),MBSItemsAll)</f>
        <v>#N/A</v>
      </c>
      <c r="AX22" s="80">
        <f>COUNTIF($AW$7:$AW$46, "&lt;" &amp; AW22)+COUNTIF($AW$7:AW22,AW22)</f>
        <v>54</v>
      </c>
      <c r="AY22" s="80" t="e">
        <f>INDEX($AW$7:$AW$46,MATCH(ROWS($AY$7:AY22),$AX$7:$AX$46,0))</f>
        <v>#N/A</v>
      </c>
    </row>
    <row r="23" spans="2:51" x14ac:dyDescent="0.2">
      <c r="J23" s="235" t="s">
        <v>1304</v>
      </c>
      <c r="AA23" s="316" t="s">
        <v>949</v>
      </c>
      <c r="AB23" s="316" t="s">
        <v>1161</v>
      </c>
      <c r="AD23" s="186">
        <v>1</v>
      </c>
      <c r="AE23" s="80" t="str">
        <f>'2a. Patients - incident'!D20</f>
        <v xml:space="preserve">Incident 1: </v>
      </c>
      <c r="AF23" s="80" t="str">
        <f>'2b. Patients - prevalent'!D20</f>
        <v>** NOT USED **</v>
      </c>
      <c r="AG23" s="80" t="str">
        <f>'2c. Patients - GF'!D20</f>
        <v>** NOT USED **</v>
      </c>
      <c r="AH23" s="80" t="s">
        <v>411</v>
      </c>
      <c r="AI23" t="s">
        <v>409</v>
      </c>
      <c r="AK23" s="66" t="s">
        <v>343</v>
      </c>
      <c r="AL23" s="384">
        <f>'9. AIHW population'!E14</f>
        <v>0</v>
      </c>
      <c r="AM23" s="384">
        <f>'9. AIHW population'!F14</f>
        <v>0</v>
      </c>
      <c r="AN23" s="384">
        <f>'9. AIHW population'!G14</f>
        <v>0</v>
      </c>
      <c r="AO23" s="384">
        <f>'9. AIHW population'!H14</f>
        <v>0</v>
      </c>
      <c r="AP23" s="384">
        <f>'9. AIHW population'!I14</f>
        <v>0</v>
      </c>
      <c r="AQ23" s="384">
        <f>'9. AIHW population'!J14</f>
        <v>0</v>
      </c>
      <c r="AT23" s="66" t="s">
        <v>1251</v>
      </c>
      <c r="AU23" s="500" t="str">
        <f t="shared" si="0"/>
        <v/>
      </c>
      <c r="AV23" s="80">
        <f>IF('7. Net changes - MBS'!D79&lt;&gt;"",'7. Net changes - MBS'!D79,999999)</f>
        <v>999999</v>
      </c>
      <c r="AW23" s="80" t="e">
        <f>LOOKUP(2,1/(COUNTIF($AW$6:AW22,MBSItemsAll)=0),MBSItemsAll)</f>
        <v>#N/A</v>
      </c>
      <c r="AX23" s="80">
        <f>COUNTIF($AW$7:$AW$46, "&lt;" &amp; AW23)+COUNTIF($AW$7:AW23,AW23)</f>
        <v>55</v>
      </c>
      <c r="AY23" s="80" t="e">
        <f>INDEX($AW$7:$AW$46,MATCH(ROWS($AY$7:AY23),$AX$7:$AX$46,0))</f>
        <v>#N/A</v>
      </c>
    </row>
    <row r="24" spans="2:51" x14ac:dyDescent="0.2">
      <c r="J24" s="235" t="s">
        <v>1305</v>
      </c>
      <c r="AA24" s="316" t="s">
        <v>640</v>
      </c>
      <c r="AB24" s="316" t="s">
        <v>642</v>
      </c>
      <c r="AD24" s="186">
        <v>2</v>
      </c>
      <c r="AE24" s="80" t="str">
        <f>'2a. Patients - incident'!D58</f>
        <v>** NOT USED **</v>
      </c>
      <c r="AF24" s="80" t="str">
        <f>'2b. Patients - prevalent'!D58</f>
        <v>** NOT USED **</v>
      </c>
      <c r="AG24" s="80" t="str">
        <f>'2c. Patients - GF'!D49</f>
        <v>** NOT USED **</v>
      </c>
      <c r="AH24" s="80" t="s">
        <v>412</v>
      </c>
      <c r="AI24" t="s">
        <v>409</v>
      </c>
      <c r="AK24" s="66" t="s">
        <v>344</v>
      </c>
      <c r="AL24" s="384">
        <f>'9. AIHW population'!E15</f>
        <v>0</v>
      </c>
      <c r="AM24" s="384">
        <f>'9. AIHW population'!F15</f>
        <v>0</v>
      </c>
      <c r="AN24" s="384">
        <f>'9. AIHW population'!G15</f>
        <v>0</v>
      </c>
      <c r="AO24" s="384">
        <f>'9. AIHW population'!H15</f>
        <v>0</v>
      </c>
      <c r="AP24" s="384">
        <f>'9. AIHW population'!I15</f>
        <v>0</v>
      </c>
      <c r="AQ24" s="384">
        <f>'9. AIHW population'!J15</f>
        <v>0</v>
      </c>
      <c r="AT24" s="66" t="s">
        <v>1252</v>
      </c>
      <c r="AU24" s="500" t="str">
        <f t="shared" si="0"/>
        <v/>
      </c>
      <c r="AV24" s="80">
        <f>IF('7. Net changes - MBS'!D80&lt;&gt;"",'7. Net changes - MBS'!D80,999999)</f>
        <v>999999</v>
      </c>
      <c r="AW24" s="80" t="e">
        <f>LOOKUP(2,1/(COUNTIF($AW$6:AW23,MBSItemsAll)=0),MBSItemsAll)</f>
        <v>#N/A</v>
      </c>
      <c r="AX24" s="80">
        <f>COUNTIF($AW$7:$AW$46, "&lt;" &amp; AW24)+COUNTIF($AW$7:AW24,AW24)</f>
        <v>56</v>
      </c>
      <c r="AY24" s="80" t="e">
        <f>INDEX($AW$7:$AW$46,MATCH(ROWS($AY$7:AY24),$AX$7:$AX$46,0))</f>
        <v>#N/A</v>
      </c>
    </row>
    <row r="25" spans="2:51" x14ac:dyDescent="0.2">
      <c r="J25" s="235"/>
      <c r="AA25" s="316" t="s">
        <v>7</v>
      </c>
      <c r="AB25" s="316" t="s">
        <v>669</v>
      </c>
      <c r="AD25" s="186">
        <v>3</v>
      </c>
      <c r="AE25" s="80" t="str">
        <f>'2a. Patients - incident'!D96</f>
        <v>** NOT USED **</v>
      </c>
      <c r="AF25" s="80" t="str">
        <f>'2b. Patients - prevalent'!D96</f>
        <v>** NOT USED **</v>
      </c>
      <c r="AG25" s="80" t="str">
        <f>'2c. Patients - GF'!D78</f>
        <v>** NOT USED **</v>
      </c>
      <c r="AH25" s="80" t="s">
        <v>1176</v>
      </c>
      <c r="AI25" t="s">
        <v>409</v>
      </c>
      <c r="AK25" s="66" t="s">
        <v>345</v>
      </c>
      <c r="AL25" s="384">
        <f>'9. AIHW population'!E16</f>
        <v>0</v>
      </c>
      <c r="AM25" s="384">
        <f>'9. AIHW population'!F16</f>
        <v>0</v>
      </c>
      <c r="AN25" s="384">
        <f>'9. AIHW population'!G16</f>
        <v>0</v>
      </c>
      <c r="AO25" s="384">
        <f>'9. AIHW population'!H16</f>
        <v>0</v>
      </c>
      <c r="AP25" s="384">
        <f>'9. AIHW population'!I16</f>
        <v>0</v>
      </c>
      <c r="AQ25" s="384">
        <f>'9. AIHW population'!J16</f>
        <v>0</v>
      </c>
      <c r="AT25" s="66" t="s">
        <v>1253</v>
      </c>
      <c r="AU25" s="500" t="str">
        <f t="shared" si="0"/>
        <v/>
      </c>
      <c r="AV25" s="80">
        <f>IF('7. Net changes - MBS'!D81&lt;&gt;"",'7. Net changes - MBS'!D81,999999)</f>
        <v>999999</v>
      </c>
      <c r="AW25" s="80" t="e">
        <f>LOOKUP(2,1/(COUNTIF($AW$6:AW24,MBSItemsAll)=0),MBSItemsAll)</f>
        <v>#N/A</v>
      </c>
      <c r="AX25" s="80">
        <f>COUNTIF($AW$7:$AW$46, "&lt;" &amp; AW25)+COUNTIF($AW$7:AW25,AW25)</f>
        <v>57</v>
      </c>
      <c r="AY25" s="80" t="e">
        <f>INDEX($AW$7:$AW$46,MATCH(ROWS($AY$7:AY25),$AX$7:$AX$46,0))</f>
        <v>#N/A</v>
      </c>
    </row>
    <row r="26" spans="2:51" x14ac:dyDescent="0.2">
      <c r="J26" s="235"/>
      <c r="AA26" s="316" t="s">
        <v>658</v>
      </c>
      <c r="AB26" s="316" t="s">
        <v>657</v>
      </c>
      <c r="AD26" s="186">
        <v>4</v>
      </c>
      <c r="AE26" s="80" t="str">
        <f>'2a. Patients - incident'!D134</f>
        <v>** NOT USED **</v>
      </c>
      <c r="AF26" s="80" t="str">
        <f>'2b. Patients - prevalent'!D134</f>
        <v>** NOT USED **</v>
      </c>
      <c r="AG26" s="80" t="str">
        <f>'2c. Patients - GF'!D107</f>
        <v>** NOT USED **</v>
      </c>
      <c r="AH26" s="80" t="s">
        <v>1232</v>
      </c>
      <c r="AI26" t="s">
        <v>409</v>
      </c>
      <c r="AK26" s="66" t="s">
        <v>346</v>
      </c>
      <c r="AL26" s="384">
        <f>'9. AIHW population'!E17</f>
        <v>0</v>
      </c>
      <c r="AM26" s="384">
        <f>'9. AIHW population'!F17</f>
        <v>0</v>
      </c>
      <c r="AN26" s="384">
        <f>'9. AIHW population'!G17</f>
        <v>0</v>
      </c>
      <c r="AO26" s="384">
        <f>'9. AIHW population'!H17</f>
        <v>0</v>
      </c>
      <c r="AP26" s="384">
        <f>'9. AIHW population'!I17</f>
        <v>0</v>
      </c>
      <c r="AQ26" s="384">
        <f>'9. AIHW population'!J17</f>
        <v>0</v>
      </c>
      <c r="AT26" s="66" t="s">
        <v>1254</v>
      </c>
      <c r="AU26" s="500" t="str">
        <f t="shared" si="0"/>
        <v/>
      </c>
      <c r="AV26" s="80">
        <f>IF('7. Net changes - MBS'!D82&lt;&gt;"",'7. Net changes - MBS'!D82,999999)</f>
        <v>999999</v>
      </c>
      <c r="AW26" s="80" t="e">
        <f>LOOKUP(2,1/(COUNTIF($AW$6:AW25,MBSItemsAll)=0),MBSItemsAll)</f>
        <v>#N/A</v>
      </c>
      <c r="AX26" s="80">
        <f>COUNTIF($AW$7:$AW$46, "&lt;" &amp; AW26)+COUNTIF($AW$7:AW26,AW26)</f>
        <v>58</v>
      </c>
      <c r="AY26" s="80" t="e">
        <f>INDEX($AW$7:$AW$46,MATCH(ROWS($AY$7:AY26),$AX$7:$AX$46,0))</f>
        <v>#N/A</v>
      </c>
    </row>
    <row r="27" spans="2:51" x14ac:dyDescent="0.2">
      <c r="J27" s="235"/>
      <c r="AA27" s="316" t="s">
        <v>878</v>
      </c>
      <c r="AB27" s="316" t="s">
        <v>879</v>
      </c>
      <c r="AD27" s="186">
        <v>5</v>
      </c>
      <c r="AE27" s="80" t="str">
        <f>'2a. Patients - incident'!D172</f>
        <v>** NOT USED **</v>
      </c>
      <c r="AF27" s="80" t="str">
        <f>'2b. Patients - prevalent'!D172</f>
        <v>** NOT USED **</v>
      </c>
      <c r="AG27" s="80" t="str">
        <f>'2c. Patients - GF'!D136</f>
        <v>** NOT USED **</v>
      </c>
      <c r="AH27" s="80" t="s">
        <v>413</v>
      </c>
      <c r="AI27" t="s">
        <v>409</v>
      </c>
      <c r="AK27" s="66" t="s">
        <v>327</v>
      </c>
      <c r="AL27" s="384">
        <f>'10. Registry population'!E8</f>
        <v>0</v>
      </c>
      <c r="AM27" s="384">
        <f>'10. Registry population'!F8</f>
        <v>0</v>
      </c>
      <c r="AN27" s="384">
        <f>'10. Registry population'!G8</f>
        <v>0</v>
      </c>
      <c r="AO27" s="384">
        <f>'10. Registry population'!H8</f>
        <v>0</v>
      </c>
      <c r="AP27" s="384">
        <f>'10. Registry population'!I8</f>
        <v>0</v>
      </c>
      <c r="AQ27" s="384">
        <f>'10. Registry population'!J8</f>
        <v>0</v>
      </c>
      <c r="AT27" s="66" t="s">
        <v>1255</v>
      </c>
      <c r="AU27" s="500" t="str">
        <f t="shared" si="0"/>
        <v/>
      </c>
      <c r="AV27" s="80">
        <f>IF('7. Net changes - MBS'!D458&lt;&gt;"",'7. Net changes - MBS'!D458,999999)</f>
        <v>999999</v>
      </c>
      <c r="AW27" s="80" t="e">
        <f>LOOKUP(2,1/(COUNTIF($AW$6:AW26,MBSItemsAll)=0),MBSItemsAll)</f>
        <v>#N/A</v>
      </c>
      <c r="AX27" s="80">
        <f>COUNTIF($AW$7:$AW$46, "&lt;" &amp; AW27)+COUNTIF($AW$7:AW27,AW27)</f>
        <v>59</v>
      </c>
      <c r="AY27" s="80" t="e">
        <f>INDEX($AW$7:$AW$46,MATCH(ROWS($AY$7:AY27),$AX$7:$AX$46,0))</f>
        <v>#N/A</v>
      </c>
    </row>
    <row r="28" spans="2:51" x14ac:dyDescent="0.2">
      <c r="J28" s="235"/>
      <c r="AA28" s="316" t="s">
        <v>659</v>
      </c>
      <c r="AB28" s="316" t="s">
        <v>660</v>
      </c>
      <c r="AD28" s="186">
        <v>6</v>
      </c>
      <c r="AE28" s="80" t="str">
        <f>'2a. Patients - incident'!D210</f>
        <v>** NOT USED **</v>
      </c>
      <c r="AF28" s="80" t="str">
        <f>'2b. Patients - prevalent'!D210</f>
        <v>** NOT USED **</v>
      </c>
      <c r="AG28" s="265" t="str">
        <f>MsgNotUsed</f>
        <v>** NOT USED **</v>
      </c>
      <c r="AH28" s="265" t="str">
        <f t="shared" ref="AH28:AH32" si="1">MsgNotUsed</f>
        <v>** NOT USED **</v>
      </c>
      <c r="AI28" t="s">
        <v>409</v>
      </c>
      <c r="AK28" s="66" t="s">
        <v>328</v>
      </c>
      <c r="AL28" s="384">
        <f>'10. Registry population'!E9</f>
        <v>0</v>
      </c>
      <c r="AM28" s="384">
        <f>'10. Registry population'!F9</f>
        <v>0</v>
      </c>
      <c r="AN28" s="384">
        <f>'10. Registry population'!G9</f>
        <v>0</v>
      </c>
      <c r="AO28" s="384">
        <f>'10. Registry population'!H9</f>
        <v>0</v>
      </c>
      <c r="AP28" s="384">
        <f>'10. Registry population'!I9</f>
        <v>0</v>
      </c>
      <c r="AQ28" s="384">
        <f>'10. Registry population'!J9</f>
        <v>0</v>
      </c>
      <c r="AT28" s="66" t="s">
        <v>1256</v>
      </c>
      <c r="AU28" s="500" t="str">
        <f t="shared" si="0"/>
        <v/>
      </c>
      <c r="AV28" s="80">
        <f>IF('7. Net changes - MBS'!D459&lt;&gt;"",'7. Net changes - MBS'!D459,999999)</f>
        <v>999999</v>
      </c>
      <c r="AW28" s="80" t="e">
        <f>LOOKUP(2,1/(COUNTIF($AW$6:AW27,MBSItemsAll)=0),MBSItemsAll)</f>
        <v>#N/A</v>
      </c>
      <c r="AX28" s="80">
        <f>COUNTIF($AW$7:$AW$46, "&lt;" &amp; AW28)+COUNTIF($AW$7:AW28,AW28)</f>
        <v>60</v>
      </c>
      <c r="AY28" s="80" t="e">
        <f>INDEX($AW$7:$AW$46,MATCH(ROWS($AY$7:AY28),$AX$7:$AX$46,0))</f>
        <v>#N/A</v>
      </c>
    </row>
    <row r="29" spans="2:51" x14ac:dyDescent="0.2">
      <c r="B29" s="677" t="s">
        <v>117</v>
      </c>
      <c r="C29" s="595"/>
      <c r="E29" s="678" t="s">
        <v>265</v>
      </c>
      <c r="F29" s="595"/>
      <c r="H29" s="184" t="s">
        <v>50</v>
      </c>
      <c r="J29" s="235"/>
      <c r="AA29" s="316" t="s">
        <v>646</v>
      </c>
      <c r="AB29" s="316" t="s">
        <v>651</v>
      </c>
      <c r="AD29" s="186">
        <v>7</v>
      </c>
      <c r="AE29" s="80" t="str">
        <f>'2a. Patients - incident'!D248</f>
        <v>** NOT USED **</v>
      </c>
      <c r="AF29" s="80" t="str">
        <f>'2b. Patients - prevalent'!D248</f>
        <v>** NOT USED **</v>
      </c>
      <c r="AG29" s="265" t="str">
        <f>MsgNotUsed</f>
        <v>** NOT USED **</v>
      </c>
      <c r="AH29" s="265" t="str">
        <f t="shared" si="1"/>
        <v>** NOT USED **</v>
      </c>
      <c r="AI29" t="s">
        <v>409</v>
      </c>
      <c r="AK29" s="66" t="s">
        <v>329</v>
      </c>
      <c r="AL29" s="384">
        <f>'10. Registry population'!E10</f>
        <v>0</v>
      </c>
      <c r="AM29" s="384">
        <f>'10. Registry population'!F10</f>
        <v>0</v>
      </c>
      <c r="AN29" s="384">
        <f>'10. Registry population'!G10</f>
        <v>0</v>
      </c>
      <c r="AO29" s="384">
        <f>'10. Registry population'!H10</f>
        <v>0</v>
      </c>
      <c r="AP29" s="384">
        <f>'10. Registry population'!I10</f>
        <v>0</v>
      </c>
      <c r="AQ29" s="384">
        <f>'10. Registry population'!J10</f>
        <v>0</v>
      </c>
      <c r="AT29" s="66" t="s">
        <v>1257</v>
      </c>
      <c r="AU29" s="500" t="str">
        <f t="shared" si="0"/>
        <v/>
      </c>
      <c r="AV29" s="80">
        <f>IF('7. Net changes - MBS'!D460&lt;&gt;"",'7. Net changes - MBS'!D460,999999)</f>
        <v>999999</v>
      </c>
      <c r="AW29" s="80" t="e">
        <f>LOOKUP(2,1/(COUNTIF($AW$6:AW28,MBSItemsAll)=0),MBSItemsAll)</f>
        <v>#N/A</v>
      </c>
      <c r="AX29" s="80">
        <f>COUNTIF($AW$7:$AW$46, "&lt;" &amp; AW29)+COUNTIF($AW$7:AW29,AW29)</f>
        <v>61</v>
      </c>
      <c r="AY29" s="80" t="e">
        <f>INDEX($AW$7:$AW$46,MATCH(ROWS($AY$7:AY29),$AX$7:$AX$46,0))</f>
        <v>#N/A</v>
      </c>
    </row>
    <row r="30" spans="2:51" x14ac:dyDescent="0.2">
      <c r="B30" s="235" t="s">
        <v>40</v>
      </c>
      <c r="C30" s="235">
        <v>0</v>
      </c>
      <c r="E30" s="235" t="s">
        <v>266</v>
      </c>
      <c r="F30" s="235">
        <v>1</v>
      </c>
      <c r="H30" s="235" t="s">
        <v>8</v>
      </c>
      <c r="J30" s="235"/>
      <c r="AA30" s="316" t="s">
        <v>1043</v>
      </c>
      <c r="AB30" s="316" t="s">
        <v>1044</v>
      </c>
      <c r="AD30" s="186">
        <v>8</v>
      </c>
      <c r="AE30" s="80" t="str">
        <f>'2a. Patients - incident'!D286</f>
        <v>** NOT USED **</v>
      </c>
      <c r="AF30" s="80" t="str">
        <f>'2b. Patients - prevalent'!D286</f>
        <v>** NOT USED **</v>
      </c>
      <c r="AG30" s="265" t="str">
        <f>MsgNotUsed</f>
        <v>** NOT USED **</v>
      </c>
      <c r="AH30" s="265" t="str">
        <f t="shared" si="1"/>
        <v>** NOT USED **</v>
      </c>
      <c r="AI30" t="s">
        <v>409</v>
      </c>
      <c r="AK30" s="66" t="s">
        <v>330</v>
      </c>
      <c r="AL30" s="384">
        <f>'10. Registry population'!E11</f>
        <v>0</v>
      </c>
      <c r="AM30" s="384">
        <f>'10. Registry population'!F11</f>
        <v>0</v>
      </c>
      <c r="AN30" s="384">
        <f>'10. Registry population'!G11</f>
        <v>0</v>
      </c>
      <c r="AO30" s="384">
        <f>'10. Registry population'!H11</f>
        <v>0</v>
      </c>
      <c r="AP30" s="384">
        <f>'10. Registry population'!I11</f>
        <v>0</v>
      </c>
      <c r="AQ30" s="384">
        <f>'10. Registry population'!J11</f>
        <v>0</v>
      </c>
      <c r="AT30" s="66" t="s">
        <v>1258</v>
      </c>
      <c r="AU30" s="500" t="str">
        <f t="shared" si="0"/>
        <v/>
      </c>
      <c r="AV30" s="80">
        <f>IF('7. Net changes - MBS'!D461&lt;&gt;"",'7. Net changes - MBS'!D461,999999)</f>
        <v>999999</v>
      </c>
      <c r="AW30" s="80" t="e">
        <f>LOOKUP(2,1/(COUNTIF($AW$6:AW29,MBSItemsAll)=0),MBSItemsAll)</f>
        <v>#N/A</v>
      </c>
      <c r="AX30" s="80">
        <f>COUNTIF($AW$7:$AW$46, "&lt;" &amp; AW30)+COUNTIF($AW$7:AW30,AW30)</f>
        <v>62</v>
      </c>
      <c r="AY30" s="80" t="e">
        <f>INDEX($AW$7:$AW$46,MATCH(ROWS($AY$7:AY30),$AX$7:$AX$46,0))</f>
        <v>#N/A</v>
      </c>
    </row>
    <row r="31" spans="2:51" x14ac:dyDescent="0.2">
      <c r="B31" s="235" t="s">
        <v>41</v>
      </c>
      <c r="C31" s="235">
        <v>0</v>
      </c>
      <c r="E31" s="235" t="s">
        <v>267</v>
      </c>
      <c r="F31" s="235">
        <v>2</v>
      </c>
      <c r="H31" s="235" t="s">
        <v>9</v>
      </c>
      <c r="J31" s="235"/>
      <c r="AA31" s="316" t="s">
        <v>641</v>
      </c>
      <c r="AB31" s="316" t="s">
        <v>643</v>
      </c>
      <c r="AD31" s="186">
        <v>9</v>
      </c>
      <c r="AE31" s="80" t="str">
        <f>'2a. Patients - incident'!D324</f>
        <v>** NOT USED **</v>
      </c>
      <c r="AF31" s="80" t="str">
        <f>'2b. Patients - prevalent'!D324</f>
        <v>** NOT USED **</v>
      </c>
      <c r="AG31" s="265" t="str">
        <f>MsgNotUsed</f>
        <v>** NOT USED **</v>
      </c>
      <c r="AH31" s="265" t="str">
        <f t="shared" si="1"/>
        <v>** NOT USED **</v>
      </c>
      <c r="AI31" t="s">
        <v>409</v>
      </c>
      <c r="AK31" s="66" t="s">
        <v>331</v>
      </c>
      <c r="AL31" s="384">
        <f>'10. Registry population'!E12</f>
        <v>0</v>
      </c>
      <c r="AM31" s="384">
        <f>'10. Registry population'!F12</f>
        <v>0</v>
      </c>
      <c r="AN31" s="384">
        <f>'10. Registry population'!G12</f>
        <v>0</v>
      </c>
      <c r="AO31" s="384">
        <f>'10. Registry population'!H12</f>
        <v>0</v>
      </c>
      <c r="AP31" s="384">
        <f>'10. Registry population'!I12</f>
        <v>0</v>
      </c>
      <c r="AQ31" s="384">
        <f>'10. Registry population'!J12</f>
        <v>0</v>
      </c>
      <c r="AT31" s="66" t="s">
        <v>1259</v>
      </c>
      <c r="AU31" s="500" t="str">
        <f t="shared" si="0"/>
        <v/>
      </c>
      <c r="AV31" s="80">
        <f>IF('7. Net changes - MBS'!D462&lt;&gt;"",'7. Net changes - MBS'!D462,999999)</f>
        <v>999999</v>
      </c>
      <c r="AW31" s="80" t="e">
        <f>LOOKUP(2,1/(COUNTIF($AW$6:AW30,MBSItemsAll)=0),MBSItemsAll)</f>
        <v>#N/A</v>
      </c>
      <c r="AX31" s="80">
        <f>COUNTIF($AW$7:$AW$46, "&lt;" &amp; AW31)+COUNTIF($AW$7:AW31,AW31)</f>
        <v>63</v>
      </c>
      <c r="AY31" s="80" t="e">
        <f>INDEX($AW$7:$AW$46,MATCH(ROWS($AY$7:AY31),$AX$7:$AX$46,0))</f>
        <v>#N/A</v>
      </c>
    </row>
    <row r="32" spans="2:51" x14ac:dyDescent="0.2">
      <c r="B32" s="235" t="s">
        <v>42</v>
      </c>
      <c r="C32" s="235">
        <v>1</v>
      </c>
      <c r="J32" s="235"/>
      <c r="AA32" s="316" t="s">
        <v>792</v>
      </c>
      <c r="AB32" s="316" t="s">
        <v>791</v>
      </c>
      <c r="AD32" s="186">
        <v>10</v>
      </c>
      <c r="AE32" s="80" t="str">
        <f>'2a. Patients - incident'!D362</f>
        <v>** NOT USED **</v>
      </c>
      <c r="AF32" s="80" t="str">
        <f>'2b. Patients - prevalent'!D362</f>
        <v>** NOT USED **</v>
      </c>
      <c r="AG32" s="265" t="str">
        <f>MsgNotUsed</f>
        <v>** NOT USED **</v>
      </c>
      <c r="AH32" s="265" t="str">
        <f t="shared" si="1"/>
        <v>** NOT USED **</v>
      </c>
      <c r="AI32" t="s">
        <v>409</v>
      </c>
      <c r="AK32" s="66" t="s">
        <v>347</v>
      </c>
      <c r="AL32" s="384">
        <f>'10. Registry population'!E13</f>
        <v>0</v>
      </c>
      <c r="AM32" s="384">
        <f>'10. Registry population'!F13</f>
        <v>0</v>
      </c>
      <c r="AN32" s="384">
        <f>'10. Registry population'!G13</f>
        <v>0</v>
      </c>
      <c r="AO32" s="384">
        <f>'10. Registry population'!H13</f>
        <v>0</v>
      </c>
      <c r="AP32" s="384">
        <f>'10. Registry population'!I13</f>
        <v>0</v>
      </c>
      <c r="AQ32" s="384">
        <f>'10. Registry population'!J13</f>
        <v>0</v>
      </c>
      <c r="AT32" s="66" t="s">
        <v>1260</v>
      </c>
      <c r="AU32" s="500" t="str">
        <f t="shared" si="0"/>
        <v/>
      </c>
      <c r="AV32" s="80">
        <f>IF('7. Net changes - MBS'!D463&lt;&gt;"",'7. Net changes - MBS'!D463,999999)</f>
        <v>999999</v>
      </c>
      <c r="AW32" s="80" t="e">
        <f>LOOKUP(2,1/(COUNTIF($AW$6:AW31,MBSItemsAll)=0),MBSItemsAll)</f>
        <v>#N/A</v>
      </c>
      <c r="AX32" s="80">
        <f>COUNTIF($AW$7:$AW$46, "&lt;" &amp; AW32)+COUNTIF($AW$7:AW32,AW32)</f>
        <v>64</v>
      </c>
      <c r="AY32" s="80" t="e">
        <f>INDEX($AW$7:$AW$46,MATCH(ROWS($AY$7:AY32),$AX$7:$AX$46,0))</f>
        <v>#N/A</v>
      </c>
    </row>
    <row r="33" spans="2:52" x14ac:dyDescent="0.2">
      <c r="B33" s="235" t="s">
        <v>43</v>
      </c>
      <c r="C33" s="235">
        <v>2</v>
      </c>
      <c r="J33" s="235"/>
      <c r="AA33" s="316" t="s">
        <v>671</v>
      </c>
      <c r="AB33" s="316" t="s">
        <v>670</v>
      </c>
      <c r="AE33" s="189">
        <f>COUNTIF(AE23:AE32,"&lt;&gt;"&amp;MsgNotUsed)</f>
        <v>1</v>
      </c>
      <c r="AF33" s="189">
        <f>COUNTIF(AF23:AF32,"&lt;&gt;"&amp;MsgNotUsed)</f>
        <v>0</v>
      </c>
      <c r="AG33" s="189">
        <f>COUNTIF(AG23:AG32,"&lt;&gt;"&amp;MsgNotUsed)</f>
        <v>0</v>
      </c>
      <c r="AH33" s="189">
        <f>COUNTIF(AH23:AH32,"&lt;&gt;"&amp;MsgNotUsed)</f>
        <v>5</v>
      </c>
      <c r="AK33" s="66" t="s">
        <v>348</v>
      </c>
      <c r="AL33" s="384">
        <f>'10. Registry population'!E14</f>
        <v>0</v>
      </c>
      <c r="AM33" s="384">
        <f>'10. Registry population'!F14</f>
        <v>0</v>
      </c>
      <c r="AN33" s="384">
        <f>'10. Registry population'!G14</f>
        <v>0</v>
      </c>
      <c r="AO33" s="384">
        <f>'10. Registry population'!H14</f>
        <v>0</v>
      </c>
      <c r="AP33" s="384">
        <f>'10. Registry population'!I14</f>
        <v>0</v>
      </c>
      <c r="AQ33" s="384">
        <f>'10. Registry population'!J14</f>
        <v>0</v>
      </c>
      <c r="AT33" s="66" t="s">
        <v>1261</v>
      </c>
      <c r="AU33" s="500" t="str">
        <f t="shared" si="0"/>
        <v/>
      </c>
      <c r="AV33" s="80">
        <f>IF('7. Net changes - MBS'!D464&lt;&gt;"",'7. Net changes - MBS'!D464,999999)</f>
        <v>999999</v>
      </c>
      <c r="AW33" s="80" t="e">
        <f>LOOKUP(2,1/(COUNTIF($AW$6:AW32,MBSItemsAll)=0),MBSItemsAll)</f>
        <v>#N/A</v>
      </c>
      <c r="AX33" s="80">
        <f>COUNTIF($AW$7:$AW$46, "&lt;" &amp; AW33)+COUNTIF($AW$7:AW33,AW33)</f>
        <v>65</v>
      </c>
      <c r="AY33" s="80" t="e">
        <f>INDEX($AW$7:$AW$46,MATCH(ROWS($AY$7:AY33),$AX$7:$AX$46,0))</f>
        <v>#N/A</v>
      </c>
    </row>
    <row r="34" spans="2:52" x14ac:dyDescent="0.2">
      <c r="B34" s="235" t="s">
        <v>609</v>
      </c>
      <c r="C34" s="235">
        <v>3</v>
      </c>
      <c r="AA34" s="316"/>
      <c r="AB34" s="316"/>
      <c r="AH34" s="189" t="s">
        <v>404</v>
      </c>
      <c r="AI34" s="190">
        <f>COUNT(AD23:AD32)</f>
        <v>10</v>
      </c>
      <c r="AK34" s="66" t="s">
        <v>349</v>
      </c>
      <c r="AL34" s="384">
        <f>'10. Registry population'!E15</f>
        <v>0</v>
      </c>
      <c r="AM34" s="384">
        <f>'10. Registry population'!F15</f>
        <v>0</v>
      </c>
      <c r="AN34" s="384">
        <f>'10. Registry population'!G15</f>
        <v>0</v>
      </c>
      <c r="AO34" s="384">
        <f>'10. Registry population'!H15</f>
        <v>0</v>
      </c>
      <c r="AP34" s="384">
        <f>'10. Registry population'!I15</f>
        <v>0</v>
      </c>
      <c r="AQ34" s="384">
        <f>'10. Registry population'!J15</f>
        <v>0</v>
      </c>
      <c r="AT34" s="66" t="s">
        <v>1262</v>
      </c>
      <c r="AU34" s="500" t="str">
        <f t="shared" si="0"/>
        <v/>
      </c>
      <c r="AV34" s="80">
        <f>IF('7. Net changes - MBS'!D465&lt;&gt;"",'7. Net changes - MBS'!D465,999999)</f>
        <v>999999</v>
      </c>
      <c r="AW34" s="80" t="e">
        <f>LOOKUP(2,1/(COUNTIF($AW$6:AW33,MBSItemsAll)=0),MBSItemsAll)</f>
        <v>#N/A</v>
      </c>
      <c r="AX34" s="80">
        <f>COUNTIF($AW$7:$AW$46, "&lt;" &amp; AW34)+COUNTIF($AW$7:AW34,AW34)</f>
        <v>66</v>
      </c>
      <c r="AY34" s="80" t="e">
        <f>INDEX($AW$7:$AW$46,MATCH(ROWS($AY$7:AY34),$AX$7:$AX$46,0))</f>
        <v>#N/A</v>
      </c>
    </row>
    <row r="35" spans="2:52" x14ac:dyDescent="0.2">
      <c r="AA35" s="316"/>
      <c r="AB35" s="316"/>
      <c r="AK35" s="66" t="s">
        <v>350</v>
      </c>
      <c r="AL35" s="384">
        <f>'10. Registry population'!E16</f>
        <v>0</v>
      </c>
      <c r="AM35" s="384">
        <f>'10. Registry population'!F16</f>
        <v>0</v>
      </c>
      <c r="AN35" s="384">
        <f>'10. Registry population'!G16</f>
        <v>0</v>
      </c>
      <c r="AO35" s="384">
        <f>'10. Registry population'!H16</f>
        <v>0</v>
      </c>
      <c r="AP35" s="384">
        <f>'10. Registry population'!I16</f>
        <v>0</v>
      </c>
      <c r="AQ35" s="384">
        <f>'10. Registry population'!J16</f>
        <v>0</v>
      </c>
      <c r="AT35" s="66" t="s">
        <v>1263</v>
      </c>
      <c r="AU35" s="500" t="str">
        <f t="shared" si="0"/>
        <v/>
      </c>
      <c r="AV35" s="80">
        <f>IF('7. Net changes - MBS'!D466&lt;&gt;"",'7. Net changes - MBS'!D466,999999)</f>
        <v>999999</v>
      </c>
      <c r="AW35" s="80" t="e">
        <f>LOOKUP(2,1/(COUNTIF($AW$6:AW34,MBSItemsAll)=0),MBSItemsAll)</f>
        <v>#N/A</v>
      </c>
      <c r="AX35" s="80">
        <f>COUNTIF($AW$7:$AW$46, "&lt;" &amp; AW35)+COUNTIF($AW$7:AW35,AW35)</f>
        <v>67</v>
      </c>
      <c r="AY35" s="80" t="e">
        <f>INDEX($AW$7:$AW$46,MATCH(ROWS($AY$7:AY35),$AX$7:$AX$46,0))</f>
        <v>#N/A</v>
      </c>
    </row>
    <row r="36" spans="2:52" x14ac:dyDescent="0.2">
      <c r="B36" s="677" t="s">
        <v>117</v>
      </c>
      <c r="C36" s="595"/>
      <c r="AA36" s="316"/>
      <c r="AB36" s="316"/>
      <c r="AK36" s="66" t="s">
        <v>351</v>
      </c>
      <c r="AL36" s="384">
        <f>'10. Registry population'!E17</f>
        <v>0</v>
      </c>
      <c r="AM36" s="384">
        <f>'10. Registry population'!F17</f>
        <v>0</v>
      </c>
      <c r="AN36" s="384">
        <f>'10. Registry population'!G17</f>
        <v>0</v>
      </c>
      <c r="AO36" s="384">
        <f>'10. Registry population'!H17</f>
        <v>0</v>
      </c>
      <c r="AP36" s="384">
        <f>'10. Registry population'!I17</f>
        <v>0</v>
      </c>
      <c r="AQ36" s="384">
        <f>'10. Registry population'!J17</f>
        <v>0</v>
      </c>
      <c r="AT36" s="66" t="s">
        <v>1264</v>
      </c>
      <c r="AU36" s="500" t="str">
        <f t="shared" si="0"/>
        <v/>
      </c>
      <c r="AV36" s="80">
        <f>IF('7. Net changes - MBS'!D467&lt;&gt;"",'7. Net changes - MBS'!D467,999999)</f>
        <v>999999</v>
      </c>
      <c r="AW36" s="80" t="e">
        <f>LOOKUP(2,1/(COUNTIF($AW$6:AW35,MBSItemsAll)=0),MBSItemsAll)</f>
        <v>#N/A</v>
      </c>
      <c r="AX36" s="80">
        <f>COUNTIF($AW$7:$AW$46, "&lt;" &amp; AW36)+COUNTIF($AW$7:AW36,AW36)</f>
        <v>68</v>
      </c>
      <c r="AY36" s="80" t="e">
        <f>INDEX($AW$7:$AW$46,MATCH(ROWS($AY$7:AY36),$AX$7:$AX$46,0))</f>
        <v>#N/A</v>
      </c>
    </row>
    <row r="37" spans="2:52" x14ac:dyDescent="0.2">
      <c r="B37" s="235"/>
      <c r="C37" s="235">
        <v>0</v>
      </c>
      <c r="AA37" s="316"/>
      <c r="AB37" s="316"/>
      <c r="AE37" s="677" t="s">
        <v>1180</v>
      </c>
      <c r="AF37" s="677"/>
      <c r="AK37" s="66" t="s">
        <v>1010</v>
      </c>
      <c r="AL37" s="384">
        <f>'11. Persistent population'!F8</f>
        <v>0</v>
      </c>
      <c r="AM37" s="384">
        <f>'11. Persistent population'!G8</f>
        <v>0</v>
      </c>
      <c r="AN37" s="384">
        <f>'11. Persistent population'!H8</f>
        <v>0</v>
      </c>
      <c r="AO37" s="384">
        <f>'11. Persistent population'!I8</f>
        <v>0</v>
      </c>
      <c r="AP37" s="384">
        <f>'11. Persistent population'!J8</f>
        <v>0</v>
      </c>
      <c r="AQ37" s="384">
        <f>'11. Persistent population'!K8</f>
        <v>0</v>
      </c>
      <c r="AT37" s="66" t="s">
        <v>1265</v>
      </c>
      <c r="AU37" s="500" t="str">
        <f t="shared" si="0"/>
        <v/>
      </c>
      <c r="AV37" s="80">
        <f>IF('7. Net changes - MBS'!D468&lt;&gt;"",'7. Net changes - MBS'!D468,999999)</f>
        <v>999999</v>
      </c>
      <c r="AW37" s="80" t="e">
        <f>LOOKUP(2,1/(COUNTIF($AW$6:AW36,MBSItemsAll)=0),MBSItemsAll)</f>
        <v>#N/A</v>
      </c>
      <c r="AX37" s="80">
        <f>COUNTIF($AW$7:$AW$46, "&lt;" &amp; AW37)+COUNTIF($AW$7:AW37,AW37)</f>
        <v>69</v>
      </c>
      <c r="AY37" s="80" t="e">
        <f>INDEX($AW$7:$AW$46,MATCH(ROWS($AY$7:AY37),$AX$7:$AX$46,0))</f>
        <v>#N/A</v>
      </c>
    </row>
    <row r="38" spans="2:52" x14ac:dyDescent="0.2">
      <c r="B38" s="235" t="s">
        <v>929</v>
      </c>
      <c r="C38" s="235">
        <v>4</v>
      </c>
      <c r="AA38" s="316"/>
      <c r="AB38" s="316"/>
      <c r="AD38" s="186">
        <v>1</v>
      </c>
      <c r="AE38" s="676" t="str">
        <f>'2d. Patients - DTG'!E22</f>
        <v>** NOT USED **</v>
      </c>
      <c r="AF38" s="676"/>
      <c r="AK38" s="66" t="s">
        <v>1011</v>
      </c>
      <c r="AL38" s="384">
        <f>'11. Persistent population'!F9</f>
        <v>0</v>
      </c>
      <c r="AM38" s="384">
        <f>'11. Persistent population'!G9</f>
        <v>0</v>
      </c>
      <c r="AN38" s="384">
        <f>'11. Persistent population'!H9</f>
        <v>0</v>
      </c>
      <c r="AO38" s="384">
        <f>'11. Persistent population'!I9</f>
        <v>0</v>
      </c>
      <c r="AP38" s="384">
        <f>'11. Persistent population'!J9</f>
        <v>0</v>
      </c>
      <c r="AQ38" s="384">
        <f>'11. Persistent population'!K9</f>
        <v>0</v>
      </c>
      <c r="AT38" s="66" t="s">
        <v>1266</v>
      </c>
      <c r="AU38" s="500" t="str">
        <f t="shared" si="0"/>
        <v/>
      </c>
      <c r="AV38" s="80">
        <f>IF('7. Net changes - MBS'!D469&lt;&gt;"",'7. Net changes - MBS'!D469,999999)</f>
        <v>999999</v>
      </c>
      <c r="AW38" s="80" t="e">
        <f>LOOKUP(2,1/(COUNTIF($AW$6:AW37,MBSItemsAll)=0),MBSItemsAll)</f>
        <v>#N/A</v>
      </c>
      <c r="AX38" s="80">
        <f>COUNTIF($AW$7:$AW$46, "&lt;" &amp; AW38)+COUNTIF($AW$7:AW38,AW38)</f>
        <v>70</v>
      </c>
      <c r="AY38" s="80" t="e">
        <f>INDEX($AW$7:$AW$46,MATCH(ROWS($AY$7:AY38),$AX$7:$AX$46,0))</f>
        <v>#N/A</v>
      </c>
    </row>
    <row r="39" spans="2:52" x14ac:dyDescent="0.2">
      <c r="AA39" s="316"/>
      <c r="AB39" s="316"/>
      <c r="AD39" s="186">
        <v>2</v>
      </c>
      <c r="AE39" s="676" t="str">
        <f>'2d. Patients - DTG'!E44</f>
        <v>** NOT USED **</v>
      </c>
      <c r="AF39" s="676"/>
      <c r="AK39" s="66" t="s">
        <v>1012</v>
      </c>
      <c r="AL39" s="384">
        <f>'11. Persistent population'!F10</f>
        <v>0</v>
      </c>
      <c r="AM39" s="384">
        <f>'11. Persistent population'!G10</f>
        <v>0</v>
      </c>
      <c r="AN39" s="384">
        <f>'11. Persistent population'!H10</f>
        <v>0</v>
      </c>
      <c r="AO39" s="384">
        <f>'11. Persistent population'!I10</f>
        <v>0</v>
      </c>
      <c r="AP39" s="384">
        <f>'11. Persistent population'!J10</f>
        <v>0</v>
      </c>
      <c r="AQ39" s="384">
        <f>'11. Persistent population'!K10</f>
        <v>0</v>
      </c>
      <c r="AT39" s="66" t="s">
        <v>1267</v>
      </c>
      <c r="AU39" s="500" t="str">
        <f t="shared" si="0"/>
        <v/>
      </c>
      <c r="AV39" s="80">
        <f>IF('7. Net changes - MBS'!D470&lt;&gt;"",'7. Net changes - MBS'!D470,999999)</f>
        <v>999999</v>
      </c>
      <c r="AW39" s="80" t="e">
        <f>LOOKUP(2,1/(COUNTIF($AW$6:AW38,MBSItemsAll)=0),MBSItemsAll)</f>
        <v>#N/A</v>
      </c>
      <c r="AX39" s="80">
        <f>COUNTIF($AW$7:$AW$46, "&lt;" &amp; AW39)+COUNTIF($AW$7:AW39,AW39)</f>
        <v>71</v>
      </c>
      <c r="AY39" s="80" t="e">
        <f>INDEX($AW$7:$AW$46,MATCH(ROWS($AY$7:AY39),$AX$7:$AX$46,0))</f>
        <v>#N/A</v>
      </c>
    </row>
    <row r="40" spans="2:52" x14ac:dyDescent="0.2">
      <c r="AA40" s="316"/>
      <c r="AB40" s="316"/>
      <c r="AD40" s="186">
        <v>3</v>
      </c>
      <c r="AE40" s="676" t="str">
        <f>'2d. Patients - DTG'!E66</f>
        <v>** NOT USED **</v>
      </c>
      <c r="AF40" s="676"/>
      <c r="AK40" s="66" t="s">
        <v>1013</v>
      </c>
      <c r="AL40" s="384">
        <f>'11. Persistent population'!F11</f>
        <v>0</v>
      </c>
      <c r="AM40" s="384">
        <f>'11. Persistent population'!G11</f>
        <v>0</v>
      </c>
      <c r="AN40" s="384">
        <f>'11. Persistent population'!H11</f>
        <v>0</v>
      </c>
      <c r="AO40" s="384">
        <f>'11. Persistent population'!I11</f>
        <v>0</v>
      </c>
      <c r="AP40" s="384">
        <f>'11. Persistent population'!J11</f>
        <v>0</v>
      </c>
      <c r="AQ40" s="384">
        <f>'11. Persistent population'!K11</f>
        <v>0</v>
      </c>
      <c r="AT40" s="66" t="s">
        <v>1268</v>
      </c>
      <c r="AU40" s="500" t="str">
        <f t="shared" si="0"/>
        <v/>
      </c>
      <c r="AV40" s="80">
        <f>IF('7. Net changes - MBS'!D471&lt;&gt;"",'7. Net changes - MBS'!D471,999999)</f>
        <v>999999</v>
      </c>
      <c r="AW40" s="80" t="e">
        <f>LOOKUP(2,1/(COUNTIF($AW$6:AW39,MBSItemsAll)=0),MBSItemsAll)</f>
        <v>#N/A</v>
      </c>
      <c r="AX40" s="80">
        <f>COUNTIF($AW$7:$AW$46, "&lt;" &amp; AW40)+COUNTIF($AW$7:AW40,AW40)</f>
        <v>72</v>
      </c>
      <c r="AY40" s="80" t="e">
        <f>INDEX($AW$7:$AW$46,MATCH(ROWS($AY$7:AY40),$AX$7:$AX$46,0))</f>
        <v>#N/A</v>
      </c>
    </row>
    <row r="41" spans="2:52" x14ac:dyDescent="0.2">
      <c r="B41" s="678" t="s">
        <v>305</v>
      </c>
      <c r="C41" s="595"/>
      <c r="E41" s="678" t="s">
        <v>248</v>
      </c>
      <c r="F41" s="595"/>
      <c r="H41" s="184" t="s">
        <v>57</v>
      </c>
      <c r="J41" s="184" t="s">
        <v>90</v>
      </c>
      <c r="AA41" s="316"/>
      <c r="AB41" s="316"/>
      <c r="AD41" s="186">
        <v>4</v>
      </c>
      <c r="AE41" s="676" t="str">
        <f>'2d. Patients - DTG'!E88</f>
        <v>** NOT USED **</v>
      </c>
      <c r="AF41" s="676"/>
      <c r="AK41" s="66" t="s">
        <v>1014</v>
      </c>
      <c r="AL41" s="384">
        <f>'11. Persistent population'!F12</f>
        <v>0</v>
      </c>
      <c r="AM41" s="384">
        <f>'11. Persistent population'!G12</f>
        <v>0</v>
      </c>
      <c r="AN41" s="384">
        <f>'11. Persistent population'!H12</f>
        <v>0</v>
      </c>
      <c r="AO41" s="384">
        <f>'11. Persistent population'!I12</f>
        <v>0</v>
      </c>
      <c r="AP41" s="384">
        <f>'11. Persistent population'!J12</f>
        <v>0</v>
      </c>
      <c r="AQ41" s="384">
        <f>'11. Persistent population'!K12</f>
        <v>0</v>
      </c>
      <c r="AT41" s="66" t="s">
        <v>1269</v>
      </c>
      <c r="AU41" s="500" t="str">
        <f t="shared" si="0"/>
        <v/>
      </c>
      <c r="AV41" s="80">
        <f>IF('7. Net changes - MBS'!D472&lt;&gt;"",'7. Net changes - MBS'!D472,999999)</f>
        <v>999999</v>
      </c>
      <c r="AW41" s="80" t="e">
        <f>LOOKUP(2,1/(COUNTIF($AW$6:AW40,MBSItemsAll)=0),MBSItemsAll)</f>
        <v>#N/A</v>
      </c>
      <c r="AX41" s="80">
        <f>COUNTIF($AW$7:$AW$46, "&lt;" &amp; AW41)+COUNTIF($AW$7:AW41,AW41)</f>
        <v>73</v>
      </c>
      <c r="AY41" s="80" t="e">
        <f>INDEX($AW$7:$AW$46,MATCH(ROWS($AY$7:AY41),$AX$7:$AX$46,0))</f>
        <v>#N/A</v>
      </c>
    </row>
    <row r="42" spans="2:52" x14ac:dyDescent="0.2">
      <c r="B42" s="235" t="s">
        <v>257</v>
      </c>
      <c r="C42" s="235">
        <v>0</v>
      </c>
      <c r="E42" s="235" t="s">
        <v>166</v>
      </c>
      <c r="F42" s="235">
        <v>0</v>
      </c>
      <c r="H42" s="235" t="s">
        <v>60</v>
      </c>
      <c r="J42" s="235">
        <v>2026</v>
      </c>
      <c r="AD42" s="186">
        <v>5</v>
      </c>
      <c r="AE42" s="676" t="str">
        <f>'2d. Patients - DTG'!E110</f>
        <v>** NOT USED **</v>
      </c>
      <c r="AF42" s="676"/>
      <c r="AK42" s="66" t="s">
        <v>1015</v>
      </c>
      <c r="AL42" s="384">
        <f>'11. Persistent population'!F13</f>
        <v>0</v>
      </c>
      <c r="AM42" s="384">
        <f>'11. Persistent population'!G13</f>
        <v>0</v>
      </c>
      <c r="AN42" s="384">
        <f>'11. Persistent population'!H13</f>
        <v>0</v>
      </c>
      <c r="AO42" s="384">
        <f>'11. Persistent population'!I13</f>
        <v>0</v>
      </c>
      <c r="AP42" s="384">
        <f>'11. Persistent population'!J13</f>
        <v>0</v>
      </c>
      <c r="AQ42" s="384">
        <f>'11. Persistent population'!K13</f>
        <v>0</v>
      </c>
      <c r="AT42" s="66" t="s">
        <v>1270</v>
      </c>
      <c r="AU42" s="500" t="str">
        <f t="shared" si="0"/>
        <v/>
      </c>
      <c r="AV42" s="80">
        <f>IF('7. Net changes - MBS'!D473&lt;&gt;"",'7. Net changes - MBS'!D473,999999)</f>
        <v>999999</v>
      </c>
      <c r="AW42" s="80" t="e">
        <f>LOOKUP(2,1/(COUNTIF($AW$6:AW41,MBSItemsAll)=0),MBSItemsAll)</f>
        <v>#N/A</v>
      </c>
      <c r="AX42" s="80">
        <f>COUNTIF($AW$7:$AW$46, "&lt;" &amp; AW42)+COUNTIF($AW$7:AW42,AW42)</f>
        <v>74</v>
      </c>
      <c r="AY42" s="80" t="e">
        <f>INDEX($AW$7:$AW$46,MATCH(ROWS($AY$7:AY42),$AX$7:$AX$46,0))</f>
        <v>#N/A</v>
      </c>
    </row>
    <row r="43" spans="2:52" x14ac:dyDescent="0.2">
      <c r="B43" s="235" t="s">
        <v>356</v>
      </c>
      <c r="C43" s="235">
        <v>1</v>
      </c>
      <c r="E43" s="235" t="s">
        <v>59</v>
      </c>
      <c r="F43" s="235">
        <v>1</v>
      </c>
      <c r="H43" s="235" t="s">
        <v>62</v>
      </c>
      <c r="J43" s="235">
        <v>2027</v>
      </c>
      <c r="AA43" s="677" t="s">
        <v>638</v>
      </c>
      <c r="AB43" s="677"/>
      <c r="AD43" s="186">
        <v>6</v>
      </c>
      <c r="AE43" s="676" t="str">
        <f>'2d. Patients - DTG'!E132</f>
        <v>** NOT USED **</v>
      </c>
      <c r="AF43" s="676"/>
      <c r="AK43" s="66" t="s">
        <v>1016</v>
      </c>
      <c r="AL43" s="384">
        <f>'11. Persistent population'!F14</f>
        <v>0</v>
      </c>
      <c r="AM43" s="384">
        <f>'11. Persistent population'!G14</f>
        <v>0</v>
      </c>
      <c r="AN43" s="384">
        <f>'11. Persistent population'!H14</f>
        <v>0</v>
      </c>
      <c r="AO43" s="384">
        <f>'11. Persistent population'!I14</f>
        <v>0</v>
      </c>
      <c r="AP43" s="384">
        <f>'11. Persistent population'!J14</f>
        <v>0</v>
      </c>
      <c r="AQ43" s="384">
        <f>'11. Persistent population'!K14</f>
        <v>0</v>
      </c>
      <c r="AT43" s="66" t="s">
        <v>1271</v>
      </c>
      <c r="AU43" s="500" t="str">
        <f t="shared" si="0"/>
        <v/>
      </c>
      <c r="AV43" s="80">
        <f>IF('7. Net changes - MBS'!D474&lt;&gt;"",'7. Net changes - MBS'!D474,999999)</f>
        <v>999999</v>
      </c>
      <c r="AW43" s="80" t="e">
        <f>LOOKUP(2,1/(COUNTIF($AW$6:AW42,MBSItemsAll)=0),MBSItemsAll)</f>
        <v>#N/A</v>
      </c>
      <c r="AX43" s="80">
        <f>COUNTIF($AW$7:$AW$46, "&lt;" &amp; AW43)+COUNTIF($AW$7:AW43,AW43)</f>
        <v>75</v>
      </c>
      <c r="AY43" s="80" t="e">
        <f>INDEX($AW$7:$AW$46,MATCH(ROWS($AY$7:AY43),$AX$7:$AX$46,0))</f>
        <v>#N/A</v>
      </c>
    </row>
    <row r="44" spans="2:52" x14ac:dyDescent="0.2">
      <c r="B44" s="235" t="s">
        <v>234</v>
      </c>
      <c r="C44" s="235">
        <v>2</v>
      </c>
      <c r="E44" s="235" t="s">
        <v>61</v>
      </c>
      <c r="F44" s="235">
        <v>2</v>
      </c>
      <c r="H44" s="235" t="s">
        <v>63</v>
      </c>
      <c r="J44" s="235">
        <v>2028</v>
      </c>
      <c r="AA44" s="316" t="s">
        <v>1162</v>
      </c>
      <c r="AB44" s="316" t="s">
        <v>1163</v>
      </c>
      <c r="AD44" s="186">
        <v>7</v>
      </c>
      <c r="AE44" s="676" t="str">
        <f>'2d. Patients - DTG'!E154</f>
        <v>** NOT USED **</v>
      </c>
      <c r="AF44" s="676"/>
      <c r="AK44" s="66" t="s">
        <v>1017</v>
      </c>
      <c r="AL44" s="384">
        <f>'11. Persistent population'!F15</f>
        <v>0</v>
      </c>
      <c r="AM44" s="384">
        <f>'11. Persistent population'!G15</f>
        <v>0</v>
      </c>
      <c r="AN44" s="384">
        <f>'11. Persistent population'!H15</f>
        <v>0</v>
      </c>
      <c r="AO44" s="384">
        <f>'11. Persistent population'!I15</f>
        <v>0</v>
      </c>
      <c r="AP44" s="384">
        <f>'11. Persistent population'!J15</f>
        <v>0</v>
      </c>
      <c r="AQ44" s="384">
        <f>'11. Persistent population'!K15</f>
        <v>0</v>
      </c>
      <c r="AT44" s="66" t="s">
        <v>1272</v>
      </c>
      <c r="AU44" s="500" t="str">
        <f t="shared" si="0"/>
        <v/>
      </c>
      <c r="AV44" s="80">
        <f>IF('7. Net changes - MBS'!D475&lt;&gt;"",'7. Net changes - MBS'!D475,999999)</f>
        <v>999999</v>
      </c>
      <c r="AW44" s="80" t="e">
        <f>LOOKUP(2,1/(COUNTIF($AW$6:AW43,MBSItemsAll)=0),MBSItemsAll)</f>
        <v>#N/A</v>
      </c>
      <c r="AX44" s="80">
        <f>COUNTIF($AW$7:$AW$46, "&lt;" &amp; AW44)+COUNTIF($AW$7:AW44,AW44)</f>
        <v>76</v>
      </c>
      <c r="AY44" s="80" t="e">
        <f>INDEX($AW$7:$AW$46,MATCH(ROWS($AY$7:AY44),$AX$7:$AX$46,0))</f>
        <v>#N/A</v>
      </c>
    </row>
    <row r="45" spans="2:52" x14ac:dyDescent="0.2">
      <c r="B45" s="235" t="s">
        <v>235</v>
      </c>
      <c r="C45" s="235">
        <v>3</v>
      </c>
      <c r="E45" s="235" t="s">
        <v>366</v>
      </c>
      <c r="F45" s="235">
        <v>3</v>
      </c>
      <c r="H45" s="235" t="s">
        <v>138</v>
      </c>
      <c r="J45" s="235">
        <v>2029</v>
      </c>
      <c r="AA45" s="316" t="s">
        <v>1065</v>
      </c>
      <c r="AB45" s="316" t="s">
        <v>1067</v>
      </c>
      <c r="AD45" s="186">
        <v>8</v>
      </c>
      <c r="AE45" s="676" t="str">
        <f>'2d. Patients - DTG'!E176</f>
        <v>** NOT USED **</v>
      </c>
      <c r="AF45" s="676"/>
      <c r="AK45" s="66" t="s">
        <v>1018</v>
      </c>
      <c r="AL45" s="384">
        <f>'11. Persistent population'!F16</f>
        <v>0</v>
      </c>
      <c r="AM45" s="384">
        <f>'11. Persistent population'!G16</f>
        <v>0</v>
      </c>
      <c r="AN45" s="384">
        <f>'11. Persistent population'!H16</f>
        <v>0</v>
      </c>
      <c r="AO45" s="384">
        <f>'11. Persistent population'!I16</f>
        <v>0</v>
      </c>
      <c r="AP45" s="384">
        <f>'11. Persistent population'!J16</f>
        <v>0</v>
      </c>
      <c r="AQ45" s="384">
        <f>'11. Persistent population'!K16</f>
        <v>0</v>
      </c>
      <c r="AT45" s="66" t="s">
        <v>1273</v>
      </c>
      <c r="AU45" s="500" t="str">
        <f t="shared" si="0"/>
        <v/>
      </c>
      <c r="AV45" s="80">
        <f>IF('7. Net changes - MBS'!D476&lt;&gt;"",'7. Net changes - MBS'!D476,999999)</f>
        <v>999999</v>
      </c>
      <c r="AW45" s="80" t="e">
        <f>LOOKUP(2,1/(COUNTIF($AW$6:AW44,MBSItemsAll)=0),MBSItemsAll)</f>
        <v>#N/A</v>
      </c>
      <c r="AX45" s="80">
        <f>COUNTIF($AW$7:$AW$46, "&lt;" &amp; AW45)+COUNTIF($AW$7:AW45,AW45)</f>
        <v>77</v>
      </c>
      <c r="AY45" s="80" t="e">
        <f>INDEX($AW$7:$AW$46,MATCH(ROWS($AY$7:AY45),$AX$7:$AX$46,0))</f>
        <v>#N/A</v>
      </c>
    </row>
    <row r="46" spans="2:52" x14ac:dyDescent="0.2">
      <c r="E46" s="235" t="s">
        <v>175</v>
      </c>
      <c r="F46" s="235">
        <v>4</v>
      </c>
      <c r="J46" s="235">
        <v>2030</v>
      </c>
      <c r="AA46" s="316" t="s">
        <v>793</v>
      </c>
      <c r="AB46" s="316" t="s">
        <v>794</v>
      </c>
      <c r="AD46" s="186">
        <v>9</v>
      </c>
      <c r="AE46" s="676" t="str">
        <f>'2d. Patients - DTG'!E198</f>
        <v>** NOT USED **</v>
      </c>
      <c r="AF46" s="676"/>
      <c r="AK46" s="66" t="s">
        <v>1019</v>
      </c>
      <c r="AL46" s="384">
        <f>'11. Persistent population'!F17</f>
        <v>0</v>
      </c>
      <c r="AM46" s="384">
        <f>'11. Persistent population'!G17</f>
        <v>0</v>
      </c>
      <c r="AN46" s="384">
        <f>'11. Persistent population'!H17</f>
        <v>0</v>
      </c>
      <c r="AO46" s="384">
        <f>'11. Persistent population'!I17</f>
        <v>0</v>
      </c>
      <c r="AP46" s="384">
        <f>'11. Persistent population'!J17</f>
        <v>0</v>
      </c>
      <c r="AQ46" s="384">
        <f>'11. Persistent population'!K17</f>
        <v>0</v>
      </c>
      <c r="AT46" s="66" t="s">
        <v>1274</v>
      </c>
      <c r="AU46" s="500" t="str">
        <f t="shared" si="0"/>
        <v/>
      </c>
      <c r="AV46" s="80">
        <f>IF('7. Net changes - MBS'!D477&lt;&gt;"",'7. Net changes - MBS'!D477,999999)</f>
        <v>999999</v>
      </c>
      <c r="AW46" s="80" t="e">
        <f>LOOKUP(2,1/(COUNTIF($AW$6:AW45,MBSItemsAll)=0),MBSItemsAll)</f>
        <v>#N/A</v>
      </c>
      <c r="AX46" s="80">
        <f>COUNTIF($AW$7:$AW$46, "&lt;" &amp; AW46)+COUNTIF($AW$7:AW46,AW46)</f>
        <v>78</v>
      </c>
      <c r="AY46" s="80" t="e">
        <f>INDEX($AW$7:$AW$46,MATCH(ROWS($AY$7:AY46),$AX$7:$AX$46,0))</f>
        <v>#N/A</v>
      </c>
    </row>
    <row r="47" spans="2:52" x14ac:dyDescent="0.2">
      <c r="E47" s="191"/>
      <c r="AA47" s="316" t="s">
        <v>1064</v>
      </c>
      <c r="AB47" s="316" t="s">
        <v>1066</v>
      </c>
      <c r="AD47" s="186">
        <v>10</v>
      </c>
      <c r="AE47" s="676" t="str">
        <f>'2d. Patients - DTG'!E220</f>
        <v>** NOT USED **</v>
      </c>
      <c r="AF47" s="676"/>
    </row>
    <row r="48" spans="2:52" ht="12.75" customHeight="1" x14ac:dyDescent="0.2">
      <c r="E48" s="191"/>
      <c r="F48" s="191"/>
      <c r="AA48" s="316" t="s">
        <v>718</v>
      </c>
      <c r="AB48" s="316" t="s">
        <v>717</v>
      </c>
      <c r="AD48" s="186">
        <v>11</v>
      </c>
      <c r="AE48" s="676" t="str">
        <f>'2d. Patients - DTG'!E242</f>
        <v>** NOT USED **</v>
      </c>
      <c r="AF48" s="676"/>
      <c r="AL48" s="677" t="s">
        <v>1171</v>
      </c>
      <c r="AM48" s="677"/>
      <c r="AN48" s="677"/>
      <c r="AO48" s="677"/>
      <c r="AP48" s="677"/>
      <c r="AQ48" s="677"/>
      <c r="AR48" s="677"/>
      <c r="AU48" s="677" t="s">
        <v>1172</v>
      </c>
      <c r="AV48" s="677"/>
      <c r="AW48" s="677"/>
      <c r="AX48" s="677"/>
      <c r="AY48" s="677"/>
      <c r="AZ48" s="677"/>
    </row>
    <row r="49" spans="2:55" x14ac:dyDescent="0.2">
      <c r="AA49" s="316" t="s">
        <v>645</v>
      </c>
      <c r="AB49" s="316" t="s">
        <v>644</v>
      </c>
      <c r="AD49" s="186">
        <v>12</v>
      </c>
      <c r="AE49" s="676" t="str">
        <f>'2d. Patients - DTG'!E264</f>
        <v>** NOT USED **</v>
      </c>
      <c r="AF49" s="676"/>
      <c r="AL49" s="435">
        <f>FirstYear</f>
        <v>2026</v>
      </c>
      <c r="AM49" s="436">
        <f>AL49+1</f>
        <v>2027</v>
      </c>
      <c r="AN49" s="436">
        <f>AM49+1</f>
        <v>2028</v>
      </c>
      <c r="AO49" s="436">
        <f>AN49+1</f>
        <v>2029</v>
      </c>
      <c r="AP49" s="436">
        <f>AO49+1</f>
        <v>2030</v>
      </c>
      <c r="AQ49" s="436">
        <f>AP49+1</f>
        <v>2031</v>
      </c>
      <c r="AR49" s="63" t="s">
        <v>1177</v>
      </c>
      <c r="AU49" s="185">
        <f>FirstYear</f>
        <v>2026</v>
      </c>
      <c r="AV49" s="63">
        <f>AU49+1</f>
        <v>2027</v>
      </c>
      <c r="AW49" s="63">
        <f>AV49+1</f>
        <v>2028</v>
      </c>
      <c r="AX49" s="63">
        <f>AW49+1</f>
        <v>2029</v>
      </c>
      <c r="AY49" s="63">
        <f>AX49+1</f>
        <v>2030</v>
      </c>
      <c r="AZ49" s="63">
        <f>AY49+1</f>
        <v>2031</v>
      </c>
      <c r="BA49" s="63" t="s">
        <v>63</v>
      </c>
      <c r="BB49" s="63" t="s">
        <v>1177</v>
      </c>
      <c r="BC49" s="63" t="s">
        <v>103</v>
      </c>
    </row>
    <row r="50" spans="2:55" x14ac:dyDescent="0.2">
      <c r="AA50" s="316" t="s">
        <v>659</v>
      </c>
      <c r="AB50" s="316" t="s">
        <v>661</v>
      </c>
      <c r="AD50" s="186">
        <v>13</v>
      </c>
      <c r="AE50" s="676" t="str">
        <f>'2d. Patients - DTG'!E286</f>
        <v>** NOT USED **</v>
      </c>
      <c r="AF50" s="676"/>
      <c r="AK50" s="66" t="s">
        <v>374</v>
      </c>
      <c r="AL50" s="384">
        <f>'2a. Patients - incident'!E52</f>
        <v>0</v>
      </c>
      <c r="AM50" s="384">
        <f>'2a. Patients - incident'!F52</f>
        <v>0</v>
      </c>
      <c r="AN50" s="384">
        <f>'2a. Patients - incident'!G52</f>
        <v>0</v>
      </c>
      <c r="AO50" s="384">
        <f>'2a. Patients - incident'!H52</f>
        <v>0</v>
      </c>
      <c r="AP50" s="384">
        <f>'2a. Patients - incident'!I52</f>
        <v>0</v>
      </c>
      <c r="AQ50" s="384">
        <f>'2a. Patients - incident'!J52</f>
        <v>0</v>
      </c>
      <c r="AR50" s="384">
        <f>'2a. Patients - incident'!C55</f>
        <v>1</v>
      </c>
      <c r="AT50" s="66" t="s">
        <v>1200</v>
      </c>
      <c r="AU50" s="384">
        <f ca="1">'2d. Patients - DTG'!F41</f>
        <v>0</v>
      </c>
      <c r="AV50" s="384">
        <f ca="1">'2d. Patients - DTG'!G41</f>
        <v>0</v>
      </c>
      <c r="AW50" s="384">
        <f ca="1">'2d. Patients - DTG'!H41</f>
        <v>0</v>
      </c>
      <c r="AX50" s="384">
        <f ca="1">'2d. Patients - DTG'!I41</f>
        <v>0</v>
      </c>
      <c r="AY50" s="384">
        <f ca="1">'2d. Patients - DTG'!J41</f>
        <v>0</v>
      </c>
      <c r="AZ50" s="384">
        <f ca="1">'2d. Patients - DTG'!K41</f>
        <v>0</v>
      </c>
      <c r="BA50" s="384">
        <f>'2d. Patients - DTG'!B22</f>
        <v>0</v>
      </c>
      <c r="BB50" s="384">
        <f ca="1">IFERROR(INDEX(PxTxPhase1,'2d. Patients - DTG'!D27,7),0)</f>
        <v>0</v>
      </c>
      <c r="BC50" s="385">
        <f t="shared" ref="BC50:BC80" ca="1" si="2">IF(AND(BB50&lt;&gt;"",BB50&lt;&gt;0),INDEX(ServiceSplitRPBS,BB50),0)</f>
        <v>0</v>
      </c>
    </row>
    <row r="51" spans="2:55" x14ac:dyDescent="0.2">
      <c r="AA51" s="316" t="s">
        <v>779</v>
      </c>
      <c r="AB51" s="316" t="s">
        <v>782</v>
      </c>
      <c r="AD51" s="186">
        <v>14</v>
      </c>
      <c r="AE51" s="676" t="str">
        <f>'2d. Patients - DTG'!E308</f>
        <v>** NOT USED **</v>
      </c>
      <c r="AF51" s="676"/>
      <c r="AK51" s="66" t="s">
        <v>375</v>
      </c>
      <c r="AL51" s="384">
        <f>'2a. Patients - incident'!E90</f>
        <v>0</v>
      </c>
      <c r="AM51" s="384">
        <f>'2a. Patients - incident'!F90</f>
        <v>0</v>
      </c>
      <c r="AN51" s="384">
        <f>'2a. Patients - incident'!G90</f>
        <v>0</v>
      </c>
      <c r="AO51" s="384">
        <f>'2a. Patients - incident'!H90</f>
        <v>0</v>
      </c>
      <c r="AP51" s="384">
        <f>'2a. Patients - incident'!I90</f>
        <v>0</v>
      </c>
      <c r="AQ51" s="384">
        <f>'2a. Patients - incident'!J90</f>
        <v>0</v>
      </c>
      <c r="AR51" s="384" t="str">
        <f>'2a. Patients - incident'!C93</f>
        <v/>
      </c>
      <c r="AT51" s="66" t="s">
        <v>1201</v>
      </c>
      <c r="AU51" s="384">
        <f ca="1">'2d. Patients - DTG'!F63</f>
        <v>0</v>
      </c>
      <c r="AV51" s="384">
        <f ca="1">'2d. Patients - DTG'!G63</f>
        <v>0</v>
      </c>
      <c r="AW51" s="384">
        <f ca="1">'2d. Patients - DTG'!H63</f>
        <v>0</v>
      </c>
      <c r="AX51" s="384">
        <f ca="1">'2d. Patients - DTG'!I63</f>
        <v>0</v>
      </c>
      <c r="AY51" s="384">
        <f ca="1">'2d. Patients - DTG'!J63</f>
        <v>0</v>
      </c>
      <c r="AZ51" s="384">
        <f ca="1">'2d. Patients - DTG'!K63</f>
        <v>0</v>
      </c>
      <c r="BA51" s="384">
        <f>'2d. Patients - DTG'!B44</f>
        <v>0</v>
      </c>
      <c r="BB51" s="384">
        <f ca="1">IFERROR(INDEX(PxTxPhase1,'2d. Patients - DTG'!D49,7),0)</f>
        <v>0</v>
      </c>
      <c r="BC51" s="385">
        <f t="shared" ca="1" si="2"/>
        <v>0</v>
      </c>
    </row>
    <row r="52" spans="2:55" x14ac:dyDescent="0.2">
      <c r="AA52" s="316" t="s">
        <v>646</v>
      </c>
      <c r="AB52" s="316" t="s">
        <v>654</v>
      </c>
      <c r="AD52" s="186">
        <v>15</v>
      </c>
      <c r="AE52" s="676" t="str">
        <f>'2d. Patients - DTG'!E330</f>
        <v>** NOT USED **</v>
      </c>
      <c r="AF52" s="676"/>
      <c r="AK52" s="66" t="s">
        <v>376</v>
      </c>
      <c r="AL52" s="384">
        <f>'2a. Patients - incident'!E128</f>
        <v>0</v>
      </c>
      <c r="AM52" s="384">
        <f>'2a. Patients - incident'!F128</f>
        <v>0</v>
      </c>
      <c r="AN52" s="384">
        <f>'2a. Patients - incident'!G128</f>
        <v>0</v>
      </c>
      <c r="AO52" s="384">
        <f>'2a. Patients - incident'!H128</f>
        <v>0</v>
      </c>
      <c r="AP52" s="384">
        <f>'2a. Patients - incident'!I128</f>
        <v>0</v>
      </c>
      <c r="AQ52" s="384">
        <f>'2a. Patients - incident'!J128</f>
        <v>0</v>
      </c>
      <c r="AR52" s="384" t="str">
        <f>'2a. Patients - incident'!C131</f>
        <v/>
      </c>
      <c r="AT52" s="66" t="s">
        <v>1202</v>
      </c>
      <c r="AU52" s="384">
        <f ca="1">'2d. Patients - DTG'!F85</f>
        <v>0</v>
      </c>
      <c r="AV52" s="384">
        <f ca="1">'2d. Patients - DTG'!G85</f>
        <v>0</v>
      </c>
      <c r="AW52" s="384">
        <f ca="1">'2d. Patients - DTG'!H85</f>
        <v>0</v>
      </c>
      <c r="AX52" s="384">
        <f ca="1">'2d. Patients - DTG'!I85</f>
        <v>0</v>
      </c>
      <c r="AY52" s="384">
        <f ca="1">'2d. Patients - DTG'!J85</f>
        <v>0</v>
      </c>
      <c r="AZ52" s="384">
        <f ca="1">'2d. Patients - DTG'!K85</f>
        <v>0</v>
      </c>
      <c r="BA52" s="384">
        <f>'2d. Patients - DTG'!B66</f>
        <v>0</v>
      </c>
      <c r="BB52" s="384">
        <f ca="1">IFERROR(INDEX(PxTxPhase1,'2d. Patients - DTG'!D71,7),0)</f>
        <v>0</v>
      </c>
      <c r="BC52" s="385">
        <f t="shared" ca="1" si="2"/>
        <v>0</v>
      </c>
    </row>
    <row r="53" spans="2:55" x14ac:dyDescent="0.2">
      <c r="B53" s="678" t="s">
        <v>176</v>
      </c>
      <c r="C53" s="595"/>
      <c r="E53" s="678" t="s">
        <v>258</v>
      </c>
      <c r="F53" s="595"/>
      <c r="H53" s="184" t="s">
        <v>64</v>
      </c>
      <c r="J53" s="184" t="s">
        <v>142</v>
      </c>
      <c r="AA53" s="316" t="s">
        <v>780</v>
      </c>
      <c r="AB53" s="316" t="s">
        <v>781</v>
      </c>
      <c r="AD53" s="186">
        <v>16</v>
      </c>
      <c r="AE53" s="676" t="str">
        <f>'2d. Patients - DTG'!E352</f>
        <v>** NOT USED **</v>
      </c>
      <c r="AF53" s="676"/>
      <c r="AK53" s="66" t="s">
        <v>377</v>
      </c>
      <c r="AL53" s="384">
        <f>'2a. Patients - incident'!E166</f>
        <v>0</v>
      </c>
      <c r="AM53" s="384">
        <f>'2a. Patients - incident'!F166</f>
        <v>0</v>
      </c>
      <c r="AN53" s="384">
        <f>'2a. Patients - incident'!G166</f>
        <v>0</v>
      </c>
      <c r="AO53" s="384">
        <f>'2a. Patients - incident'!H166</f>
        <v>0</v>
      </c>
      <c r="AP53" s="384">
        <f>'2a. Patients - incident'!I166</f>
        <v>0</v>
      </c>
      <c r="AQ53" s="384">
        <f>'2a. Patients - incident'!J166</f>
        <v>0</v>
      </c>
      <c r="AR53" s="384" t="str">
        <f>'2a. Patients - incident'!C169</f>
        <v/>
      </c>
      <c r="AT53" s="66" t="s">
        <v>1203</v>
      </c>
      <c r="AU53" s="384">
        <f ca="1">'2d. Patients - DTG'!F107</f>
        <v>0</v>
      </c>
      <c r="AV53" s="384">
        <f ca="1">'2d. Patients - DTG'!G107</f>
        <v>0</v>
      </c>
      <c r="AW53" s="384">
        <f ca="1">'2d. Patients - DTG'!H107</f>
        <v>0</v>
      </c>
      <c r="AX53" s="384">
        <f ca="1">'2d. Patients - DTG'!I107</f>
        <v>0</v>
      </c>
      <c r="AY53" s="384">
        <f ca="1">'2d. Patients - DTG'!J107</f>
        <v>0</v>
      </c>
      <c r="AZ53" s="384">
        <f ca="1">'2d. Patients - DTG'!K107</f>
        <v>0</v>
      </c>
      <c r="BA53" s="384">
        <f>'2d. Patients - DTG'!B88</f>
        <v>0</v>
      </c>
      <c r="BB53" s="384">
        <f ca="1">IFERROR(INDEX(PxTxPhase1,'2d. Patients - DTG'!D93,7),0)</f>
        <v>0</v>
      </c>
      <c r="BC53" s="385">
        <f t="shared" ca="1" si="2"/>
        <v>0</v>
      </c>
    </row>
    <row r="54" spans="2:55" x14ac:dyDescent="0.2">
      <c r="B54" s="235" t="s">
        <v>66</v>
      </c>
      <c r="C54" s="235" t="s">
        <v>139</v>
      </c>
      <c r="E54" s="235" t="s">
        <v>872</v>
      </c>
      <c r="F54" s="235">
        <v>0</v>
      </c>
      <c r="H54" s="235" t="s">
        <v>67</v>
      </c>
      <c r="J54" s="235" t="s">
        <v>137</v>
      </c>
      <c r="AA54" s="316" t="s">
        <v>652</v>
      </c>
      <c r="AB54" s="316" t="s">
        <v>653</v>
      </c>
      <c r="AD54" s="186">
        <v>17</v>
      </c>
      <c r="AE54" s="676" t="str">
        <f>'2d. Patients - DTG'!E374</f>
        <v>** NOT USED **</v>
      </c>
      <c r="AF54" s="676"/>
      <c r="AK54" s="66" t="s">
        <v>378</v>
      </c>
      <c r="AL54" s="384">
        <f>'2a. Patients - incident'!E204</f>
        <v>0</v>
      </c>
      <c r="AM54" s="384">
        <f>'2a. Patients - incident'!F204</f>
        <v>0</v>
      </c>
      <c r="AN54" s="384">
        <f>'2a. Patients - incident'!G204</f>
        <v>0</v>
      </c>
      <c r="AO54" s="384">
        <f>'2a. Patients - incident'!H204</f>
        <v>0</v>
      </c>
      <c r="AP54" s="384">
        <f>'2a. Patients - incident'!I204</f>
        <v>0</v>
      </c>
      <c r="AQ54" s="384">
        <f>'2a. Patients - incident'!J204</f>
        <v>0</v>
      </c>
      <c r="AR54" s="384" t="str">
        <f>'2a. Patients - incident'!C207</f>
        <v/>
      </c>
      <c r="AT54" s="66" t="s">
        <v>1204</v>
      </c>
      <c r="AU54" s="384">
        <f ca="1">'2d. Patients - DTG'!F129</f>
        <v>0</v>
      </c>
      <c r="AV54" s="384">
        <f ca="1">'2d. Patients - DTG'!G129</f>
        <v>0</v>
      </c>
      <c r="AW54" s="384">
        <f ca="1">'2d. Patients - DTG'!H129</f>
        <v>0</v>
      </c>
      <c r="AX54" s="384">
        <f ca="1">'2d. Patients - DTG'!I129</f>
        <v>0</v>
      </c>
      <c r="AY54" s="384">
        <f ca="1">'2d. Patients - DTG'!J129</f>
        <v>0</v>
      </c>
      <c r="AZ54" s="384">
        <f ca="1">'2d. Patients - DTG'!K129</f>
        <v>0</v>
      </c>
      <c r="BA54" s="384">
        <f>'2d. Patients - DTG'!B110</f>
        <v>0</v>
      </c>
      <c r="BB54" s="384">
        <f ca="1">IFERROR(INDEX(PxTxPhase1,'2d. Patients - DTG'!D115,7),0)</f>
        <v>0</v>
      </c>
      <c r="BC54" s="385">
        <f t="shared" ca="1" si="2"/>
        <v>0</v>
      </c>
    </row>
    <row r="55" spans="2:55" x14ac:dyDescent="0.2">
      <c r="B55" s="235" t="s">
        <v>69</v>
      </c>
      <c r="C55" s="235" t="s">
        <v>140</v>
      </c>
      <c r="E55" s="235" t="s">
        <v>259</v>
      </c>
      <c r="F55" s="235">
        <v>1</v>
      </c>
      <c r="H55" s="235" t="s">
        <v>70</v>
      </c>
      <c r="J55" s="235" t="s">
        <v>147</v>
      </c>
      <c r="AA55" s="316" t="s">
        <v>1050</v>
      </c>
      <c r="AB55" s="316" t="s">
        <v>1051</v>
      </c>
      <c r="AD55" s="186">
        <v>18</v>
      </c>
      <c r="AE55" s="676" t="str">
        <f>'2d. Patients - DTG'!E396</f>
        <v>** NOT USED **</v>
      </c>
      <c r="AF55" s="676"/>
      <c r="AK55" s="66" t="s">
        <v>379</v>
      </c>
      <c r="AL55" s="384">
        <f>'2a. Patients - incident'!E242</f>
        <v>0</v>
      </c>
      <c r="AM55" s="384">
        <f>'2a. Patients - incident'!F242</f>
        <v>0</v>
      </c>
      <c r="AN55" s="384">
        <f>'2a. Patients - incident'!G242</f>
        <v>0</v>
      </c>
      <c r="AO55" s="384">
        <f>'2a. Patients - incident'!H242</f>
        <v>0</v>
      </c>
      <c r="AP55" s="384">
        <f>'2a. Patients - incident'!I242</f>
        <v>0</v>
      </c>
      <c r="AQ55" s="384">
        <f>'2a. Patients - incident'!J242</f>
        <v>0</v>
      </c>
      <c r="AR55" s="384" t="str">
        <f>'2a. Patients - incident'!C245</f>
        <v/>
      </c>
      <c r="AT55" s="66" t="s">
        <v>1205</v>
      </c>
      <c r="AU55" s="384">
        <f ca="1">'2d. Patients - DTG'!F151</f>
        <v>0</v>
      </c>
      <c r="AV55" s="384">
        <f ca="1">'2d. Patients - DTG'!G151</f>
        <v>0</v>
      </c>
      <c r="AW55" s="384">
        <f ca="1">'2d. Patients - DTG'!H151</f>
        <v>0</v>
      </c>
      <c r="AX55" s="384">
        <f ca="1">'2d. Patients - DTG'!I151</f>
        <v>0</v>
      </c>
      <c r="AY55" s="384">
        <f ca="1">'2d. Patients - DTG'!J151</f>
        <v>0</v>
      </c>
      <c r="AZ55" s="384">
        <f ca="1">'2d. Patients - DTG'!K151</f>
        <v>0</v>
      </c>
      <c r="BA55" s="384">
        <f>'2d. Patients - DTG'!B132</f>
        <v>0</v>
      </c>
      <c r="BB55" s="384">
        <f ca="1">IFERROR(INDEX(PxTxPhase1,'2d. Patients - DTG'!D137,7),0)</f>
        <v>0</v>
      </c>
      <c r="BC55" s="385">
        <f t="shared" ca="1" si="2"/>
        <v>0</v>
      </c>
    </row>
    <row r="56" spans="2:55" x14ac:dyDescent="0.2">
      <c r="B56" s="235" t="s">
        <v>46</v>
      </c>
      <c r="C56" s="235" t="s">
        <v>141</v>
      </c>
      <c r="H56" s="235" t="s">
        <v>138</v>
      </c>
      <c r="J56" s="235" t="s">
        <v>150</v>
      </c>
      <c r="AA56" s="316" t="s">
        <v>1164</v>
      </c>
      <c r="AB56" s="316" t="s">
        <v>1167</v>
      </c>
      <c r="AD56" s="186">
        <v>19</v>
      </c>
      <c r="AE56" s="676" t="str">
        <f>'2d. Patients - DTG'!E418</f>
        <v>** NOT USED **</v>
      </c>
      <c r="AF56" s="676"/>
      <c r="AK56" s="66" t="s">
        <v>380</v>
      </c>
      <c r="AL56" s="384">
        <f>'2a. Patients - incident'!E280</f>
        <v>0</v>
      </c>
      <c r="AM56" s="384">
        <f>'2a. Patients - incident'!F280</f>
        <v>0</v>
      </c>
      <c r="AN56" s="384">
        <f>'2a. Patients - incident'!G280</f>
        <v>0</v>
      </c>
      <c r="AO56" s="384">
        <f>'2a. Patients - incident'!H280</f>
        <v>0</v>
      </c>
      <c r="AP56" s="384">
        <f>'2a. Patients - incident'!I280</f>
        <v>0</v>
      </c>
      <c r="AQ56" s="384">
        <f>'2a. Patients - incident'!J280</f>
        <v>0</v>
      </c>
      <c r="AR56" s="384" t="str">
        <f>'2a. Patients - incident'!C283</f>
        <v/>
      </c>
      <c r="AT56" s="66" t="s">
        <v>1206</v>
      </c>
      <c r="AU56" s="384">
        <f ca="1">'2d. Patients - DTG'!F173</f>
        <v>0</v>
      </c>
      <c r="AV56" s="384">
        <f ca="1">'2d. Patients - DTG'!G173</f>
        <v>0</v>
      </c>
      <c r="AW56" s="384">
        <f ca="1">'2d. Patients - DTG'!H173</f>
        <v>0</v>
      </c>
      <c r="AX56" s="384">
        <f ca="1">'2d. Patients - DTG'!I173</f>
        <v>0</v>
      </c>
      <c r="AY56" s="384">
        <f ca="1">'2d. Patients - DTG'!J173</f>
        <v>0</v>
      </c>
      <c r="AZ56" s="384">
        <f ca="1">'2d. Patients - DTG'!K173</f>
        <v>0</v>
      </c>
      <c r="BA56" s="384">
        <f>'2d. Patients - DTG'!B154</f>
        <v>0</v>
      </c>
      <c r="BB56" s="384">
        <f ca="1">IFERROR(INDEX(PxTxPhase1,'2d. Patients - DTG'!D159,7),0)</f>
        <v>0</v>
      </c>
      <c r="BC56" s="385">
        <f t="shared" ca="1" si="2"/>
        <v>0</v>
      </c>
    </row>
    <row r="57" spans="2:55" x14ac:dyDescent="0.2">
      <c r="E57" s="191"/>
      <c r="F57" s="191"/>
      <c r="AA57" s="316"/>
      <c r="AB57" s="316"/>
      <c r="AD57" s="186">
        <v>20</v>
      </c>
      <c r="AE57" s="676" t="str">
        <f>'2d. Patients - DTG'!E440</f>
        <v>** NOT USED **</v>
      </c>
      <c r="AF57" s="676"/>
      <c r="AK57" s="66" t="s">
        <v>381</v>
      </c>
      <c r="AL57" s="384">
        <f>'2a. Patients - incident'!E318</f>
        <v>0</v>
      </c>
      <c r="AM57" s="384">
        <f>'2a. Patients - incident'!F318</f>
        <v>0</v>
      </c>
      <c r="AN57" s="384">
        <f>'2a. Patients - incident'!G318</f>
        <v>0</v>
      </c>
      <c r="AO57" s="384">
        <f>'2a. Patients - incident'!H318</f>
        <v>0</v>
      </c>
      <c r="AP57" s="384">
        <f>'2a. Patients - incident'!I318</f>
        <v>0</v>
      </c>
      <c r="AQ57" s="384">
        <f>'2a. Patients - incident'!J318</f>
        <v>0</v>
      </c>
      <c r="AR57" s="384" t="str">
        <f>'2a. Patients - incident'!C321</f>
        <v/>
      </c>
      <c r="AT57" s="66" t="s">
        <v>1207</v>
      </c>
      <c r="AU57" s="384">
        <f ca="1">'2d. Patients - DTG'!F195</f>
        <v>0</v>
      </c>
      <c r="AV57" s="384">
        <f ca="1">'2d. Patients - DTG'!G195</f>
        <v>0</v>
      </c>
      <c r="AW57" s="384">
        <f ca="1">'2d. Patients - DTG'!H195</f>
        <v>0</v>
      </c>
      <c r="AX57" s="384">
        <f ca="1">'2d. Patients - DTG'!I195</f>
        <v>0</v>
      </c>
      <c r="AY57" s="384">
        <f ca="1">'2d. Patients - DTG'!J195</f>
        <v>0</v>
      </c>
      <c r="AZ57" s="384">
        <f ca="1">'2d. Patients - DTG'!K195</f>
        <v>0</v>
      </c>
      <c r="BA57" s="384">
        <f>'2d. Patients - DTG'!B176</f>
        <v>0</v>
      </c>
      <c r="BB57" s="384">
        <f ca="1">IFERROR(INDEX(PxTxPhase1,'2d. Patients - DTG'!D181,7),0)</f>
        <v>0</v>
      </c>
      <c r="BC57" s="385">
        <f t="shared" ca="1" si="2"/>
        <v>0</v>
      </c>
    </row>
    <row r="58" spans="2:55" x14ac:dyDescent="0.2">
      <c r="AA58" s="316"/>
      <c r="AB58" s="316"/>
      <c r="AD58" s="186">
        <v>21</v>
      </c>
      <c r="AE58" s="676" t="str">
        <f>'2d. Patients - DTG'!E462</f>
        <v>** NOT USED **</v>
      </c>
      <c r="AF58" s="676"/>
      <c r="AK58" s="66" t="s">
        <v>382</v>
      </c>
      <c r="AL58" s="384">
        <f>'2a. Patients - incident'!E356</f>
        <v>0</v>
      </c>
      <c r="AM58" s="384">
        <f>'2a. Patients - incident'!F356</f>
        <v>0</v>
      </c>
      <c r="AN58" s="384">
        <f>'2a. Patients - incident'!G356</f>
        <v>0</v>
      </c>
      <c r="AO58" s="384">
        <f>'2a. Patients - incident'!H356</f>
        <v>0</v>
      </c>
      <c r="AP58" s="384">
        <f>'2a. Patients - incident'!I356</f>
        <v>0</v>
      </c>
      <c r="AQ58" s="384">
        <f>'2a. Patients - incident'!J356</f>
        <v>0</v>
      </c>
      <c r="AR58" s="384" t="str">
        <f>'2a. Patients - incident'!C359</f>
        <v/>
      </c>
      <c r="AT58" s="66" t="s">
        <v>1208</v>
      </c>
      <c r="AU58" s="384">
        <f ca="1">'2d. Patients - DTG'!F217</f>
        <v>0</v>
      </c>
      <c r="AV58" s="384">
        <f ca="1">'2d. Patients - DTG'!G217</f>
        <v>0</v>
      </c>
      <c r="AW58" s="384">
        <f ca="1">'2d. Patients - DTG'!H217</f>
        <v>0</v>
      </c>
      <c r="AX58" s="384">
        <f ca="1">'2d. Patients - DTG'!I217</f>
        <v>0</v>
      </c>
      <c r="AY58" s="384">
        <f ca="1">'2d. Patients - DTG'!J217</f>
        <v>0</v>
      </c>
      <c r="AZ58" s="384">
        <f ca="1">'2d. Patients - DTG'!K217</f>
        <v>0</v>
      </c>
      <c r="BA58" s="384">
        <f>'2d. Patients - DTG'!B198</f>
        <v>0</v>
      </c>
      <c r="BB58" s="384">
        <f ca="1">IFERROR(INDEX(PxTxPhase1,'2d. Patients - DTG'!D203,7),0)</f>
        <v>0</v>
      </c>
      <c r="BC58" s="385">
        <f t="shared" ca="1" si="2"/>
        <v>0</v>
      </c>
    </row>
    <row r="59" spans="2:55" x14ac:dyDescent="0.2">
      <c r="AA59" s="316"/>
      <c r="AB59" s="316"/>
      <c r="AD59" s="186">
        <v>22</v>
      </c>
      <c r="AE59" s="676" t="str">
        <f>'2d. Patients - DTG'!E484</f>
        <v>** NOT USED **</v>
      </c>
      <c r="AF59" s="676"/>
      <c r="AK59" s="66" t="s">
        <v>383</v>
      </c>
      <c r="AL59" s="384">
        <f>'2a. Patients - incident'!E394</f>
        <v>0</v>
      </c>
      <c r="AM59" s="384">
        <f>'2a. Patients - incident'!F394</f>
        <v>0</v>
      </c>
      <c r="AN59" s="384">
        <f>'2a. Patients - incident'!G394</f>
        <v>0</v>
      </c>
      <c r="AO59" s="384">
        <f>'2a. Patients - incident'!H394</f>
        <v>0</v>
      </c>
      <c r="AP59" s="384">
        <f>'2a. Patients - incident'!I394</f>
        <v>0</v>
      </c>
      <c r="AQ59" s="384">
        <f>'2a. Patients - incident'!J394</f>
        <v>0</v>
      </c>
      <c r="AR59" s="384" t="str">
        <f>'2a. Patients - incident'!C397</f>
        <v/>
      </c>
      <c r="AT59" s="66" t="s">
        <v>1209</v>
      </c>
      <c r="AU59" s="384">
        <f ca="1">'2d. Patients - DTG'!F239</f>
        <v>0</v>
      </c>
      <c r="AV59" s="384">
        <f ca="1">'2d. Patients - DTG'!G239</f>
        <v>0</v>
      </c>
      <c r="AW59" s="384">
        <f ca="1">'2d. Patients - DTG'!H239</f>
        <v>0</v>
      </c>
      <c r="AX59" s="384">
        <f ca="1">'2d. Patients - DTG'!I239</f>
        <v>0</v>
      </c>
      <c r="AY59" s="384">
        <f ca="1">'2d. Patients - DTG'!J239</f>
        <v>0</v>
      </c>
      <c r="AZ59" s="384">
        <f ca="1">'2d. Patients - DTG'!K239</f>
        <v>0</v>
      </c>
      <c r="BA59" s="384">
        <f>'2d. Patients - DTG'!B220</f>
        <v>0</v>
      </c>
      <c r="BB59" s="384">
        <f ca="1">IFERROR(INDEX(PxTxPhase1,'2d. Patients - DTG'!D225,7),0)</f>
        <v>0</v>
      </c>
      <c r="BC59" s="385">
        <f t="shared" ca="1" si="2"/>
        <v>0</v>
      </c>
    </row>
    <row r="60" spans="2:55" x14ac:dyDescent="0.2">
      <c r="AA60" s="316"/>
      <c r="AB60" s="316"/>
      <c r="AD60" s="186">
        <v>23</v>
      </c>
      <c r="AE60" s="676" t="str">
        <f>'2d. Patients - DTG'!E506</f>
        <v>** NOT USED **</v>
      </c>
      <c r="AF60" s="676"/>
      <c r="AK60" s="66" t="s">
        <v>384</v>
      </c>
      <c r="AL60" s="384">
        <f>'2b. Patients - prevalent'!E52</f>
        <v>0</v>
      </c>
      <c r="AM60" s="384">
        <f>'2b. Patients - prevalent'!F52</f>
        <v>0</v>
      </c>
      <c r="AN60" s="384">
        <f>'2b. Patients - prevalent'!G52</f>
        <v>0</v>
      </c>
      <c r="AO60" s="384">
        <f>'2b. Patients - prevalent'!H52</f>
        <v>0</v>
      </c>
      <c r="AP60" s="384">
        <f>'2b. Patients - prevalent'!I52</f>
        <v>0</v>
      </c>
      <c r="AQ60" s="384">
        <f>'2b. Patients - prevalent'!J52</f>
        <v>0</v>
      </c>
      <c r="AR60" s="384" t="str">
        <f>'2b. Patients - prevalent'!C55</f>
        <v/>
      </c>
      <c r="AT60" s="66" t="s">
        <v>1210</v>
      </c>
      <c r="AU60" s="384">
        <f ca="1">'2d. Patients - DTG'!F261</f>
        <v>0</v>
      </c>
      <c r="AV60" s="384">
        <f ca="1">'2d. Patients - DTG'!G261</f>
        <v>0</v>
      </c>
      <c r="AW60" s="384">
        <f ca="1">'2d. Patients - DTG'!H261</f>
        <v>0</v>
      </c>
      <c r="AX60" s="384">
        <f ca="1">'2d. Patients - DTG'!I261</f>
        <v>0</v>
      </c>
      <c r="AY60" s="384">
        <f ca="1">'2d. Patients - DTG'!J261</f>
        <v>0</v>
      </c>
      <c r="AZ60" s="384">
        <f ca="1">'2d. Patients - DTG'!K261</f>
        <v>0</v>
      </c>
      <c r="BA60" s="384">
        <f>'2d. Patients - DTG'!B242</f>
        <v>0</v>
      </c>
      <c r="BB60" s="384">
        <f ca="1">IFERROR(INDEX(PxTxPhase1,'2d. Patients - DTG'!D247,7),0)</f>
        <v>0</v>
      </c>
      <c r="BC60" s="385">
        <f t="shared" ca="1" si="2"/>
        <v>0</v>
      </c>
    </row>
    <row r="61" spans="2:55" x14ac:dyDescent="0.2">
      <c r="AA61" s="316"/>
      <c r="AB61" s="316"/>
      <c r="AD61" s="186">
        <v>24</v>
      </c>
      <c r="AE61" s="676" t="str">
        <f>'2d. Patients - DTG'!E528</f>
        <v>** NOT USED **</v>
      </c>
      <c r="AF61" s="676"/>
      <c r="AK61" s="66" t="s">
        <v>385</v>
      </c>
      <c r="AL61" s="384">
        <f>'2b. Patients - prevalent'!E90</f>
        <v>0</v>
      </c>
      <c r="AM61" s="384">
        <f>'2b. Patients - prevalent'!F90</f>
        <v>0</v>
      </c>
      <c r="AN61" s="384">
        <f>'2b. Patients - prevalent'!G90</f>
        <v>0</v>
      </c>
      <c r="AO61" s="384">
        <f>'2b. Patients - prevalent'!H90</f>
        <v>0</v>
      </c>
      <c r="AP61" s="384">
        <f>'2b. Patients - prevalent'!I90</f>
        <v>0</v>
      </c>
      <c r="AQ61" s="384">
        <f>'2b. Patients - prevalent'!J90</f>
        <v>0</v>
      </c>
      <c r="AR61" s="384" t="str">
        <f>'2b. Patients - prevalent'!C93</f>
        <v/>
      </c>
      <c r="AT61" s="66" t="s">
        <v>1211</v>
      </c>
      <c r="AU61" s="384">
        <f ca="1">'2d. Patients - DTG'!F283</f>
        <v>0</v>
      </c>
      <c r="AV61" s="384">
        <f ca="1">'2d. Patients - DTG'!G283</f>
        <v>0</v>
      </c>
      <c r="AW61" s="384">
        <f ca="1">'2d. Patients - DTG'!H283</f>
        <v>0</v>
      </c>
      <c r="AX61" s="384">
        <f ca="1">'2d. Patients - DTG'!I283</f>
        <v>0</v>
      </c>
      <c r="AY61" s="384">
        <f ca="1">'2d. Patients - DTG'!J283</f>
        <v>0</v>
      </c>
      <c r="AZ61" s="384">
        <f ca="1">'2d. Patients - DTG'!K283</f>
        <v>0</v>
      </c>
      <c r="BA61" s="384">
        <f>'2d. Patients - DTG'!B264</f>
        <v>0</v>
      </c>
      <c r="BB61" s="384">
        <f ca="1">IFERROR(INDEX(PxTxPhase1,'2d. Patients - DTG'!D269,7),0)</f>
        <v>0</v>
      </c>
      <c r="BC61" s="385">
        <f t="shared" ca="1" si="2"/>
        <v>0</v>
      </c>
    </row>
    <row r="62" spans="2:55" x14ac:dyDescent="0.2">
      <c r="E62" s="191"/>
      <c r="F62" s="191"/>
      <c r="AA62" s="316"/>
      <c r="AB62" s="316"/>
      <c r="AD62" s="186">
        <v>25</v>
      </c>
      <c r="AE62" s="676" t="str">
        <f>'2d. Patients - DTG'!E550</f>
        <v>** NOT USED **</v>
      </c>
      <c r="AF62" s="676"/>
      <c r="AK62" s="66" t="s">
        <v>386</v>
      </c>
      <c r="AL62" s="384">
        <f>'2b. Patients - prevalent'!E128</f>
        <v>0</v>
      </c>
      <c r="AM62" s="384">
        <f>'2b. Patients - prevalent'!F128</f>
        <v>0</v>
      </c>
      <c r="AN62" s="384">
        <f>'2b. Patients - prevalent'!G128</f>
        <v>0</v>
      </c>
      <c r="AO62" s="384">
        <f>'2b. Patients - prevalent'!H128</f>
        <v>0</v>
      </c>
      <c r="AP62" s="384">
        <f>'2b. Patients - prevalent'!I128</f>
        <v>0</v>
      </c>
      <c r="AQ62" s="384">
        <f>'2b. Patients - prevalent'!J128</f>
        <v>0</v>
      </c>
      <c r="AR62" s="384" t="str">
        <f>'2b. Patients - prevalent'!C131</f>
        <v/>
      </c>
      <c r="AT62" s="66" t="s">
        <v>1212</v>
      </c>
      <c r="AU62" s="384">
        <f ca="1">'2d. Patients - DTG'!F305</f>
        <v>0</v>
      </c>
      <c r="AV62" s="384">
        <f ca="1">'2d. Patients - DTG'!G305</f>
        <v>0</v>
      </c>
      <c r="AW62" s="384">
        <f ca="1">'2d. Patients - DTG'!H305</f>
        <v>0</v>
      </c>
      <c r="AX62" s="384">
        <f ca="1">'2d. Patients - DTG'!I305</f>
        <v>0</v>
      </c>
      <c r="AY62" s="384">
        <f ca="1">'2d. Patients - DTG'!J305</f>
        <v>0</v>
      </c>
      <c r="AZ62" s="384">
        <f ca="1">'2d. Patients - DTG'!K305</f>
        <v>0</v>
      </c>
      <c r="BA62" s="384">
        <f>'2d. Patients - DTG'!B286</f>
        <v>0</v>
      </c>
      <c r="BB62" s="384">
        <f ca="1">IFERROR(INDEX(PxTxPhase1,'2d. Patients - DTG'!D291,7),0)</f>
        <v>0</v>
      </c>
      <c r="BC62" s="385">
        <f t="shared" ca="1" si="2"/>
        <v>0</v>
      </c>
    </row>
    <row r="63" spans="2:55" x14ac:dyDescent="0.2">
      <c r="E63" s="191"/>
      <c r="F63" s="191"/>
      <c r="AA63" s="316"/>
      <c r="AB63" s="316"/>
      <c r="AF63" s="189">
        <f>COUNTIF(AE38:AE62,"&lt;&gt;"&amp;MsgNotUsed)</f>
        <v>0</v>
      </c>
      <c r="AK63" s="66" t="s">
        <v>387</v>
      </c>
      <c r="AL63" s="384">
        <f>'2b. Patients - prevalent'!E166</f>
        <v>0</v>
      </c>
      <c r="AM63" s="384">
        <f>'2b. Patients - prevalent'!F166</f>
        <v>0</v>
      </c>
      <c r="AN63" s="384">
        <f>'2b. Patients - prevalent'!G166</f>
        <v>0</v>
      </c>
      <c r="AO63" s="384">
        <f>'2b. Patients - prevalent'!H166</f>
        <v>0</v>
      </c>
      <c r="AP63" s="384">
        <f>'2b. Patients - prevalent'!I166</f>
        <v>0</v>
      </c>
      <c r="AQ63" s="384">
        <f>'2b. Patients - prevalent'!J166</f>
        <v>0</v>
      </c>
      <c r="AR63" s="384" t="str">
        <f>'2b. Patients - prevalent'!C169</f>
        <v/>
      </c>
      <c r="AT63" s="66" t="s">
        <v>1213</v>
      </c>
      <c r="AU63" s="384">
        <f ca="1">'2d. Patients - DTG'!F327</f>
        <v>0</v>
      </c>
      <c r="AV63" s="384">
        <f ca="1">'2d. Patients - DTG'!G327</f>
        <v>0</v>
      </c>
      <c r="AW63" s="384">
        <f ca="1">'2d. Patients - DTG'!H327</f>
        <v>0</v>
      </c>
      <c r="AX63" s="384">
        <f ca="1">'2d. Patients - DTG'!I327</f>
        <v>0</v>
      </c>
      <c r="AY63" s="384">
        <f ca="1">'2d. Patients - DTG'!J327</f>
        <v>0</v>
      </c>
      <c r="AZ63" s="384">
        <f ca="1">'2d. Patients - DTG'!K327</f>
        <v>0</v>
      </c>
      <c r="BA63" s="384">
        <f>'2d. Patients - DTG'!B308</f>
        <v>0</v>
      </c>
      <c r="BB63" s="384">
        <f ca="1">IFERROR(INDEX(PxTxPhase1,'2d. Patients - DTG'!D313,7),0)</f>
        <v>0</v>
      </c>
      <c r="BC63" s="385">
        <f t="shared" ca="1" si="2"/>
        <v>0</v>
      </c>
    </row>
    <row r="64" spans="2:55" x14ac:dyDescent="0.2">
      <c r="E64" s="191"/>
      <c r="F64" s="191"/>
      <c r="AF64" s="189" t="s">
        <v>1181</v>
      </c>
      <c r="AK64" s="66" t="s">
        <v>388</v>
      </c>
      <c r="AL64" s="384">
        <f>'2b. Patients - prevalent'!E204</f>
        <v>0</v>
      </c>
      <c r="AM64" s="384">
        <f>'2b. Patients - prevalent'!F204</f>
        <v>0</v>
      </c>
      <c r="AN64" s="384">
        <f>'2b. Patients - prevalent'!G204</f>
        <v>0</v>
      </c>
      <c r="AO64" s="384">
        <f>'2b. Patients - prevalent'!H204</f>
        <v>0</v>
      </c>
      <c r="AP64" s="384">
        <f>'2b. Patients - prevalent'!I204</f>
        <v>0</v>
      </c>
      <c r="AQ64" s="384">
        <f>'2b. Patients - prevalent'!J204</f>
        <v>0</v>
      </c>
      <c r="AR64" s="384" t="str">
        <f>'2b. Patients - prevalent'!C207</f>
        <v/>
      </c>
      <c r="AT64" s="66" t="s">
        <v>1214</v>
      </c>
      <c r="AU64" s="384">
        <f ca="1">'2d. Patients - DTG'!F349</f>
        <v>0</v>
      </c>
      <c r="AV64" s="384">
        <f ca="1">'2d. Patients - DTG'!G349</f>
        <v>0</v>
      </c>
      <c r="AW64" s="384">
        <f ca="1">'2d. Patients - DTG'!H349</f>
        <v>0</v>
      </c>
      <c r="AX64" s="384">
        <f ca="1">'2d. Patients - DTG'!I349</f>
        <v>0</v>
      </c>
      <c r="AY64" s="384">
        <f ca="1">'2d. Patients - DTG'!J349</f>
        <v>0</v>
      </c>
      <c r="AZ64" s="384">
        <f ca="1">'2d. Patients - DTG'!K349</f>
        <v>0</v>
      </c>
      <c r="BA64" s="384">
        <f>'2d. Patients - DTG'!B330</f>
        <v>0</v>
      </c>
      <c r="BB64" s="384">
        <f ca="1">IFERROR(INDEX(PxTxPhase1,'2d. Patients - DTG'!D335,7),0)</f>
        <v>0</v>
      </c>
      <c r="BC64" s="385">
        <f t="shared" ca="1" si="2"/>
        <v>0</v>
      </c>
    </row>
    <row r="65" spans="2:55" x14ac:dyDescent="0.2">
      <c r="B65" s="678" t="s">
        <v>186</v>
      </c>
      <c r="C65" s="595"/>
      <c r="E65" s="678" t="s">
        <v>110</v>
      </c>
      <c r="F65" s="595"/>
      <c r="H65" s="184" t="s">
        <v>197</v>
      </c>
      <c r="J65" s="184" t="s">
        <v>752</v>
      </c>
      <c r="AA65" s="677" t="s">
        <v>369</v>
      </c>
      <c r="AB65" s="677"/>
      <c r="AF65" s="189">
        <v>25</v>
      </c>
      <c r="AK65" s="66" t="s">
        <v>389</v>
      </c>
      <c r="AL65" s="384">
        <f>'2b. Patients - prevalent'!E242</f>
        <v>0</v>
      </c>
      <c r="AM65" s="384">
        <f>'2b. Patients - prevalent'!F242</f>
        <v>0</v>
      </c>
      <c r="AN65" s="384">
        <f>'2b. Patients - prevalent'!G242</f>
        <v>0</v>
      </c>
      <c r="AO65" s="384">
        <f>'2b. Patients - prevalent'!H242</f>
        <v>0</v>
      </c>
      <c r="AP65" s="384">
        <f>'2b. Patients - prevalent'!I242</f>
        <v>0</v>
      </c>
      <c r="AQ65" s="384">
        <f>'2b. Patients - prevalent'!J242</f>
        <v>0</v>
      </c>
      <c r="AR65" s="384" t="str">
        <f>'2b. Patients - prevalent'!C245</f>
        <v/>
      </c>
      <c r="AT65" s="66" t="s">
        <v>1215</v>
      </c>
      <c r="AU65" s="384">
        <f ca="1">'2d. Patients - DTG'!F371</f>
        <v>0</v>
      </c>
      <c r="AV65" s="384">
        <f ca="1">'2d. Patients - DTG'!G371</f>
        <v>0</v>
      </c>
      <c r="AW65" s="384">
        <f ca="1">'2d. Patients - DTG'!H371</f>
        <v>0</v>
      </c>
      <c r="AX65" s="384">
        <f ca="1">'2d. Patients - DTG'!I371</f>
        <v>0</v>
      </c>
      <c r="AY65" s="384">
        <f ca="1">'2d. Patients - DTG'!J371</f>
        <v>0</v>
      </c>
      <c r="AZ65" s="384">
        <f ca="1">'2d. Patients - DTG'!K371</f>
        <v>0</v>
      </c>
      <c r="BA65" s="384">
        <f>'2d. Patients - DTG'!B352</f>
        <v>0</v>
      </c>
      <c r="BB65" s="384">
        <f ca="1">IFERROR(INDEX(PxTxPhase1,'2d. Patients - DTG'!D357,7),0)</f>
        <v>0</v>
      </c>
      <c r="BC65" s="385">
        <f t="shared" ca="1" si="2"/>
        <v>0</v>
      </c>
    </row>
    <row r="66" spans="2:55" x14ac:dyDescent="0.2">
      <c r="B66" s="235" t="s">
        <v>65</v>
      </c>
      <c r="C66" s="235" t="s">
        <v>139</v>
      </c>
      <c r="E66" s="235" t="s">
        <v>370</v>
      </c>
      <c r="F66" s="235">
        <v>1</v>
      </c>
      <c r="H66" s="235" t="s">
        <v>198</v>
      </c>
      <c r="J66" s="235">
        <v>1</v>
      </c>
      <c r="AA66" s="235">
        <v>0</v>
      </c>
      <c r="AB66" s="235" t="s">
        <v>873</v>
      </c>
      <c r="AK66" s="66" t="s">
        <v>390</v>
      </c>
      <c r="AL66" s="384">
        <f>'2b. Patients - prevalent'!E280</f>
        <v>0</v>
      </c>
      <c r="AM66" s="384">
        <f>'2b. Patients - prevalent'!F280</f>
        <v>0</v>
      </c>
      <c r="AN66" s="384">
        <f>'2b. Patients - prevalent'!G280</f>
        <v>0</v>
      </c>
      <c r="AO66" s="384">
        <f>'2b. Patients - prevalent'!H280</f>
        <v>0</v>
      </c>
      <c r="AP66" s="384">
        <f>'2b. Patients - prevalent'!I280</f>
        <v>0</v>
      </c>
      <c r="AQ66" s="384">
        <f>'2b. Patients - prevalent'!J280</f>
        <v>0</v>
      </c>
      <c r="AR66" s="384" t="str">
        <f>'2b. Patients - prevalent'!C283</f>
        <v/>
      </c>
      <c r="AT66" s="66" t="s">
        <v>1216</v>
      </c>
      <c r="AU66" s="384">
        <f ca="1">'2d. Patients - DTG'!F393</f>
        <v>0</v>
      </c>
      <c r="AV66" s="384">
        <f ca="1">'2d. Patients - DTG'!G393</f>
        <v>0</v>
      </c>
      <c r="AW66" s="384">
        <f ca="1">'2d. Patients - DTG'!H393</f>
        <v>0</v>
      </c>
      <c r="AX66" s="384">
        <f ca="1">'2d. Patients - DTG'!I393</f>
        <v>0</v>
      </c>
      <c r="AY66" s="384">
        <f ca="1">'2d. Patients - DTG'!J393</f>
        <v>0</v>
      </c>
      <c r="AZ66" s="384">
        <f ca="1">'2d. Patients - DTG'!K393</f>
        <v>0</v>
      </c>
      <c r="BA66" s="384">
        <f>'2d. Patients - DTG'!B374</f>
        <v>0</v>
      </c>
      <c r="BB66" s="384">
        <f ca="1">IFERROR(INDEX(PxTxPhase1,'2d. Patients - DTG'!D379,7),0)</f>
        <v>0</v>
      </c>
      <c r="BC66" s="385">
        <f t="shared" ca="1" si="2"/>
        <v>0</v>
      </c>
    </row>
    <row r="67" spans="2:55" x14ac:dyDescent="0.2">
      <c r="B67" s="235" t="s">
        <v>68</v>
      </c>
      <c r="C67" s="235" t="s">
        <v>139</v>
      </c>
      <c r="E67" s="235" t="s">
        <v>371</v>
      </c>
      <c r="F67" s="235">
        <v>2</v>
      </c>
      <c r="H67" s="235" t="s">
        <v>666</v>
      </c>
      <c r="J67" s="235">
        <v>2</v>
      </c>
      <c r="AA67" s="235">
        <v>1</v>
      </c>
      <c r="AB67" s="235" t="s">
        <v>874</v>
      </c>
      <c r="AK67" s="66" t="s">
        <v>391</v>
      </c>
      <c r="AL67" s="384">
        <f>'2b. Patients - prevalent'!E318</f>
        <v>0</v>
      </c>
      <c r="AM67" s="384">
        <f>'2b. Patients - prevalent'!F318</f>
        <v>0</v>
      </c>
      <c r="AN67" s="384">
        <f>'2b. Patients - prevalent'!G318</f>
        <v>0</v>
      </c>
      <c r="AO67" s="384">
        <f>'2b. Patients - prevalent'!H318</f>
        <v>0</v>
      </c>
      <c r="AP67" s="384">
        <f>'2b. Patients - prevalent'!I318</f>
        <v>0</v>
      </c>
      <c r="AQ67" s="384">
        <f>'2b. Patients - prevalent'!J318</f>
        <v>0</v>
      </c>
      <c r="AR67" s="384" t="str">
        <f>'2b. Patients - prevalent'!C321</f>
        <v/>
      </c>
      <c r="AT67" s="66" t="s">
        <v>1217</v>
      </c>
      <c r="AU67" s="384">
        <f ca="1">'2d. Patients - DTG'!F415</f>
        <v>0</v>
      </c>
      <c r="AV67" s="384">
        <f ca="1">'2d. Patients - DTG'!G415</f>
        <v>0</v>
      </c>
      <c r="AW67" s="384">
        <f ca="1">'2d. Patients - DTG'!H415</f>
        <v>0</v>
      </c>
      <c r="AX67" s="384">
        <f ca="1">'2d. Patients - DTG'!I415</f>
        <v>0</v>
      </c>
      <c r="AY67" s="384">
        <f ca="1">'2d. Patients - DTG'!J415</f>
        <v>0</v>
      </c>
      <c r="AZ67" s="384">
        <f ca="1">'2d. Patients - DTG'!K415</f>
        <v>0</v>
      </c>
      <c r="BA67" s="384">
        <f>'2d. Patients - DTG'!B396</f>
        <v>0</v>
      </c>
      <c r="BB67" s="384">
        <f ca="1">IFERROR(INDEX(PxTxPhase1,'2d. Patients - DTG'!D401,7),0)</f>
        <v>0</v>
      </c>
      <c r="BC67" s="385">
        <f t="shared" ca="1" si="2"/>
        <v>0</v>
      </c>
    </row>
    <row r="68" spans="2:55" x14ac:dyDescent="0.2">
      <c r="B68" s="235" t="s">
        <v>46</v>
      </c>
      <c r="C68" s="235" t="s">
        <v>141</v>
      </c>
      <c r="E68" s="235" t="s">
        <v>166</v>
      </c>
      <c r="F68" s="235">
        <v>3</v>
      </c>
      <c r="H68" s="235" t="s">
        <v>647</v>
      </c>
      <c r="J68" s="235">
        <v>3</v>
      </c>
      <c r="AK68" s="66" t="s">
        <v>392</v>
      </c>
      <c r="AL68" s="384">
        <f>'2b. Patients - prevalent'!E356</f>
        <v>0</v>
      </c>
      <c r="AM68" s="384">
        <f>'2b. Patients - prevalent'!F356</f>
        <v>0</v>
      </c>
      <c r="AN68" s="384">
        <f>'2b. Patients - prevalent'!G356</f>
        <v>0</v>
      </c>
      <c r="AO68" s="384">
        <f>'2b. Patients - prevalent'!H356</f>
        <v>0</v>
      </c>
      <c r="AP68" s="384">
        <f>'2b. Patients - prevalent'!I356</f>
        <v>0</v>
      </c>
      <c r="AQ68" s="384">
        <f>'2b. Patients - prevalent'!J356</f>
        <v>0</v>
      </c>
      <c r="AR68" s="384" t="str">
        <f>'2b. Patients - prevalent'!C359</f>
        <v/>
      </c>
      <c r="AT68" s="66" t="s">
        <v>1218</v>
      </c>
      <c r="AU68" s="384">
        <f ca="1">'2d. Patients - DTG'!F437</f>
        <v>0</v>
      </c>
      <c r="AV68" s="384">
        <f ca="1">'2d. Patients - DTG'!G437</f>
        <v>0</v>
      </c>
      <c r="AW68" s="384">
        <f ca="1">'2d. Patients - DTG'!H437</f>
        <v>0</v>
      </c>
      <c r="AX68" s="384">
        <f ca="1">'2d. Patients - DTG'!I437</f>
        <v>0</v>
      </c>
      <c r="AY68" s="384">
        <f ca="1">'2d. Patients - DTG'!J437</f>
        <v>0</v>
      </c>
      <c r="AZ68" s="384">
        <f ca="1">'2d. Patients - DTG'!K437</f>
        <v>0</v>
      </c>
      <c r="BA68" s="384">
        <f>'2d. Patients - DTG'!B418</f>
        <v>0</v>
      </c>
      <c r="BB68" s="384">
        <f ca="1">IFERROR(INDEX(PxTxPhase1,'2d. Patients - DTG'!D423,7),0)</f>
        <v>0</v>
      </c>
      <c r="BC68" s="385">
        <f t="shared" ca="1" si="2"/>
        <v>0</v>
      </c>
    </row>
    <row r="69" spans="2:55" x14ac:dyDescent="0.2">
      <c r="B69" s="235" t="s">
        <v>71</v>
      </c>
      <c r="C69" s="235" t="s">
        <v>140</v>
      </c>
      <c r="E69" s="235" t="s">
        <v>372</v>
      </c>
      <c r="F69" s="235">
        <v>4</v>
      </c>
      <c r="H69" s="235" t="s">
        <v>648</v>
      </c>
      <c r="J69" s="235">
        <v>4</v>
      </c>
      <c r="AK69" s="66" t="s">
        <v>393</v>
      </c>
      <c r="AL69" s="384">
        <f>'2b. Patients - prevalent'!E394</f>
        <v>0</v>
      </c>
      <c r="AM69" s="384">
        <f>'2b. Patients - prevalent'!F394</f>
        <v>0</v>
      </c>
      <c r="AN69" s="384">
        <f>'2b. Patients - prevalent'!G394</f>
        <v>0</v>
      </c>
      <c r="AO69" s="384">
        <f>'2b. Patients - prevalent'!H394</f>
        <v>0</v>
      </c>
      <c r="AP69" s="384">
        <f>'2b. Patients - prevalent'!I394</f>
        <v>0</v>
      </c>
      <c r="AQ69" s="384">
        <f>'2b. Patients - prevalent'!J394</f>
        <v>0</v>
      </c>
      <c r="AR69" s="384" t="str">
        <f>'2b. Patients - prevalent'!C397</f>
        <v/>
      </c>
      <c r="AT69" s="66" t="s">
        <v>1219</v>
      </c>
      <c r="AU69" s="384">
        <f ca="1">'2d. Patients - DTG'!F459</f>
        <v>0</v>
      </c>
      <c r="AV69" s="384">
        <f ca="1">'2d. Patients - DTG'!G459</f>
        <v>0</v>
      </c>
      <c r="AW69" s="384">
        <f ca="1">'2d. Patients - DTG'!H459</f>
        <v>0</v>
      </c>
      <c r="AX69" s="384">
        <f ca="1">'2d. Patients - DTG'!I459</f>
        <v>0</v>
      </c>
      <c r="AY69" s="384">
        <f ca="1">'2d. Patients - DTG'!J459</f>
        <v>0</v>
      </c>
      <c r="AZ69" s="384">
        <f ca="1">'2d. Patients - DTG'!K459</f>
        <v>0</v>
      </c>
      <c r="BA69" s="384">
        <f>'2d. Patients - DTG'!B440</f>
        <v>0</v>
      </c>
      <c r="BB69" s="384">
        <f ca="1">IFERROR(INDEX(PxTxPhase1,'2d. Patients - DTG'!D445,7),0)</f>
        <v>0</v>
      </c>
      <c r="BC69" s="385">
        <f t="shared" ca="1" si="2"/>
        <v>0</v>
      </c>
    </row>
    <row r="70" spans="2:55" x14ac:dyDescent="0.2">
      <c r="B70" s="235" t="s">
        <v>72</v>
      </c>
      <c r="C70" s="235" t="s">
        <v>140</v>
      </c>
      <c r="E70" s="191"/>
      <c r="H70" s="235" t="s">
        <v>649</v>
      </c>
      <c r="J70" s="235">
        <v>5</v>
      </c>
      <c r="AK70" s="66" t="s">
        <v>394</v>
      </c>
      <c r="AL70" s="384">
        <f>'2c. Patients - GF'!E43</f>
        <v>0</v>
      </c>
      <c r="AM70" s="384">
        <f>'2c. Patients - GF'!F43</f>
        <v>0</v>
      </c>
      <c r="AN70" s="384">
        <f>'2c. Patients - GF'!G43</f>
        <v>0</v>
      </c>
      <c r="AO70" s="384">
        <f>'2c. Patients - GF'!H43</f>
        <v>0</v>
      </c>
      <c r="AP70" s="384">
        <f>'2c. Patients - GF'!I43</f>
        <v>0</v>
      </c>
      <c r="AQ70" s="384">
        <f>'2c. Patients - GF'!J43</f>
        <v>0</v>
      </c>
      <c r="AR70" s="384" t="str">
        <f>'2c. Patients - GF'!C46</f>
        <v/>
      </c>
      <c r="AT70" s="66" t="s">
        <v>1220</v>
      </c>
      <c r="AU70" s="384">
        <f ca="1">'2d. Patients - DTG'!F481</f>
        <v>0</v>
      </c>
      <c r="AV70" s="384">
        <f ca="1">'2d. Patients - DTG'!G481</f>
        <v>0</v>
      </c>
      <c r="AW70" s="384">
        <f ca="1">'2d. Patients - DTG'!H481</f>
        <v>0</v>
      </c>
      <c r="AX70" s="384">
        <f ca="1">'2d. Patients - DTG'!I481</f>
        <v>0</v>
      </c>
      <c r="AY70" s="384">
        <f ca="1">'2d. Patients - DTG'!J481</f>
        <v>0</v>
      </c>
      <c r="AZ70" s="384">
        <f ca="1">'2d. Patients - DTG'!K481</f>
        <v>0</v>
      </c>
      <c r="BA70" s="384">
        <f>'2d. Patients - DTG'!B462</f>
        <v>0</v>
      </c>
      <c r="BB70" s="384">
        <f ca="1">IFERROR(INDEX(PxTxPhase1,'2d. Patients - DTG'!D467,7),0)</f>
        <v>0</v>
      </c>
      <c r="BC70" s="385">
        <f t="shared" ca="1" si="2"/>
        <v>0</v>
      </c>
    </row>
    <row r="71" spans="2:55" x14ac:dyDescent="0.2">
      <c r="H71" s="235" t="s">
        <v>650</v>
      </c>
      <c r="AK71" s="66" t="s">
        <v>395</v>
      </c>
      <c r="AL71" s="384">
        <f>'2c. Patients - GF'!E72</f>
        <v>0</v>
      </c>
      <c r="AM71" s="384">
        <f>'2c. Patients - GF'!F72</f>
        <v>0</v>
      </c>
      <c r="AN71" s="384">
        <f>'2c. Patients - GF'!G72</f>
        <v>0</v>
      </c>
      <c r="AO71" s="384">
        <f>'2c. Patients - GF'!H72</f>
        <v>0</v>
      </c>
      <c r="AP71" s="384">
        <f>'2c. Patients - GF'!I72</f>
        <v>0</v>
      </c>
      <c r="AQ71" s="384">
        <f>'2c. Patients - GF'!J72</f>
        <v>0</v>
      </c>
      <c r="AR71" s="384" t="str">
        <f>'2c. Patients - GF'!C75</f>
        <v/>
      </c>
      <c r="AT71" s="66" t="s">
        <v>1221</v>
      </c>
      <c r="AU71" s="384">
        <f ca="1">'2d. Patients - DTG'!F503</f>
        <v>0</v>
      </c>
      <c r="AV71" s="384">
        <f ca="1">'2d. Patients - DTG'!G503</f>
        <v>0</v>
      </c>
      <c r="AW71" s="384">
        <f ca="1">'2d. Patients - DTG'!H503</f>
        <v>0</v>
      </c>
      <c r="AX71" s="384">
        <f ca="1">'2d. Patients - DTG'!I503</f>
        <v>0</v>
      </c>
      <c r="AY71" s="384">
        <f ca="1">'2d. Patients - DTG'!J503</f>
        <v>0</v>
      </c>
      <c r="AZ71" s="384">
        <f ca="1">'2d. Patients - DTG'!K503</f>
        <v>0</v>
      </c>
      <c r="BA71" s="384">
        <f>'2d. Patients - DTG'!B484</f>
        <v>0</v>
      </c>
      <c r="BB71" s="384">
        <f ca="1">IFERROR(INDEX(PxTxPhase1,'2d. Patients - DTG'!D489,7),0)</f>
        <v>0</v>
      </c>
      <c r="BC71" s="385">
        <f t="shared" ca="1" si="2"/>
        <v>0</v>
      </c>
    </row>
    <row r="72" spans="2:55" x14ac:dyDescent="0.2">
      <c r="AK72" s="66" t="s">
        <v>396</v>
      </c>
      <c r="AL72" s="384">
        <f>'2c. Patients - GF'!E101</f>
        <v>0</v>
      </c>
      <c r="AM72" s="384">
        <f>'2c. Patients - GF'!F101</f>
        <v>0</v>
      </c>
      <c r="AN72" s="384">
        <f>'2c. Patients - GF'!G101</f>
        <v>0</v>
      </c>
      <c r="AO72" s="384">
        <f>'2c. Patients - GF'!H101</f>
        <v>0</v>
      </c>
      <c r="AP72" s="384">
        <f>'2c. Patients - GF'!I101</f>
        <v>0</v>
      </c>
      <c r="AQ72" s="384">
        <f>'2c. Patients - GF'!J101</f>
        <v>0</v>
      </c>
      <c r="AR72" s="384" t="str">
        <f>'2c. Patients - GF'!C104</f>
        <v/>
      </c>
      <c r="AT72" s="66" t="s">
        <v>1222</v>
      </c>
      <c r="AU72" s="384">
        <f ca="1">'2d. Patients - DTG'!F525</f>
        <v>0</v>
      </c>
      <c r="AV72" s="384">
        <f ca="1">'2d. Patients - DTG'!G525</f>
        <v>0</v>
      </c>
      <c r="AW72" s="384">
        <f ca="1">'2d. Patients - DTG'!H525</f>
        <v>0</v>
      </c>
      <c r="AX72" s="384">
        <f ca="1">'2d. Patients - DTG'!I525</f>
        <v>0</v>
      </c>
      <c r="AY72" s="384">
        <f ca="1">'2d. Patients - DTG'!J525</f>
        <v>0</v>
      </c>
      <c r="AZ72" s="384">
        <f ca="1">'2d. Patients - DTG'!K525</f>
        <v>0</v>
      </c>
      <c r="BA72" s="384">
        <f>'2d. Patients - DTG'!B506</f>
        <v>0</v>
      </c>
      <c r="BB72" s="384">
        <f ca="1">IFERROR(INDEX(PxTxPhase1,'2d. Patients - DTG'!D511,7),0)</f>
        <v>0</v>
      </c>
      <c r="BC72" s="385">
        <f t="shared" ca="1" si="2"/>
        <v>0</v>
      </c>
    </row>
    <row r="73" spans="2:55" x14ac:dyDescent="0.2">
      <c r="AK73" s="66" t="s">
        <v>397</v>
      </c>
      <c r="AL73" s="384">
        <f>'2c. Patients - GF'!E130</f>
        <v>0</v>
      </c>
      <c r="AM73" s="384">
        <f>'2c. Patients - GF'!F130</f>
        <v>0</v>
      </c>
      <c r="AN73" s="384">
        <f>'2c. Patients - GF'!G130</f>
        <v>0</v>
      </c>
      <c r="AO73" s="384">
        <f>'2c. Patients - GF'!H130</f>
        <v>0</v>
      </c>
      <c r="AP73" s="384">
        <f>'2c. Patients - GF'!I130</f>
        <v>0</v>
      </c>
      <c r="AQ73" s="384">
        <f>'2c. Patients - GF'!J130</f>
        <v>0</v>
      </c>
      <c r="AR73" s="384" t="str">
        <f>'2c. Patients - GF'!C133</f>
        <v/>
      </c>
      <c r="AT73" s="66" t="s">
        <v>1223</v>
      </c>
      <c r="AU73" s="384">
        <f ca="1">'2d. Patients - DTG'!F547</f>
        <v>0</v>
      </c>
      <c r="AV73" s="384">
        <f ca="1">'2d. Patients - DTG'!G547</f>
        <v>0</v>
      </c>
      <c r="AW73" s="384">
        <f ca="1">'2d. Patients - DTG'!H547</f>
        <v>0</v>
      </c>
      <c r="AX73" s="384">
        <f ca="1">'2d. Patients - DTG'!I547</f>
        <v>0</v>
      </c>
      <c r="AY73" s="384">
        <f ca="1">'2d. Patients - DTG'!J547</f>
        <v>0</v>
      </c>
      <c r="AZ73" s="384">
        <f ca="1">'2d. Patients - DTG'!K547</f>
        <v>0</v>
      </c>
      <c r="BA73" s="384">
        <f>'2d. Patients - DTG'!B528</f>
        <v>0</v>
      </c>
      <c r="BB73" s="384">
        <f ca="1">IFERROR(INDEX(PxTxPhase1,'2d. Patients - DTG'!D533,7),0)</f>
        <v>0</v>
      </c>
      <c r="BC73" s="385">
        <f t="shared" ca="1" si="2"/>
        <v>0</v>
      </c>
    </row>
    <row r="74" spans="2:55" x14ac:dyDescent="0.2">
      <c r="AK74" s="66" t="s">
        <v>398</v>
      </c>
      <c r="AL74" s="384">
        <f>'2c. Patients - GF'!E159</f>
        <v>0</v>
      </c>
      <c r="AM74" s="384">
        <f>'2c. Patients - GF'!F159</f>
        <v>0</v>
      </c>
      <c r="AN74" s="384">
        <f>'2c. Patients - GF'!G159</f>
        <v>0</v>
      </c>
      <c r="AO74" s="384">
        <f>'2c. Patients - GF'!H159</f>
        <v>0</v>
      </c>
      <c r="AP74" s="384">
        <f>'2c. Patients - GF'!I159</f>
        <v>0</v>
      </c>
      <c r="AQ74" s="384">
        <f>'2c. Patients - GF'!J159</f>
        <v>0</v>
      </c>
      <c r="AR74" s="384" t="str">
        <f>'2c. Patients - GF'!C162</f>
        <v/>
      </c>
      <c r="AT74" s="66" t="s">
        <v>1224</v>
      </c>
      <c r="AU74" s="384">
        <f ca="1">'2d. Patients - DTG'!F569</f>
        <v>0</v>
      </c>
      <c r="AV74" s="384">
        <f ca="1">'2d. Patients - DTG'!G569</f>
        <v>0</v>
      </c>
      <c r="AW74" s="384">
        <f ca="1">'2d. Patients - DTG'!H569</f>
        <v>0</v>
      </c>
      <c r="AX74" s="384">
        <f ca="1">'2d. Patients - DTG'!I569</f>
        <v>0</v>
      </c>
      <c r="AY74" s="384">
        <f ca="1">'2d. Patients - DTG'!J569</f>
        <v>0</v>
      </c>
      <c r="AZ74" s="384">
        <f ca="1">'2d. Patients - DTG'!K569</f>
        <v>0</v>
      </c>
      <c r="BA74" s="384">
        <f>'2d. Patients - DTG'!B550</f>
        <v>0</v>
      </c>
      <c r="BB74" s="384">
        <f ca="1">IFERROR(INDEX(PxTxPhase1,'2d. Patients - DTG'!D555,7),0)</f>
        <v>0</v>
      </c>
      <c r="BC74" s="385">
        <f t="shared" ca="1" si="2"/>
        <v>0</v>
      </c>
    </row>
    <row r="75" spans="2:55" x14ac:dyDescent="0.2">
      <c r="AK75" s="66" t="s">
        <v>399</v>
      </c>
      <c r="AL75" s="423"/>
      <c r="AM75" s="423"/>
      <c r="AN75" s="423"/>
      <c r="AO75" s="423"/>
      <c r="AP75" s="423"/>
      <c r="AQ75" s="423"/>
      <c r="AR75" s="423"/>
      <c r="AT75" s="66" t="s">
        <v>1225</v>
      </c>
      <c r="AU75" s="423"/>
      <c r="AV75" s="423"/>
      <c r="AW75" s="423"/>
      <c r="AX75" s="423"/>
      <c r="AY75" s="423"/>
      <c r="AZ75" s="423"/>
      <c r="BA75" s="423"/>
      <c r="BB75" s="423"/>
      <c r="BC75" s="385">
        <f t="shared" si="2"/>
        <v>0</v>
      </c>
    </row>
    <row r="76" spans="2:55" x14ac:dyDescent="0.2">
      <c r="AK76" s="66" t="s">
        <v>400</v>
      </c>
      <c r="AL76" s="423"/>
      <c r="AM76" s="423"/>
      <c r="AN76" s="423"/>
      <c r="AO76" s="423"/>
      <c r="AP76" s="423"/>
      <c r="AQ76" s="423"/>
      <c r="AR76" s="423"/>
      <c r="AT76" s="66" t="s">
        <v>1226</v>
      </c>
      <c r="AU76" s="423"/>
      <c r="AV76" s="423"/>
      <c r="AW76" s="423"/>
      <c r="AX76" s="423"/>
      <c r="AY76" s="423"/>
      <c r="AZ76" s="423"/>
      <c r="BA76" s="423"/>
      <c r="BB76" s="423"/>
      <c r="BC76" s="385">
        <f t="shared" si="2"/>
        <v>0</v>
      </c>
    </row>
    <row r="77" spans="2:55" x14ac:dyDescent="0.2">
      <c r="B77" s="678" t="s">
        <v>410</v>
      </c>
      <c r="C77" s="595"/>
      <c r="E77" s="678" t="s">
        <v>1054</v>
      </c>
      <c r="F77" s="595"/>
      <c r="J77" s="184" t="s">
        <v>884</v>
      </c>
      <c r="AK77" s="66" t="s">
        <v>401</v>
      </c>
      <c r="AL77" s="423"/>
      <c r="AM77" s="423"/>
      <c r="AN77" s="423"/>
      <c r="AO77" s="423"/>
      <c r="AP77" s="423"/>
      <c r="AQ77" s="423"/>
      <c r="AR77" s="423"/>
      <c r="AT77" s="66" t="s">
        <v>1227</v>
      </c>
      <c r="AU77" s="423"/>
      <c r="AV77" s="423"/>
      <c r="AW77" s="423"/>
      <c r="AX77" s="423"/>
      <c r="AY77" s="423"/>
      <c r="AZ77" s="423"/>
      <c r="BA77" s="423"/>
      <c r="BB77" s="423"/>
      <c r="BC77" s="385">
        <f t="shared" si="2"/>
        <v>0</v>
      </c>
    </row>
    <row r="78" spans="2:55" x14ac:dyDescent="0.2">
      <c r="B78" s="235" t="s">
        <v>52</v>
      </c>
      <c r="C78" s="235">
        <v>1</v>
      </c>
      <c r="E78" s="235" t="s">
        <v>453</v>
      </c>
      <c r="F78" s="235">
        <v>1</v>
      </c>
      <c r="J78" s="363">
        <v>0.8</v>
      </c>
      <c r="AK78" s="66" t="s">
        <v>402</v>
      </c>
      <c r="AL78" s="423"/>
      <c r="AM78" s="423"/>
      <c r="AN78" s="423"/>
      <c r="AO78" s="423"/>
      <c r="AP78" s="423"/>
      <c r="AQ78" s="423"/>
      <c r="AR78" s="423"/>
      <c r="AT78" s="66" t="s">
        <v>1228</v>
      </c>
      <c r="AU78" s="423"/>
      <c r="AV78" s="423"/>
      <c r="AW78" s="423"/>
      <c r="AX78" s="423"/>
      <c r="AY78" s="423"/>
      <c r="AZ78" s="423"/>
      <c r="BA78" s="423"/>
      <c r="BB78" s="423"/>
      <c r="BC78" s="385">
        <f t="shared" si="2"/>
        <v>0</v>
      </c>
    </row>
    <row r="79" spans="2:55" x14ac:dyDescent="0.2">
      <c r="B79" s="235" t="s">
        <v>53</v>
      </c>
      <c r="C79" s="235">
        <v>2</v>
      </c>
      <c r="E79" s="235" t="s">
        <v>1057</v>
      </c>
      <c r="F79" s="235">
        <v>2</v>
      </c>
      <c r="AK79" s="66" t="s">
        <v>403</v>
      </c>
      <c r="AL79" s="423"/>
      <c r="AM79" s="423"/>
      <c r="AN79" s="423"/>
      <c r="AO79" s="423"/>
      <c r="AP79" s="423"/>
      <c r="AQ79" s="423"/>
      <c r="AR79" s="423"/>
      <c r="AT79" s="66" t="s">
        <v>1229</v>
      </c>
      <c r="AU79" s="423"/>
      <c r="AV79" s="423"/>
      <c r="AW79" s="423"/>
      <c r="AX79" s="423"/>
      <c r="AY79" s="423"/>
      <c r="AZ79" s="423"/>
      <c r="BA79" s="423"/>
      <c r="BB79" s="423"/>
      <c r="BC79" s="385">
        <f t="shared" si="2"/>
        <v>0</v>
      </c>
    </row>
    <row r="80" spans="2:55" x14ac:dyDescent="0.2">
      <c r="B80" s="235" t="s">
        <v>55</v>
      </c>
      <c r="C80" s="235">
        <v>3</v>
      </c>
      <c r="AK80" s="66" t="s">
        <v>405</v>
      </c>
      <c r="AL80" s="384">
        <f t="shared" ref="AL80:AQ80" si="3">SUM(AL50:AL59)</f>
        <v>0</v>
      </c>
      <c r="AM80" s="384">
        <f t="shared" si="3"/>
        <v>0</v>
      </c>
      <c r="AN80" s="384">
        <f t="shared" si="3"/>
        <v>0</v>
      </c>
      <c r="AO80" s="384">
        <f t="shared" si="3"/>
        <v>0</v>
      </c>
      <c r="AP80" s="384">
        <f t="shared" si="3"/>
        <v>0</v>
      </c>
      <c r="AQ80" s="384">
        <f t="shared" si="3"/>
        <v>0</v>
      </c>
      <c r="AR80" s="384">
        <f>IFERROR(INDEX(AR50:AR59,MATCH(MIN(AR89:AR98),AR89:AR98,0)),"")</f>
        <v>1</v>
      </c>
      <c r="AT80" s="66" t="s">
        <v>1230</v>
      </c>
      <c r="AU80" s="384">
        <f ca="1">SUM(AU50:AU79)</f>
        <v>0</v>
      </c>
      <c r="AV80" s="384">
        <f t="shared" ref="AV80:AZ80" ca="1" si="4">SUM(AV50:AV79)</f>
        <v>0</v>
      </c>
      <c r="AW80" s="384">
        <f t="shared" ca="1" si="4"/>
        <v>0</v>
      </c>
      <c r="AX80" s="384">
        <f t="shared" ca="1" si="4"/>
        <v>0</v>
      </c>
      <c r="AY80" s="384">
        <f t="shared" ca="1" si="4"/>
        <v>0</v>
      </c>
      <c r="AZ80" s="384">
        <f t="shared" ca="1" si="4"/>
        <v>0</v>
      </c>
      <c r="BA80" s="384">
        <f>MAX(BA50:BA74)</f>
        <v>0</v>
      </c>
      <c r="BB80" s="384">
        <f ca="1">MAX(BB50:BB74)</f>
        <v>0</v>
      </c>
      <c r="BC80" s="385">
        <f t="shared" ca="1" si="2"/>
        <v>0</v>
      </c>
    </row>
    <row r="81" spans="2:55" x14ac:dyDescent="0.2">
      <c r="B81" s="235" t="s">
        <v>260</v>
      </c>
      <c r="C81" s="235">
        <v>0</v>
      </c>
      <c r="AK81" s="66" t="s">
        <v>406</v>
      </c>
      <c r="AL81" s="384">
        <f t="shared" ref="AL81:AQ81" si="5">SUM(AL60:AL69)</f>
        <v>0</v>
      </c>
      <c r="AM81" s="384">
        <f t="shared" si="5"/>
        <v>0</v>
      </c>
      <c r="AN81" s="384">
        <f t="shared" si="5"/>
        <v>0</v>
      </c>
      <c r="AO81" s="384">
        <f t="shared" si="5"/>
        <v>0</v>
      </c>
      <c r="AP81" s="384">
        <f t="shared" si="5"/>
        <v>0</v>
      </c>
      <c r="AQ81" s="384">
        <f t="shared" si="5"/>
        <v>0</v>
      </c>
      <c r="AR81" s="384" t="str">
        <f>IFERROR(INDEX(AR60:AR69,MATCH(MIN(AR99:AR108),AR99:AR108,0)),"")</f>
        <v/>
      </c>
      <c r="BC81" s="434"/>
    </row>
    <row r="82" spans="2:55" x14ac:dyDescent="0.2">
      <c r="AK82" s="66" t="s">
        <v>1175</v>
      </c>
      <c r="AL82" s="384">
        <f>AL81+AL80</f>
        <v>0</v>
      </c>
      <c r="AM82" s="384">
        <f t="shared" ref="AM82:AQ82" si="6">AM81+AM80</f>
        <v>0</v>
      </c>
      <c r="AN82" s="384">
        <f t="shared" si="6"/>
        <v>0</v>
      </c>
      <c r="AO82" s="384">
        <f t="shared" si="6"/>
        <v>0</v>
      </c>
      <c r="AP82" s="384">
        <f t="shared" si="6"/>
        <v>0</v>
      </c>
      <c r="AQ82" s="384">
        <f t="shared" si="6"/>
        <v>0</v>
      </c>
      <c r="AR82" s="384">
        <f>IFERROR(INDEX(AR50:AR69,MATCH(MIN(AR89:AR108),AR89:AR108,0)),"")</f>
        <v>1</v>
      </c>
      <c r="BC82" s="434"/>
    </row>
    <row r="83" spans="2:55" x14ac:dyDescent="0.2">
      <c r="AK83" s="66" t="s">
        <v>407</v>
      </c>
      <c r="AL83" s="384">
        <f>SUM(AL70:AL79)</f>
        <v>0</v>
      </c>
      <c r="AM83" s="384">
        <f t="shared" ref="AM83:AQ83" si="7">SUM(AM70:AM79)</f>
        <v>0</v>
      </c>
      <c r="AN83" s="384">
        <f t="shared" si="7"/>
        <v>0</v>
      </c>
      <c r="AO83" s="384">
        <f t="shared" si="7"/>
        <v>0</v>
      </c>
      <c r="AP83" s="384">
        <f t="shared" si="7"/>
        <v>0</v>
      </c>
      <c r="AQ83" s="384">
        <f t="shared" si="7"/>
        <v>0</v>
      </c>
      <c r="AR83" s="384" t="str">
        <f>IFERROR(INDEX(AR70:AR74,MATCH(MIN(AR109:AR113),AR109:AR113,0)),"")</f>
        <v/>
      </c>
      <c r="BC83" s="434"/>
    </row>
    <row r="84" spans="2:55" x14ac:dyDescent="0.2">
      <c r="AK84" s="66" t="s">
        <v>408</v>
      </c>
      <c r="AL84" s="384">
        <f>AL83+AL82</f>
        <v>0</v>
      </c>
      <c r="AM84" s="384">
        <f t="shared" ref="AM84:AQ84" si="8">AM83+AM82</f>
        <v>0</v>
      </c>
      <c r="AN84" s="384">
        <f t="shared" si="8"/>
        <v>0</v>
      </c>
      <c r="AO84" s="384">
        <f t="shared" si="8"/>
        <v>0</v>
      </c>
      <c r="AP84" s="384">
        <f t="shared" si="8"/>
        <v>0</v>
      </c>
      <c r="AQ84" s="384">
        <f t="shared" si="8"/>
        <v>0</v>
      </c>
      <c r="AR84" s="384">
        <f>IFERROR(INDEX(AR50:AR74,MATCH(MIN(AR89:AR113),AR89:AR113,0)),"")</f>
        <v>1</v>
      </c>
      <c r="BC84" s="434"/>
    </row>
    <row r="85" spans="2:55" x14ac:dyDescent="0.2"/>
    <row r="86" spans="2:55" x14ac:dyDescent="0.2"/>
    <row r="87" spans="2:55" ht="12.75" customHeight="1" x14ac:dyDescent="0.2">
      <c r="AL87" s="677" t="s">
        <v>1173</v>
      </c>
      <c r="AM87" s="677"/>
      <c r="AN87" s="677"/>
      <c r="AO87" s="677"/>
      <c r="AP87" s="677"/>
      <c r="AQ87" s="677"/>
      <c r="AR87" s="677"/>
      <c r="AU87" s="677" t="s">
        <v>1174</v>
      </c>
      <c r="AV87" s="677"/>
      <c r="AW87" s="677"/>
      <c r="AX87" s="677"/>
      <c r="AY87" s="677"/>
      <c r="AZ87" s="677"/>
    </row>
    <row r="88" spans="2:55" x14ac:dyDescent="0.2">
      <c r="AL88" s="435">
        <f>FirstYear</f>
        <v>2026</v>
      </c>
      <c r="AM88" s="436">
        <f>AL88+1</f>
        <v>2027</v>
      </c>
      <c r="AN88" s="436">
        <f>AM88+1</f>
        <v>2028</v>
      </c>
      <c r="AO88" s="436">
        <f>AN88+1</f>
        <v>2029</v>
      </c>
      <c r="AP88" s="436">
        <f>AO88+1</f>
        <v>2030</v>
      </c>
      <c r="AQ88" s="436">
        <f>AP88+1</f>
        <v>2031</v>
      </c>
      <c r="AR88" s="63" t="s">
        <v>103</v>
      </c>
      <c r="AU88" s="185">
        <f>FirstYear</f>
        <v>2026</v>
      </c>
      <c r="AV88" s="63">
        <f>AU88+1</f>
        <v>2027</v>
      </c>
      <c r="AW88" s="63">
        <f>AV88+1</f>
        <v>2028</v>
      </c>
      <c r="AX88" s="63">
        <f>AW88+1</f>
        <v>2029</v>
      </c>
      <c r="AY88" s="63">
        <f>AX88+1</f>
        <v>2030</v>
      </c>
      <c r="AZ88" s="63">
        <f>AY88+1</f>
        <v>2031</v>
      </c>
      <c r="BA88" s="63" t="s">
        <v>63</v>
      </c>
      <c r="BB88" s="63" t="s">
        <v>1177</v>
      </c>
      <c r="BC88" s="63" t="s">
        <v>103</v>
      </c>
    </row>
    <row r="89" spans="2:55" x14ac:dyDescent="0.2">
      <c r="B89" s="677" t="s">
        <v>49</v>
      </c>
      <c r="C89" s="677"/>
      <c r="E89" s="677" t="s">
        <v>58</v>
      </c>
      <c r="F89" s="677"/>
      <c r="AK89" s="66" t="s">
        <v>374</v>
      </c>
      <c r="AL89" s="384">
        <f>'2a. Patients - incident'!E53</f>
        <v>0</v>
      </c>
      <c r="AM89" s="384">
        <f>'2a. Patients - incident'!F53</f>
        <v>0</v>
      </c>
      <c r="AN89" s="384">
        <f>'2a. Patients - incident'!G53</f>
        <v>0</v>
      </c>
      <c r="AO89" s="384">
        <f>'2a. Patients - incident'!H53</f>
        <v>0</v>
      </c>
      <c r="AP89" s="384">
        <f>'2a. Patients - incident'!I53</f>
        <v>0</v>
      </c>
      <c r="AQ89" s="384">
        <f>'2a. Patients - incident'!J53</f>
        <v>0</v>
      </c>
      <c r="AR89" s="385">
        <f t="shared" ref="AR89:AR113" si="9">IF(AND(AR50&lt;&gt;"",AR50&lt;&gt;0),INDEX(ServiceSplitRPBS,AR50),"")</f>
        <v>0</v>
      </c>
      <c r="AT89" s="66" t="s">
        <v>1200</v>
      </c>
      <c r="AU89" s="384">
        <f ca="1">'2d. Patients - DTG'!N41</f>
        <v>0</v>
      </c>
      <c r="AV89" s="384">
        <f ca="1">'2d. Patients - DTG'!O41</f>
        <v>0</v>
      </c>
      <c r="AW89" s="384">
        <f ca="1">'2d. Patients - DTG'!P41</f>
        <v>0</v>
      </c>
      <c r="AX89" s="384">
        <f ca="1">'2d. Patients - DTG'!Q41</f>
        <v>0</v>
      </c>
      <c r="AY89" s="384">
        <f ca="1">'2d. Patients - DTG'!R41</f>
        <v>0</v>
      </c>
      <c r="AZ89" s="384">
        <f ca="1">'2d. Patients - DTG'!S41</f>
        <v>0</v>
      </c>
      <c r="BA89" s="384">
        <f>BA50</f>
        <v>0</v>
      </c>
      <c r="BB89" s="384">
        <f ca="1">BB50</f>
        <v>0</v>
      </c>
      <c r="BC89" s="385">
        <f t="shared" ref="BC89:BC113" ca="1" si="10">BC50</f>
        <v>0</v>
      </c>
    </row>
    <row r="90" spans="2:55" x14ac:dyDescent="0.2">
      <c r="B90" s="235" t="s">
        <v>49</v>
      </c>
      <c r="C90" s="235">
        <v>1</v>
      </c>
      <c r="E90" s="235" t="s">
        <v>1139</v>
      </c>
      <c r="F90" s="235">
        <v>1</v>
      </c>
      <c r="AK90" s="66" t="s">
        <v>375</v>
      </c>
      <c r="AL90" s="384">
        <f>'2a. Patients - incident'!E91</f>
        <v>0</v>
      </c>
      <c r="AM90" s="384">
        <f>'2a. Patients - incident'!F91</f>
        <v>0</v>
      </c>
      <c r="AN90" s="384">
        <f>'2a. Patients - incident'!G91</f>
        <v>0</v>
      </c>
      <c r="AO90" s="384">
        <f>'2a. Patients - incident'!H91</f>
        <v>0</v>
      </c>
      <c r="AP90" s="384">
        <f>'2a. Patients - incident'!I91</f>
        <v>0</v>
      </c>
      <c r="AQ90" s="384">
        <f>'2a. Patients - incident'!J91</f>
        <v>0</v>
      </c>
      <c r="AR90" s="385" t="str">
        <f t="shared" si="9"/>
        <v/>
      </c>
      <c r="AT90" s="66" t="s">
        <v>1201</v>
      </c>
      <c r="AU90" s="384">
        <f ca="1">'2d. Patients - DTG'!N63</f>
        <v>0</v>
      </c>
      <c r="AV90" s="384">
        <f ca="1">'2d. Patients - DTG'!O63</f>
        <v>0</v>
      </c>
      <c r="AW90" s="384">
        <f ca="1">'2d. Patients - DTG'!P63</f>
        <v>0</v>
      </c>
      <c r="AX90" s="384">
        <f ca="1">'2d. Patients - DTG'!Q63</f>
        <v>0</v>
      </c>
      <c r="AY90" s="384">
        <f ca="1">'2d. Patients - DTG'!R63</f>
        <v>0</v>
      </c>
      <c r="AZ90" s="384">
        <f ca="1">'2d. Patients - DTG'!S63</f>
        <v>0</v>
      </c>
      <c r="BA90" s="384">
        <f t="shared" ref="BA90:BB113" si="11">BA51</f>
        <v>0</v>
      </c>
      <c r="BB90" s="384">
        <f t="shared" ca="1" si="11"/>
        <v>0</v>
      </c>
      <c r="BC90" s="385">
        <f t="shared" ca="1" si="10"/>
        <v>0</v>
      </c>
    </row>
    <row r="91" spans="2:55" x14ac:dyDescent="0.2">
      <c r="B91" s="235" t="s">
        <v>1092</v>
      </c>
      <c r="C91" s="235">
        <v>2</v>
      </c>
      <c r="E91" s="235" t="s">
        <v>63</v>
      </c>
      <c r="F91" s="235">
        <v>2</v>
      </c>
      <c r="AK91" s="66" t="s">
        <v>376</v>
      </c>
      <c r="AL91" s="384">
        <f>'2a. Patients - incident'!E129</f>
        <v>0</v>
      </c>
      <c r="AM91" s="384">
        <f>'2a. Patients - incident'!F129</f>
        <v>0</v>
      </c>
      <c r="AN91" s="384">
        <f>'2a. Patients - incident'!G129</f>
        <v>0</v>
      </c>
      <c r="AO91" s="384">
        <f>'2a. Patients - incident'!H129</f>
        <v>0</v>
      </c>
      <c r="AP91" s="384">
        <f>'2a. Patients - incident'!I129</f>
        <v>0</v>
      </c>
      <c r="AQ91" s="384">
        <f>'2a. Patients - incident'!J129</f>
        <v>0</v>
      </c>
      <c r="AR91" s="385" t="str">
        <f t="shared" si="9"/>
        <v/>
      </c>
      <c r="AT91" s="66" t="s">
        <v>1202</v>
      </c>
      <c r="AU91" s="384">
        <f ca="1">'2d. Patients - DTG'!N85</f>
        <v>0</v>
      </c>
      <c r="AV91" s="384">
        <f ca="1">'2d. Patients - DTG'!O85</f>
        <v>0</v>
      </c>
      <c r="AW91" s="384">
        <f ca="1">'2d. Patients - DTG'!P85</f>
        <v>0</v>
      </c>
      <c r="AX91" s="384">
        <f ca="1">'2d. Patients - DTG'!Q85</f>
        <v>0</v>
      </c>
      <c r="AY91" s="384">
        <f ca="1">'2d. Patients - DTG'!R85</f>
        <v>0</v>
      </c>
      <c r="AZ91" s="384">
        <f ca="1">'2d. Patients - DTG'!S85</f>
        <v>0</v>
      </c>
      <c r="BA91" s="384">
        <f t="shared" si="11"/>
        <v>0</v>
      </c>
      <c r="BB91" s="384">
        <f t="shared" ca="1" si="11"/>
        <v>0</v>
      </c>
      <c r="BC91" s="385">
        <f t="shared" ca="1" si="10"/>
        <v>0</v>
      </c>
    </row>
    <row r="92" spans="2:55" x14ac:dyDescent="0.2">
      <c r="B92" s="235" t="s">
        <v>54</v>
      </c>
      <c r="C92" s="235">
        <v>0</v>
      </c>
      <c r="E92" s="235" t="s">
        <v>1140</v>
      </c>
      <c r="F92" s="235">
        <v>3</v>
      </c>
      <c r="AK92" s="66" t="s">
        <v>377</v>
      </c>
      <c r="AL92" s="384">
        <f>'2a. Patients - incident'!E167</f>
        <v>0</v>
      </c>
      <c r="AM92" s="384">
        <f>'2a. Patients - incident'!F167</f>
        <v>0</v>
      </c>
      <c r="AN92" s="384">
        <f>'2a. Patients - incident'!G167</f>
        <v>0</v>
      </c>
      <c r="AO92" s="384">
        <f>'2a. Patients - incident'!H167</f>
        <v>0</v>
      </c>
      <c r="AP92" s="384">
        <f>'2a. Patients - incident'!I167</f>
        <v>0</v>
      </c>
      <c r="AQ92" s="384">
        <f>'2a. Patients - incident'!J167</f>
        <v>0</v>
      </c>
      <c r="AR92" s="385" t="str">
        <f t="shared" si="9"/>
        <v/>
      </c>
      <c r="AT92" s="66" t="s">
        <v>1203</v>
      </c>
      <c r="AU92" s="384">
        <f ca="1">'2d. Patients - DTG'!N107</f>
        <v>0</v>
      </c>
      <c r="AV92" s="384">
        <f ca="1">'2d. Patients - DTG'!O107</f>
        <v>0</v>
      </c>
      <c r="AW92" s="384">
        <f ca="1">'2d. Patients - DTG'!P107</f>
        <v>0</v>
      </c>
      <c r="AX92" s="384">
        <f ca="1">'2d. Patients - DTG'!Q107</f>
        <v>0</v>
      </c>
      <c r="AY92" s="384">
        <f ca="1">'2d. Patients - DTG'!R107</f>
        <v>0</v>
      </c>
      <c r="AZ92" s="384">
        <f ca="1">'2d. Patients - DTG'!S107</f>
        <v>0</v>
      </c>
      <c r="BA92" s="384">
        <f t="shared" si="11"/>
        <v>0</v>
      </c>
      <c r="BB92" s="384">
        <f t="shared" ca="1" si="11"/>
        <v>0</v>
      </c>
      <c r="BC92" s="385">
        <f t="shared" ca="1" si="10"/>
        <v>0</v>
      </c>
    </row>
    <row r="93" spans="2:55" x14ac:dyDescent="0.2">
      <c r="E93" s="235"/>
      <c r="F93" s="235"/>
      <c r="AK93" s="66" t="s">
        <v>378</v>
      </c>
      <c r="AL93" s="384">
        <f>'2a. Patients - incident'!E205</f>
        <v>0</v>
      </c>
      <c r="AM93" s="384">
        <f>'2a. Patients - incident'!F205</f>
        <v>0</v>
      </c>
      <c r="AN93" s="384">
        <f>'2a. Patients - incident'!G205</f>
        <v>0</v>
      </c>
      <c r="AO93" s="384">
        <f>'2a. Patients - incident'!H205</f>
        <v>0</v>
      </c>
      <c r="AP93" s="384">
        <f>'2a. Patients - incident'!I205</f>
        <v>0</v>
      </c>
      <c r="AQ93" s="384">
        <f>'2a. Patients - incident'!J205</f>
        <v>0</v>
      </c>
      <c r="AR93" s="385" t="str">
        <f t="shared" si="9"/>
        <v/>
      </c>
      <c r="AT93" s="66" t="s">
        <v>1204</v>
      </c>
      <c r="AU93" s="384">
        <f ca="1">'2d. Patients - DTG'!N129</f>
        <v>0</v>
      </c>
      <c r="AV93" s="384">
        <f ca="1">'2d. Patients - DTG'!O129</f>
        <v>0</v>
      </c>
      <c r="AW93" s="384">
        <f ca="1">'2d. Patients - DTG'!P129</f>
        <v>0</v>
      </c>
      <c r="AX93" s="384">
        <f ca="1">'2d. Patients - DTG'!Q129</f>
        <v>0</v>
      </c>
      <c r="AY93" s="384">
        <f ca="1">'2d. Patients - DTG'!R129</f>
        <v>0</v>
      </c>
      <c r="AZ93" s="384">
        <f ca="1">'2d. Patients - DTG'!S129</f>
        <v>0</v>
      </c>
      <c r="BA93" s="384">
        <f t="shared" si="11"/>
        <v>0</v>
      </c>
      <c r="BB93" s="384">
        <f t="shared" ca="1" si="11"/>
        <v>0</v>
      </c>
      <c r="BC93" s="385">
        <f t="shared" ca="1" si="10"/>
        <v>0</v>
      </c>
    </row>
    <row r="94" spans="2:55" x14ac:dyDescent="0.2">
      <c r="AK94" s="66" t="s">
        <v>379</v>
      </c>
      <c r="AL94" s="384">
        <f>'2a. Patients - incident'!E243</f>
        <v>0</v>
      </c>
      <c r="AM94" s="384">
        <f>'2a. Patients - incident'!F243</f>
        <v>0</v>
      </c>
      <c r="AN94" s="384">
        <f>'2a. Patients - incident'!G243</f>
        <v>0</v>
      </c>
      <c r="AO94" s="384">
        <f>'2a. Patients - incident'!H243</f>
        <v>0</v>
      </c>
      <c r="AP94" s="384">
        <f>'2a. Patients - incident'!I243</f>
        <v>0</v>
      </c>
      <c r="AQ94" s="384">
        <f>'2a. Patients - incident'!J243</f>
        <v>0</v>
      </c>
      <c r="AR94" s="385" t="str">
        <f t="shared" si="9"/>
        <v/>
      </c>
      <c r="AT94" s="66" t="s">
        <v>1205</v>
      </c>
      <c r="AU94" s="384">
        <f ca="1">'2d. Patients - DTG'!N151</f>
        <v>0</v>
      </c>
      <c r="AV94" s="384">
        <f ca="1">'2d. Patients - DTG'!O151</f>
        <v>0</v>
      </c>
      <c r="AW94" s="384">
        <f ca="1">'2d. Patients - DTG'!P151</f>
        <v>0</v>
      </c>
      <c r="AX94" s="384">
        <f ca="1">'2d. Patients - DTG'!Q151</f>
        <v>0</v>
      </c>
      <c r="AY94" s="384">
        <f ca="1">'2d. Patients - DTG'!R151</f>
        <v>0</v>
      </c>
      <c r="AZ94" s="384">
        <f ca="1">'2d. Patients - DTG'!S151</f>
        <v>0</v>
      </c>
      <c r="BA94" s="384">
        <f t="shared" si="11"/>
        <v>0</v>
      </c>
      <c r="BB94" s="384">
        <f t="shared" ca="1" si="11"/>
        <v>0</v>
      </c>
      <c r="BC94" s="385">
        <f t="shared" ca="1" si="10"/>
        <v>0</v>
      </c>
    </row>
    <row r="95" spans="2:55" x14ac:dyDescent="0.2">
      <c r="AK95" s="66" t="s">
        <v>380</v>
      </c>
      <c r="AL95" s="384">
        <f>'2a. Patients - incident'!E281</f>
        <v>0</v>
      </c>
      <c r="AM95" s="384">
        <f>'2a. Patients - incident'!F281</f>
        <v>0</v>
      </c>
      <c r="AN95" s="384">
        <f>'2a. Patients - incident'!G281</f>
        <v>0</v>
      </c>
      <c r="AO95" s="384">
        <f>'2a. Patients - incident'!H281</f>
        <v>0</v>
      </c>
      <c r="AP95" s="384">
        <f>'2a. Patients - incident'!I281</f>
        <v>0</v>
      </c>
      <c r="AQ95" s="384">
        <f>'2a. Patients - incident'!J281</f>
        <v>0</v>
      </c>
      <c r="AR95" s="385" t="str">
        <f t="shared" si="9"/>
        <v/>
      </c>
      <c r="AT95" s="66" t="s">
        <v>1206</v>
      </c>
      <c r="AU95" s="384">
        <f ca="1">'2d. Patients - DTG'!N173</f>
        <v>0</v>
      </c>
      <c r="AV95" s="384">
        <f ca="1">'2d. Patients - DTG'!O173</f>
        <v>0</v>
      </c>
      <c r="AW95" s="384">
        <f ca="1">'2d. Patients - DTG'!P173</f>
        <v>0</v>
      </c>
      <c r="AX95" s="384">
        <f ca="1">'2d. Patients - DTG'!Q173</f>
        <v>0</v>
      </c>
      <c r="AY95" s="384">
        <f ca="1">'2d. Patients - DTG'!R173</f>
        <v>0</v>
      </c>
      <c r="AZ95" s="384">
        <f ca="1">'2d. Patients - DTG'!S173</f>
        <v>0</v>
      </c>
      <c r="BA95" s="384">
        <f t="shared" si="11"/>
        <v>0</v>
      </c>
      <c r="BB95" s="384">
        <f t="shared" ca="1" si="11"/>
        <v>0</v>
      </c>
      <c r="BC95" s="385">
        <f t="shared" ca="1" si="10"/>
        <v>0</v>
      </c>
    </row>
    <row r="96" spans="2:55" x14ac:dyDescent="0.2">
      <c r="AK96" s="66" t="s">
        <v>381</v>
      </c>
      <c r="AL96" s="384">
        <f>'2a. Patients - incident'!E319</f>
        <v>0</v>
      </c>
      <c r="AM96" s="384">
        <f>'2a. Patients - incident'!F319</f>
        <v>0</v>
      </c>
      <c r="AN96" s="384">
        <f>'2a. Patients - incident'!G319</f>
        <v>0</v>
      </c>
      <c r="AO96" s="384">
        <f>'2a. Patients - incident'!H319</f>
        <v>0</v>
      </c>
      <c r="AP96" s="384">
        <f>'2a. Patients - incident'!I319</f>
        <v>0</v>
      </c>
      <c r="AQ96" s="384">
        <f>'2a. Patients - incident'!J319</f>
        <v>0</v>
      </c>
      <c r="AR96" s="385" t="str">
        <f t="shared" si="9"/>
        <v/>
      </c>
      <c r="AT96" s="66" t="s">
        <v>1207</v>
      </c>
      <c r="AU96" s="384">
        <f ca="1">'2d. Patients - DTG'!N195</f>
        <v>0</v>
      </c>
      <c r="AV96" s="384">
        <f ca="1">'2d. Patients - DTG'!O195</f>
        <v>0</v>
      </c>
      <c r="AW96" s="384">
        <f ca="1">'2d. Patients - DTG'!P195</f>
        <v>0</v>
      </c>
      <c r="AX96" s="384">
        <f ca="1">'2d. Patients - DTG'!Q195</f>
        <v>0</v>
      </c>
      <c r="AY96" s="384">
        <f ca="1">'2d. Patients - DTG'!R195</f>
        <v>0</v>
      </c>
      <c r="AZ96" s="384">
        <f ca="1">'2d. Patients - DTG'!S195</f>
        <v>0</v>
      </c>
      <c r="BA96" s="384">
        <f t="shared" si="11"/>
        <v>0</v>
      </c>
      <c r="BB96" s="384">
        <f t="shared" ca="1" si="11"/>
        <v>0</v>
      </c>
      <c r="BC96" s="385">
        <f t="shared" ca="1" si="10"/>
        <v>0</v>
      </c>
    </row>
    <row r="97" spans="2:55" x14ac:dyDescent="0.2">
      <c r="AK97" s="66" t="s">
        <v>382</v>
      </c>
      <c r="AL97" s="384">
        <f>'2a. Patients - incident'!E357</f>
        <v>0</v>
      </c>
      <c r="AM97" s="384">
        <f>'2a. Patients - incident'!F357</f>
        <v>0</v>
      </c>
      <c r="AN97" s="384">
        <f>'2a. Patients - incident'!G357</f>
        <v>0</v>
      </c>
      <c r="AO97" s="384">
        <f>'2a. Patients - incident'!H357</f>
        <v>0</v>
      </c>
      <c r="AP97" s="384">
        <f>'2a. Patients - incident'!I357</f>
        <v>0</v>
      </c>
      <c r="AQ97" s="384">
        <f>'2a. Patients - incident'!J357</f>
        <v>0</v>
      </c>
      <c r="AR97" s="385" t="str">
        <f t="shared" si="9"/>
        <v/>
      </c>
      <c r="AT97" s="66" t="s">
        <v>1208</v>
      </c>
      <c r="AU97" s="384">
        <f ca="1">'2d. Patients - DTG'!N217</f>
        <v>0</v>
      </c>
      <c r="AV97" s="384">
        <f ca="1">'2d. Patients - DTG'!O217</f>
        <v>0</v>
      </c>
      <c r="AW97" s="384">
        <f ca="1">'2d. Patients - DTG'!P217</f>
        <v>0</v>
      </c>
      <c r="AX97" s="384">
        <f ca="1">'2d. Patients - DTG'!Q217</f>
        <v>0</v>
      </c>
      <c r="AY97" s="384">
        <f ca="1">'2d. Patients - DTG'!R217</f>
        <v>0</v>
      </c>
      <c r="AZ97" s="384">
        <f ca="1">'2d. Patients - DTG'!S217</f>
        <v>0</v>
      </c>
      <c r="BA97" s="384">
        <f t="shared" si="11"/>
        <v>0</v>
      </c>
      <c r="BB97" s="384">
        <f t="shared" ca="1" si="11"/>
        <v>0</v>
      </c>
      <c r="BC97" s="385">
        <f t="shared" ca="1" si="10"/>
        <v>0</v>
      </c>
    </row>
    <row r="98" spans="2:55" x14ac:dyDescent="0.2">
      <c r="AK98" s="66" t="s">
        <v>383</v>
      </c>
      <c r="AL98" s="384">
        <f>'2a. Patients - incident'!E395</f>
        <v>0</v>
      </c>
      <c r="AM98" s="384">
        <f>'2a. Patients - incident'!F395</f>
        <v>0</v>
      </c>
      <c r="AN98" s="384">
        <f>'2a. Patients - incident'!G395</f>
        <v>0</v>
      </c>
      <c r="AO98" s="384">
        <f>'2a. Patients - incident'!H395</f>
        <v>0</v>
      </c>
      <c r="AP98" s="384">
        <f>'2a. Patients - incident'!I395</f>
        <v>0</v>
      </c>
      <c r="AQ98" s="384">
        <f>'2a. Patients - incident'!J395</f>
        <v>0</v>
      </c>
      <c r="AR98" s="385" t="str">
        <f t="shared" si="9"/>
        <v/>
      </c>
      <c r="AT98" s="66" t="s">
        <v>1209</v>
      </c>
      <c r="AU98" s="384">
        <f ca="1">'2d. Patients - DTG'!N239</f>
        <v>0</v>
      </c>
      <c r="AV98" s="384">
        <f ca="1">'2d. Patients - DTG'!O239</f>
        <v>0</v>
      </c>
      <c r="AW98" s="384">
        <f ca="1">'2d. Patients - DTG'!P239</f>
        <v>0</v>
      </c>
      <c r="AX98" s="384">
        <f ca="1">'2d. Patients - DTG'!Q239</f>
        <v>0</v>
      </c>
      <c r="AY98" s="384">
        <f ca="1">'2d. Patients - DTG'!R239</f>
        <v>0</v>
      </c>
      <c r="AZ98" s="384">
        <f ca="1">'2d. Patients - DTG'!S239</f>
        <v>0</v>
      </c>
      <c r="BA98" s="384">
        <f t="shared" si="11"/>
        <v>0</v>
      </c>
      <c r="BB98" s="384">
        <f t="shared" ca="1" si="11"/>
        <v>0</v>
      </c>
      <c r="BC98" s="385">
        <f t="shared" ca="1" si="10"/>
        <v>0</v>
      </c>
    </row>
    <row r="99" spans="2:55" x14ac:dyDescent="0.2">
      <c r="AK99" s="66" t="s">
        <v>384</v>
      </c>
      <c r="AL99" s="384">
        <f>'2b. Patients - prevalent'!E53</f>
        <v>0</v>
      </c>
      <c r="AM99" s="384">
        <f>'2b. Patients - prevalent'!F53</f>
        <v>0</v>
      </c>
      <c r="AN99" s="384">
        <f>'2b. Patients - prevalent'!G53</f>
        <v>0</v>
      </c>
      <c r="AO99" s="384">
        <f>'2b. Patients - prevalent'!H53</f>
        <v>0</v>
      </c>
      <c r="AP99" s="384">
        <f>'2b. Patients - prevalent'!I53</f>
        <v>0</v>
      </c>
      <c r="AQ99" s="384">
        <f>'2b. Patients - prevalent'!J53</f>
        <v>0</v>
      </c>
      <c r="AR99" s="385" t="str">
        <f t="shared" si="9"/>
        <v/>
      </c>
      <c r="AT99" s="66" t="s">
        <v>1210</v>
      </c>
      <c r="AU99" s="384">
        <f ca="1">'2d. Patients - DTG'!N261</f>
        <v>0</v>
      </c>
      <c r="AV99" s="384">
        <f ca="1">'2d. Patients - DTG'!O261</f>
        <v>0</v>
      </c>
      <c r="AW99" s="384">
        <f ca="1">'2d. Patients - DTG'!P261</f>
        <v>0</v>
      </c>
      <c r="AX99" s="384">
        <f ca="1">'2d. Patients - DTG'!Q261</f>
        <v>0</v>
      </c>
      <c r="AY99" s="384">
        <f ca="1">'2d. Patients - DTG'!R261</f>
        <v>0</v>
      </c>
      <c r="AZ99" s="384">
        <f ca="1">'2d. Patients - DTG'!S261</f>
        <v>0</v>
      </c>
      <c r="BA99" s="384">
        <f t="shared" si="11"/>
        <v>0</v>
      </c>
      <c r="BB99" s="384">
        <f t="shared" ca="1" si="11"/>
        <v>0</v>
      </c>
      <c r="BC99" s="385">
        <f t="shared" ca="1" si="10"/>
        <v>0</v>
      </c>
    </row>
    <row r="100" spans="2:55" x14ac:dyDescent="0.2">
      <c r="AK100" s="66" t="s">
        <v>385</v>
      </c>
      <c r="AL100" s="384">
        <f>'2b. Patients - prevalent'!E91</f>
        <v>0</v>
      </c>
      <c r="AM100" s="384">
        <f>'2b. Patients - prevalent'!F91</f>
        <v>0</v>
      </c>
      <c r="AN100" s="384">
        <f>'2b. Patients - prevalent'!G91</f>
        <v>0</v>
      </c>
      <c r="AO100" s="384">
        <f>'2b. Patients - prevalent'!H91</f>
        <v>0</v>
      </c>
      <c r="AP100" s="384">
        <f>'2b. Patients - prevalent'!I91</f>
        <v>0</v>
      </c>
      <c r="AQ100" s="384">
        <f>'2b. Patients - prevalent'!J91</f>
        <v>0</v>
      </c>
      <c r="AR100" s="385" t="str">
        <f t="shared" si="9"/>
        <v/>
      </c>
      <c r="AT100" s="66" t="s">
        <v>1211</v>
      </c>
      <c r="AU100" s="384">
        <f ca="1">'2d. Patients - DTG'!N283</f>
        <v>0</v>
      </c>
      <c r="AV100" s="384">
        <f ca="1">'2d. Patients - DTG'!O283</f>
        <v>0</v>
      </c>
      <c r="AW100" s="384">
        <f ca="1">'2d. Patients - DTG'!P283</f>
        <v>0</v>
      </c>
      <c r="AX100" s="384">
        <f ca="1">'2d. Patients - DTG'!Q283</f>
        <v>0</v>
      </c>
      <c r="AY100" s="384">
        <f ca="1">'2d. Patients - DTG'!R283</f>
        <v>0</v>
      </c>
      <c r="AZ100" s="384">
        <f ca="1">'2d. Patients - DTG'!S283</f>
        <v>0</v>
      </c>
      <c r="BA100" s="384">
        <f t="shared" si="11"/>
        <v>0</v>
      </c>
      <c r="BB100" s="384">
        <f t="shared" ca="1" si="11"/>
        <v>0</v>
      </c>
      <c r="BC100" s="385">
        <f t="shared" ca="1" si="10"/>
        <v>0</v>
      </c>
    </row>
    <row r="101" spans="2:55" x14ac:dyDescent="0.2">
      <c r="B101" s="677" t="s">
        <v>1094</v>
      </c>
      <c r="C101" s="677"/>
      <c r="E101" s="677" t="s">
        <v>1031</v>
      </c>
      <c r="F101" s="677"/>
      <c r="AK101" s="66" t="s">
        <v>386</v>
      </c>
      <c r="AL101" s="384">
        <f>'2b. Patients - prevalent'!E129</f>
        <v>0</v>
      </c>
      <c r="AM101" s="384">
        <f>'2b. Patients - prevalent'!F129</f>
        <v>0</v>
      </c>
      <c r="AN101" s="384">
        <f>'2b. Patients - prevalent'!G129</f>
        <v>0</v>
      </c>
      <c r="AO101" s="384">
        <f>'2b. Patients - prevalent'!H129</f>
        <v>0</v>
      </c>
      <c r="AP101" s="384">
        <f>'2b. Patients - prevalent'!I129</f>
        <v>0</v>
      </c>
      <c r="AQ101" s="384">
        <f>'2b. Patients - prevalent'!J129</f>
        <v>0</v>
      </c>
      <c r="AR101" s="385" t="str">
        <f t="shared" si="9"/>
        <v/>
      </c>
      <c r="AT101" s="66" t="s">
        <v>1212</v>
      </c>
      <c r="AU101" s="384">
        <f ca="1">'2d. Patients - DTG'!N305</f>
        <v>0</v>
      </c>
      <c r="AV101" s="384">
        <f ca="1">'2d. Patients - DTG'!O305</f>
        <v>0</v>
      </c>
      <c r="AW101" s="384">
        <f ca="1">'2d. Patients - DTG'!P305</f>
        <v>0</v>
      </c>
      <c r="AX101" s="384">
        <f ca="1">'2d. Patients - DTG'!Q305</f>
        <v>0</v>
      </c>
      <c r="AY101" s="384">
        <f ca="1">'2d. Patients - DTG'!R305</f>
        <v>0</v>
      </c>
      <c r="AZ101" s="384">
        <f ca="1">'2d. Patients - DTG'!S305</f>
        <v>0</v>
      </c>
      <c r="BA101" s="384">
        <f t="shared" si="11"/>
        <v>0</v>
      </c>
      <c r="BB101" s="384">
        <f t="shared" ca="1" si="11"/>
        <v>0</v>
      </c>
      <c r="BC101" s="385">
        <f t="shared" ca="1" si="10"/>
        <v>0</v>
      </c>
    </row>
    <row r="102" spans="2:55" x14ac:dyDescent="0.2">
      <c r="B102" s="235" t="s">
        <v>1095</v>
      </c>
      <c r="C102" s="235">
        <v>1</v>
      </c>
      <c r="E102" s="235" t="s">
        <v>1032</v>
      </c>
      <c r="F102" s="235">
        <v>1</v>
      </c>
      <c r="AK102" s="66" t="s">
        <v>387</v>
      </c>
      <c r="AL102" s="384">
        <f>'2b. Patients - prevalent'!E167</f>
        <v>0</v>
      </c>
      <c r="AM102" s="384">
        <f>'2b. Patients - prevalent'!F167</f>
        <v>0</v>
      </c>
      <c r="AN102" s="384">
        <f>'2b. Patients - prevalent'!G167</f>
        <v>0</v>
      </c>
      <c r="AO102" s="384">
        <f>'2b. Patients - prevalent'!H167</f>
        <v>0</v>
      </c>
      <c r="AP102" s="384">
        <f>'2b. Patients - prevalent'!I167</f>
        <v>0</v>
      </c>
      <c r="AQ102" s="384">
        <f>'2b. Patients - prevalent'!J167</f>
        <v>0</v>
      </c>
      <c r="AR102" s="385" t="str">
        <f t="shared" si="9"/>
        <v/>
      </c>
      <c r="AT102" s="66" t="s">
        <v>1213</v>
      </c>
      <c r="AU102" s="384">
        <f ca="1">'2d. Patients - DTG'!N327</f>
        <v>0</v>
      </c>
      <c r="AV102" s="384">
        <f ca="1">'2d. Patients - DTG'!O327</f>
        <v>0</v>
      </c>
      <c r="AW102" s="384">
        <f ca="1">'2d. Patients - DTG'!P327</f>
        <v>0</v>
      </c>
      <c r="AX102" s="384">
        <f ca="1">'2d. Patients - DTG'!Q327</f>
        <v>0</v>
      </c>
      <c r="AY102" s="384">
        <f ca="1">'2d. Patients - DTG'!R327</f>
        <v>0</v>
      </c>
      <c r="AZ102" s="384">
        <f ca="1">'2d. Patients - DTG'!S327</f>
        <v>0</v>
      </c>
      <c r="BA102" s="384">
        <f t="shared" si="11"/>
        <v>0</v>
      </c>
      <c r="BB102" s="384">
        <f t="shared" ca="1" si="11"/>
        <v>0</v>
      </c>
      <c r="BC102" s="385">
        <f t="shared" ca="1" si="10"/>
        <v>0</v>
      </c>
    </row>
    <row r="103" spans="2:55" x14ac:dyDescent="0.2">
      <c r="B103" s="235" t="s">
        <v>1096</v>
      </c>
      <c r="C103" s="235">
        <v>2</v>
      </c>
      <c r="E103" s="235" t="s">
        <v>1033</v>
      </c>
      <c r="F103" s="235">
        <v>2</v>
      </c>
      <c r="AK103" s="66" t="s">
        <v>388</v>
      </c>
      <c r="AL103" s="384">
        <f>'2b. Patients - prevalent'!E205</f>
        <v>0</v>
      </c>
      <c r="AM103" s="384">
        <f>'2b. Patients - prevalent'!F205</f>
        <v>0</v>
      </c>
      <c r="AN103" s="384">
        <f>'2b. Patients - prevalent'!G205</f>
        <v>0</v>
      </c>
      <c r="AO103" s="384">
        <f>'2b. Patients - prevalent'!H205</f>
        <v>0</v>
      </c>
      <c r="AP103" s="384">
        <f>'2b. Patients - prevalent'!I205</f>
        <v>0</v>
      </c>
      <c r="AQ103" s="384">
        <f>'2b. Patients - prevalent'!J205</f>
        <v>0</v>
      </c>
      <c r="AR103" s="385" t="str">
        <f t="shared" si="9"/>
        <v/>
      </c>
      <c r="AT103" s="66" t="s">
        <v>1214</v>
      </c>
      <c r="AU103" s="384">
        <f ca="1">'2d. Patients - DTG'!N349</f>
        <v>0</v>
      </c>
      <c r="AV103" s="384">
        <f ca="1">'2d. Patients - DTG'!O349</f>
        <v>0</v>
      </c>
      <c r="AW103" s="384">
        <f ca="1">'2d. Patients - DTG'!P349</f>
        <v>0</v>
      </c>
      <c r="AX103" s="384">
        <f ca="1">'2d. Patients - DTG'!Q349</f>
        <v>0</v>
      </c>
      <c r="AY103" s="384">
        <f ca="1">'2d. Patients - DTG'!R349</f>
        <v>0</v>
      </c>
      <c r="AZ103" s="384">
        <f ca="1">'2d. Patients - DTG'!S349</f>
        <v>0</v>
      </c>
      <c r="BA103" s="384">
        <f t="shared" si="11"/>
        <v>0</v>
      </c>
      <c r="BB103" s="384">
        <f t="shared" ca="1" si="11"/>
        <v>0</v>
      </c>
      <c r="BC103" s="385">
        <f t="shared" ca="1" si="10"/>
        <v>0</v>
      </c>
    </row>
    <row r="104" spans="2:55" x14ac:dyDescent="0.2">
      <c r="B104" s="235" t="s">
        <v>1097</v>
      </c>
      <c r="C104" s="235">
        <v>3</v>
      </c>
      <c r="AK104" s="66" t="s">
        <v>389</v>
      </c>
      <c r="AL104" s="384">
        <f>'2b. Patients - prevalent'!E243</f>
        <v>0</v>
      </c>
      <c r="AM104" s="384">
        <f>'2b. Patients - prevalent'!F243</f>
        <v>0</v>
      </c>
      <c r="AN104" s="384">
        <f>'2b. Patients - prevalent'!G243</f>
        <v>0</v>
      </c>
      <c r="AO104" s="384">
        <f>'2b. Patients - prevalent'!H243</f>
        <v>0</v>
      </c>
      <c r="AP104" s="384">
        <f>'2b. Patients - prevalent'!I243</f>
        <v>0</v>
      </c>
      <c r="AQ104" s="384">
        <f>'2b. Patients - prevalent'!J243</f>
        <v>0</v>
      </c>
      <c r="AR104" s="385" t="str">
        <f t="shared" si="9"/>
        <v/>
      </c>
      <c r="AT104" s="66" t="s">
        <v>1215</v>
      </c>
      <c r="AU104" s="384">
        <f ca="1">'2d. Patients - DTG'!N371</f>
        <v>0</v>
      </c>
      <c r="AV104" s="384">
        <f ca="1">'2d. Patients - DTG'!O371</f>
        <v>0</v>
      </c>
      <c r="AW104" s="384">
        <f ca="1">'2d. Patients - DTG'!P371</f>
        <v>0</v>
      </c>
      <c r="AX104" s="384">
        <f ca="1">'2d. Patients - DTG'!Q371</f>
        <v>0</v>
      </c>
      <c r="AY104" s="384">
        <f ca="1">'2d. Patients - DTG'!R371</f>
        <v>0</v>
      </c>
      <c r="AZ104" s="384">
        <f ca="1">'2d. Patients - DTG'!S371</f>
        <v>0</v>
      </c>
      <c r="BA104" s="384">
        <f t="shared" si="11"/>
        <v>0</v>
      </c>
      <c r="BB104" s="384">
        <f t="shared" ca="1" si="11"/>
        <v>0</v>
      </c>
      <c r="BC104" s="385">
        <f t="shared" ca="1" si="10"/>
        <v>0</v>
      </c>
    </row>
    <row r="105" spans="2:55" x14ac:dyDescent="0.2">
      <c r="B105" s="235" t="s">
        <v>1098</v>
      </c>
      <c r="C105" s="235">
        <v>4</v>
      </c>
      <c r="AK105" s="66" t="s">
        <v>390</v>
      </c>
      <c r="AL105" s="384">
        <f>'2b. Patients - prevalent'!E281</f>
        <v>0</v>
      </c>
      <c r="AM105" s="384">
        <f>'2b. Patients - prevalent'!F281</f>
        <v>0</v>
      </c>
      <c r="AN105" s="384">
        <f>'2b. Patients - prevalent'!G281</f>
        <v>0</v>
      </c>
      <c r="AO105" s="384">
        <f>'2b. Patients - prevalent'!H281</f>
        <v>0</v>
      </c>
      <c r="AP105" s="384">
        <f>'2b. Patients - prevalent'!I281</f>
        <v>0</v>
      </c>
      <c r="AQ105" s="384">
        <f>'2b. Patients - prevalent'!J281</f>
        <v>0</v>
      </c>
      <c r="AR105" s="385" t="str">
        <f t="shared" si="9"/>
        <v/>
      </c>
      <c r="AT105" s="66" t="s">
        <v>1216</v>
      </c>
      <c r="AU105" s="384">
        <f ca="1">'2d. Patients - DTG'!N393</f>
        <v>0</v>
      </c>
      <c r="AV105" s="384">
        <f ca="1">'2d. Patients - DTG'!O393</f>
        <v>0</v>
      </c>
      <c r="AW105" s="384">
        <f ca="1">'2d. Patients - DTG'!P393</f>
        <v>0</v>
      </c>
      <c r="AX105" s="384">
        <f ca="1">'2d. Patients - DTG'!Q393</f>
        <v>0</v>
      </c>
      <c r="AY105" s="384">
        <f ca="1">'2d. Patients - DTG'!R393</f>
        <v>0</v>
      </c>
      <c r="AZ105" s="384">
        <f ca="1">'2d. Patients - DTG'!S393</f>
        <v>0</v>
      </c>
      <c r="BA105" s="384">
        <f t="shared" si="11"/>
        <v>0</v>
      </c>
      <c r="BB105" s="384">
        <f t="shared" ca="1" si="11"/>
        <v>0</v>
      </c>
      <c r="BC105" s="385">
        <f t="shared" ca="1" si="10"/>
        <v>0</v>
      </c>
    </row>
    <row r="106" spans="2:55" x14ac:dyDescent="0.2">
      <c r="AK106" s="66" t="s">
        <v>391</v>
      </c>
      <c r="AL106" s="384">
        <f>'2b. Patients - prevalent'!E319</f>
        <v>0</v>
      </c>
      <c r="AM106" s="384">
        <f>'2b. Patients - prevalent'!F319</f>
        <v>0</v>
      </c>
      <c r="AN106" s="384">
        <f>'2b. Patients - prevalent'!G319</f>
        <v>0</v>
      </c>
      <c r="AO106" s="384">
        <f>'2b. Patients - prevalent'!H319</f>
        <v>0</v>
      </c>
      <c r="AP106" s="384">
        <f>'2b. Patients - prevalent'!I319</f>
        <v>0</v>
      </c>
      <c r="AQ106" s="384">
        <f>'2b. Patients - prevalent'!J319</f>
        <v>0</v>
      </c>
      <c r="AR106" s="385" t="str">
        <f t="shared" si="9"/>
        <v/>
      </c>
      <c r="AT106" s="66" t="s">
        <v>1217</v>
      </c>
      <c r="AU106" s="384">
        <f ca="1">'2d. Patients - DTG'!N415</f>
        <v>0</v>
      </c>
      <c r="AV106" s="384">
        <f ca="1">'2d. Patients - DTG'!O415</f>
        <v>0</v>
      </c>
      <c r="AW106" s="384">
        <f ca="1">'2d. Patients - DTG'!P415</f>
        <v>0</v>
      </c>
      <c r="AX106" s="384">
        <f ca="1">'2d. Patients - DTG'!Q415</f>
        <v>0</v>
      </c>
      <c r="AY106" s="384">
        <f ca="1">'2d. Patients - DTG'!R415</f>
        <v>0</v>
      </c>
      <c r="AZ106" s="384">
        <f ca="1">'2d. Patients - DTG'!S415</f>
        <v>0</v>
      </c>
      <c r="BA106" s="384">
        <f t="shared" si="11"/>
        <v>0</v>
      </c>
      <c r="BB106" s="384">
        <f t="shared" ca="1" si="11"/>
        <v>0</v>
      </c>
      <c r="BC106" s="385">
        <f t="shared" ca="1" si="10"/>
        <v>0</v>
      </c>
    </row>
    <row r="107" spans="2:55" x14ac:dyDescent="0.2">
      <c r="AK107" s="66" t="s">
        <v>392</v>
      </c>
      <c r="AL107" s="384">
        <f>'2b. Patients - prevalent'!E357</f>
        <v>0</v>
      </c>
      <c r="AM107" s="384">
        <f>'2b. Patients - prevalent'!F357</f>
        <v>0</v>
      </c>
      <c r="AN107" s="384">
        <f>'2b. Patients - prevalent'!G357</f>
        <v>0</v>
      </c>
      <c r="AO107" s="384">
        <f>'2b. Patients - prevalent'!H357</f>
        <v>0</v>
      </c>
      <c r="AP107" s="384">
        <f>'2b. Patients - prevalent'!I357</f>
        <v>0</v>
      </c>
      <c r="AQ107" s="384">
        <f>'2b. Patients - prevalent'!J357</f>
        <v>0</v>
      </c>
      <c r="AR107" s="385" t="str">
        <f t="shared" si="9"/>
        <v/>
      </c>
      <c r="AT107" s="66" t="s">
        <v>1218</v>
      </c>
      <c r="AU107" s="384">
        <f ca="1">'2d. Patients - DTG'!N437</f>
        <v>0</v>
      </c>
      <c r="AV107" s="384">
        <f ca="1">'2d. Patients - DTG'!O437</f>
        <v>0</v>
      </c>
      <c r="AW107" s="384">
        <f ca="1">'2d. Patients - DTG'!P437</f>
        <v>0</v>
      </c>
      <c r="AX107" s="384">
        <f ca="1">'2d. Patients - DTG'!Q437</f>
        <v>0</v>
      </c>
      <c r="AY107" s="384">
        <f ca="1">'2d. Patients - DTG'!R437</f>
        <v>0</v>
      </c>
      <c r="AZ107" s="384">
        <f ca="1">'2d. Patients - DTG'!S437</f>
        <v>0</v>
      </c>
      <c r="BA107" s="384">
        <f t="shared" si="11"/>
        <v>0</v>
      </c>
      <c r="BB107" s="384">
        <f t="shared" ca="1" si="11"/>
        <v>0</v>
      </c>
      <c r="BC107" s="385">
        <f t="shared" ca="1" si="10"/>
        <v>0</v>
      </c>
    </row>
    <row r="108" spans="2:55" x14ac:dyDescent="0.2">
      <c r="AK108" s="66" t="s">
        <v>393</v>
      </c>
      <c r="AL108" s="384">
        <f>'2b. Patients - prevalent'!E395</f>
        <v>0</v>
      </c>
      <c r="AM108" s="384">
        <f>'2b. Patients - prevalent'!F395</f>
        <v>0</v>
      </c>
      <c r="AN108" s="384">
        <f>'2b. Patients - prevalent'!G395</f>
        <v>0</v>
      </c>
      <c r="AO108" s="384">
        <f>'2b. Patients - prevalent'!H395</f>
        <v>0</v>
      </c>
      <c r="AP108" s="384">
        <f>'2b. Patients - prevalent'!I395</f>
        <v>0</v>
      </c>
      <c r="AQ108" s="384">
        <f>'2b. Patients - prevalent'!J395</f>
        <v>0</v>
      </c>
      <c r="AR108" s="385" t="str">
        <f t="shared" si="9"/>
        <v/>
      </c>
      <c r="AT108" s="66" t="s">
        <v>1219</v>
      </c>
      <c r="AU108" s="384">
        <f ca="1">'2d. Patients - DTG'!N459</f>
        <v>0</v>
      </c>
      <c r="AV108" s="384">
        <f ca="1">'2d. Patients - DTG'!O459</f>
        <v>0</v>
      </c>
      <c r="AW108" s="384">
        <f ca="1">'2d. Patients - DTG'!P459</f>
        <v>0</v>
      </c>
      <c r="AX108" s="384">
        <f ca="1">'2d. Patients - DTG'!Q459</f>
        <v>0</v>
      </c>
      <c r="AY108" s="384">
        <f ca="1">'2d. Patients - DTG'!R459</f>
        <v>0</v>
      </c>
      <c r="AZ108" s="384">
        <f ca="1">'2d. Patients - DTG'!S459</f>
        <v>0</v>
      </c>
      <c r="BA108" s="384">
        <f t="shared" si="11"/>
        <v>0</v>
      </c>
      <c r="BB108" s="384">
        <f t="shared" ca="1" si="11"/>
        <v>0</v>
      </c>
      <c r="BC108" s="385">
        <f t="shared" ca="1" si="10"/>
        <v>0</v>
      </c>
    </row>
    <row r="109" spans="2:55" x14ac:dyDescent="0.2">
      <c r="AK109" s="66" t="s">
        <v>394</v>
      </c>
      <c r="AL109" s="384">
        <f>'2c. Patients - GF'!E44</f>
        <v>0</v>
      </c>
      <c r="AM109" s="384">
        <f>'2c. Patients - GF'!F44</f>
        <v>0</v>
      </c>
      <c r="AN109" s="384">
        <f>'2c. Patients - GF'!G44</f>
        <v>0</v>
      </c>
      <c r="AO109" s="384">
        <f>'2c. Patients - GF'!H44</f>
        <v>0</v>
      </c>
      <c r="AP109" s="384">
        <f>'2c. Patients - GF'!I44</f>
        <v>0</v>
      </c>
      <c r="AQ109" s="384">
        <f>'2c. Patients - GF'!J44</f>
        <v>0</v>
      </c>
      <c r="AR109" s="385" t="str">
        <f t="shared" si="9"/>
        <v/>
      </c>
      <c r="AT109" s="66" t="s">
        <v>1220</v>
      </c>
      <c r="AU109" s="384">
        <f ca="1">'2d. Patients - DTG'!N481</f>
        <v>0</v>
      </c>
      <c r="AV109" s="384">
        <f ca="1">'2d. Patients - DTG'!O481</f>
        <v>0</v>
      </c>
      <c r="AW109" s="384">
        <f ca="1">'2d. Patients - DTG'!P481</f>
        <v>0</v>
      </c>
      <c r="AX109" s="384">
        <f ca="1">'2d. Patients - DTG'!Q481</f>
        <v>0</v>
      </c>
      <c r="AY109" s="384">
        <f ca="1">'2d. Patients - DTG'!R481</f>
        <v>0</v>
      </c>
      <c r="AZ109" s="384">
        <f ca="1">'2d. Patients - DTG'!S481</f>
        <v>0</v>
      </c>
      <c r="BA109" s="384">
        <f t="shared" si="11"/>
        <v>0</v>
      </c>
      <c r="BB109" s="384">
        <f t="shared" ca="1" si="11"/>
        <v>0</v>
      </c>
      <c r="BC109" s="385">
        <f t="shared" ca="1" si="10"/>
        <v>0</v>
      </c>
    </row>
    <row r="110" spans="2:55" x14ac:dyDescent="0.2">
      <c r="AK110" s="66" t="s">
        <v>395</v>
      </c>
      <c r="AL110" s="384">
        <f>'2c. Patients - GF'!E73</f>
        <v>0</v>
      </c>
      <c r="AM110" s="384">
        <f>'2c. Patients - GF'!F73</f>
        <v>0</v>
      </c>
      <c r="AN110" s="384">
        <f>'2c. Patients - GF'!G73</f>
        <v>0</v>
      </c>
      <c r="AO110" s="384">
        <f>'2c. Patients - GF'!H73</f>
        <v>0</v>
      </c>
      <c r="AP110" s="384">
        <f>'2c. Patients - GF'!I73</f>
        <v>0</v>
      </c>
      <c r="AQ110" s="384">
        <f>'2c. Patients - GF'!J73</f>
        <v>0</v>
      </c>
      <c r="AR110" s="385" t="str">
        <f t="shared" si="9"/>
        <v/>
      </c>
      <c r="AT110" s="66" t="s">
        <v>1221</v>
      </c>
      <c r="AU110" s="384">
        <f ca="1">'2d. Patients - DTG'!N503</f>
        <v>0</v>
      </c>
      <c r="AV110" s="384">
        <f ca="1">'2d. Patients - DTG'!O503</f>
        <v>0</v>
      </c>
      <c r="AW110" s="384">
        <f ca="1">'2d. Patients - DTG'!P503</f>
        <v>0</v>
      </c>
      <c r="AX110" s="384">
        <f ca="1">'2d. Patients - DTG'!Q503</f>
        <v>0</v>
      </c>
      <c r="AY110" s="384">
        <f ca="1">'2d. Patients - DTG'!R503</f>
        <v>0</v>
      </c>
      <c r="AZ110" s="384">
        <f ca="1">'2d. Patients - DTG'!S503</f>
        <v>0</v>
      </c>
      <c r="BA110" s="384">
        <f t="shared" si="11"/>
        <v>0</v>
      </c>
      <c r="BB110" s="384">
        <f t="shared" ca="1" si="11"/>
        <v>0</v>
      </c>
      <c r="BC110" s="385">
        <f t="shared" ca="1" si="10"/>
        <v>0</v>
      </c>
    </row>
    <row r="111" spans="2:55" x14ac:dyDescent="0.2">
      <c r="AK111" s="66" t="s">
        <v>396</v>
      </c>
      <c r="AL111" s="384">
        <f>'2c. Patients - GF'!E102</f>
        <v>0</v>
      </c>
      <c r="AM111" s="384">
        <f>'2c. Patients - GF'!F102</f>
        <v>0</v>
      </c>
      <c r="AN111" s="384">
        <f>'2c. Patients - GF'!G102</f>
        <v>0</v>
      </c>
      <c r="AO111" s="384">
        <f>'2c. Patients - GF'!H102</f>
        <v>0</v>
      </c>
      <c r="AP111" s="384">
        <f>'2c. Patients - GF'!I102</f>
        <v>0</v>
      </c>
      <c r="AQ111" s="384">
        <f>'2c. Patients - GF'!J102</f>
        <v>0</v>
      </c>
      <c r="AR111" s="385" t="str">
        <f t="shared" si="9"/>
        <v/>
      </c>
      <c r="AT111" s="66" t="s">
        <v>1222</v>
      </c>
      <c r="AU111" s="384">
        <f ca="1">'2d. Patients - DTG'!N525</f>
        <v>0</v>
      </c>
      <c r="AV111" s="384">
        <f ca="1">'2d. Patients - DTG'!O525</f>
        <v>0</v>
      </c>
      <c r="AW111" s="384">
        <f ca="1">'2d. Patients - DTG'!P525</f>
        <v>0</v>
      </c>
      <c r="AX111" s="384">
        <f ca="1">'2d. Patients - DTG'!Q525</f>
        <v>0</v>
      </c>
      <c r="AY111" s="384">
        <f ca="1">'2d. Patients - DTG'!R525</f>
        <v>0</v>
      </c>
      <c r="AZ111" s="384">
        <f ca="1">'2d. Patients - DTG'!S525</f>
        <v>0</v>
      </c>
      <c r="BA111" s="384">
        <f t="shared" si="11"/>
        <v>0</v>
      </c>
      <c r="BB111" s="384">
        <f t="shared" ca="1" si="11"/>
        <v>0</v>
      </c>
      <c r="BC111" s="385">
        <f t="shared" ca="1" si="10"/>
        <v>0</v>
      </c>
    </row>
    <row r="112" spans="2:55" x14ac:dyDescent="0.2">
      <c r="AK112" s="66" t="s">
        <v>397</v>
      </c>
      <c r="AL112" s="384">
        <f>'2c. Patients - GF'!E131</f>
        <v>0</v>
      </c>
      <c r="AM112" s="384">
        <f>'2c. Patients - GF'!F131</f>
        <v>0</v>
      </c>
      <c r="AN112" s="384">
        <f>'2c. Patients - GF'!G131</f>
        <v>0</v>
      </c>
      <c r="AO112" s="384">
        <f>'2c. Patients - GF'!H131</f>
        <v>0</v>
      </c>
      <c r="AP112" s="384">
        <f>'2c. Patients - GF'!I131</f>
        <v>0</v>
      </c>
      <c r="AQ112" s="384">
        <f>'2c. Patients - GF'!J131</f>
        <v>0</v>
      </c>
      <c r="AR112" s="385" t="str">
        <f t="shared" si="9"/>
        <v/>
      </c>
      <c r="AT112" s="66" t="s">
        <v>1223</v>
      </c>
      <c r="AU112" s="384">
        <f ca="1">'2d. Patients - DTG'!N547</f>
        <v>0</v>
      </c>
      <c r="AV112" s="384">
        <f ca="1">'2d. Patients - DTG'!O547</f>
        <v>0</v>
      </c>
      <c r="AW112" s="384">
        <f ca="1">'2d. Patients - DTG'!P547</f>
        <v>0</v>
      </c>
      <c r="AX112" s="384">
        <f ca="1">'2d. Patients - DTG'!Q547</f>
        <v>0</v>
      </c>
      <c r="AY112" s="384">
        <f ca="1">'2d. Patients - DTG'!R547</f>
        <v>0</v>
      </c>
      <c r="AZ112" s="384">
        <f ca="1">'2d. Patients - DTG'!S547</f>
        <v>0</v>
      </c>
      <c r="BA112" s="384">
        <f t="shared" si="11"/>
        <v>0</v>
      </c>
      <c r="BB112" s="384">
        <f t="shared" ca="1" si="11"/>
        <v>0</v>
      </c>
      <c r="BC112" s="385">
        <f t="shared" ca="1" si="10"/>
        <v>0</v>
      </c>
    </row>
    <row r="113" spans="2:55" x14ac:dyDescent="0.2">
      <c r="B113" s="677" t="s">
        <v>1093</v>
      </c>
      <c r="C113" s="677"/>
      <c r="E113" s="677" t="s">
        <v>1155</v>
      </c>
      <c r="F113" s="677"/>
      <c r="AK113" s="66" t="s">
        <v>398</v>
      </c>
      <c r="AL113" s="384">
        <f>'2c. Patients - GF'!E160</f>
        <v>0</v>
      </c>
      <c r="AM113" s="384">
        <f>'2c. Patients - GF'!F160</f>
        <v>0</v>
      </c>
      <c r="AN113" s="384">
        <f>'2c. Patients - GF'!G160</f>
        <v>0</v>
      </c>
      <c r="AO113" s="384">
        <f>'2c. Patients - GF'!H160</f>
        <v>0</v>
      </c>
      <c r="AP113" s="384">
        <f>'2c. Patients - GF'!I160</f>
        <v>0</v>
      </c>
      <c r="AQ113" s="384">
        <f>'2c. Patients - GF'!J160</f>
        <v>0</v>
      </c>
      <c r="AR113" s="385" t="str">
        <f t="shared" si="9"/>
        <v/>
      </c>
      <c r="AT113" s="66" t="s">
        <v>1224</v>
      </c>
      <c r="AU113" s="384">
        <f ca="1">'2d. Patients - DTG'!N569</f>
        <v>0</v>
      </c>
      <c r="AV113" s="384">
        <f ca="1">'2d. Patients - DTG'!O569</f>
        <v>0</v>
      </c>
      <c r="AW113" s="384">
        <f ca="1">'2d. Patients - DTG'!P569</f>
        <v>0</v>
      </c>
      <c r="AX113" s="384">
        <f ca="1">'2d. Patients - DTG'!Q569</f>
        <v>0</v>
      </c>
      <c r="AY113" s="384">
        <f ca="1">'2d. Patients - DTG'!R569</f>
        <v>0</v>
      </c>
      <c r="AZ113" s="384">
        <f ca="1">'2d. Patients - DTG'!S569</f>
        <v>0</v>
      </c>
      <c r="BA113" s="384">
        <f t="shared" si="11"/>
        <v>0</v>
      </c>
      <c r="BB113" s="384">
        <f t="shared" ca="1" si="11"/>
        <v>0</v>
      </c>
      <c r="BC113" s="385">
        <f t="shared" ca="1" si="10"/>
        <v>0</v>
      </c>
    </row>
    <row r="114" spans="2:55" ht="12.75" customHeight="1" x14ac:dyDescent="0.2">
      <c r="B114" s="235" t="s">
        <v>1099</v>
      </c>
      <c r="C114" s="235">
        <v>1</v>
      </c>
      <c r="E114" s="235" t="s">
        <v>1153</v>
      </c>
      <c r="F114" s="235">
        <v>1</v>
      </c>
      <c r="AK114" s="66" t="s">
        <v>399</v>
      </c>
      <c r="AL114" s="423"/>
      <c r="AM114" s="423"/>
      <c r="AN114" s="423"/>
      <c r="AO114" s="423"/>
      <c r="AP114" s="423"/>
      <c r="AQ114" s="423"/>
      <c r="AR114" s="423"/>
      <c r="AT114" s="66" t="s">
        <v>1225</v>
      </c>
      <c r="AU114" s="423"/>
      <c r="AV114" s="423"/>
      <c r="AW114" s="423"/>
      <c r="AX114" s="423"/>
      <c r="AY114" s="423"/>
      <c r="AZ114" s="423"/>
      <c r="BA114" s="423"/>
      <c r="BB114" s="423"/>
      <c r="BC114" s="385">
        <f t="shared" ref="BC114:BC119" si="12">BC75</f>
        <v>0</v>
      </c>
    </row>
    <row r="115" spans="2:55" ht="12.75" customHeight="1" x14ac:dyDescent="0.2">
      <c r="B115" s="235" t="s">
        <v>1100</v>
      </c>
      <c r="C115" s="235">
        <v>2</v>
      </c>
      <c r="E115" s="235" t="s">
        <v>1154</v>
      </c>
      <c r="F115" s="235">
        <v>2</v>
      </c>
      <c r="AK115" s="66" t="s">
        <v>400</v>
      </c>
      <c r="AL115" s="423"/>
      <c r="AM115" s="423"/>
      <c r="AN115" s="423"/>
      <c r="AO115" s="423"/>
      <c r="AP115" s="423"/>
      <c r="AQ115" s="423"/>
      <c r="AR115" s="423"/>
      <c r="AT115" s="66" t="s">
        <v>1226</v>
      </c>
      <c r="AU115" s="423"/>
      <c r="AV115" s="423"/>
      <c r="AW115" s="423"/>
      <c r="AX115" s="423"/>
      <c r="AY115" s="423"/>
      <c r="AZ115" s="423"/>
      <c r="BA115" s="423"/>
      <c r="BB115" s="423"/>
      <c r="BC115" s="385">
        <f t="shared" si="12"/>
        <v>0</v>
      </c>
    </row>
    <row r="116" spans="2:55" ht="12.75" customHeight="1" x14ac:dyDescent="0.2">
      <c r="B116" s="235" t="s">
        <v>1101</v>
      </c>
      <c r="C116" s="235">
        <v>3</v>
      </c>
      <c r="AK116" s="66" t="s">
        <v>401</v>
      </c>
      <c r="AL116" s="423"/>
      <c r="AM116" s="423"/>
      <c r="AN116" s="423"/>
      <c r="AO116" s="423"/>
      <c r="AP116" s="423"/>
      <c r="AQ116" s="423"/>
      <c r="AR116" s="423"/>
      <c r="AT116" s="66" t="s">
        <v>1227</v>
      </c>
      <c r="AU116" s="423"/>
      <c r="AV116" s="423"/>
      <c r="AW116" s="423"/>
      <c r="AX116" s="423"/>
      <c r="AY116" s="423"/>
      <c r="AZ116" s="423"/>
      <c r="BA116" s="423"/>
      <c r="BB116" s="423"/>
      <c r="BC116" s="385">
        <f t="shared" si="12"/>
        <v>0</v>
      </c>
    </row>
    <row r="117" spans="2:55" ht="12.75" customHeight="1" x14ac:dyDescent="0.2">
      <c r="B117" s="235" t="s">
        <v>1102</v>
      </c>
      <c r="C117" s="235">
        <v>4</v>
      </c>
      <c r="AK117" s="66" t="s">
        <v>402</v>
      </c>
      <c r="AL117" s="423"/>
      <c r="AM117" s="423"/>
      <c r="AN117" s="423"/>
      <c r="AO117" s="423"/>
      <c r="AP117" s="423"/>
      <c r="AQ117" s="423"/>
      <c r="AR117" s="423"/>
      <c r="AT117" s="66" t="s">
        <v>1228</v>
      </c>
      <c r="AU117" s="423"/>
      <c r="AV117" s="423"/>
      <c r="AW117" s="423"/>
      <c r="AX117" s="423"/>
      <c r="AY117" s="423"/>
      <c r="AZ117" s="423"/>
      <c r="BA117" s="423"/>
      <c r="BB117" s="423"/>
      <c r="BC117" s="385">
        <f t="shared" si="12"/>
        <v>0</v>
      </c>
    </row>
    <row r="118" spans="2:55" ht="12.75" customHeight="1" x14ac:dyDescent="0.2">
      <c r="AK118" s="66" t="s">
        <v>403</v>
      </c>
      <c r="AL118" s="423"/>
      <c r="AM118" s="423"/>
      <c r="AN118" s="423"/>
      <c r="AO118" s="423"/>
      <c r="AP118" s="423"/>
      <c r="AQ118" s="423"/>
      <c r="AR118" s="423"/>
      <c r="AT118" s="66" t="s">
        <v>1229</v>
      </c>
      <c r="AU118" s="423"/>
      <c r="AV118" s="423"/>
      <c r="AW118" s="423"/>
      <c r="AX118" s="423"/>
      <c r="AY118" s="423"/>
      <c r="AZ118" s="423"/>
      <c r="BA118" s="423"/>
      <c r="BB118" s="423"/>
      <c r="BC118" s="385">
        <f t="shared" si="12"/>
        <v>0</v>
      </c>
    </row>
    <row r="119" spans="2:55" ht="12.75" customHeight="1" x14ac:dyDescent="0.2">
      <c r="AK119" s="66" t="s">
        <v>405</v>
      </c>
      <c r="AL119" s="384">
        <f t="shared" ref="AL119:AQ119" si="13">SUM(AL89:AL98)</f>
        <v>0</v>
      </c>
      <c r="AM119" s="384">
        <f t="shared" si="13"/>
        <v>0</v>
      </c>
      <c r="AN119" s="384">
        <f t="shared" si="13"/>
        <v>0</v>
      </c>
      <c r="AO119" s="384">
        <f t="shared" si="13"/>
        <v>0</v>
      </c>
      <c r="AP119" s="384">
        <f t="shared" si="13"/>
        <v>0</v>
      </c>
      <c r="AQ119" s="384">
        <f t="shared" si="13"/>
        <v>0</v>
      </c>
      <c r="AR119" s="384">
        <f>AR80</f>
        <v>1</v>
      </c>
      <c r="AT119" s="66" t="s">
        <v>1230</v>
      </c>
      <c r="AU119" s="384">
        <f ca="1">SUM(AU89:AU118)</f>
        <v>0</v>
      </c>
      <c r="AV119" s="384">
        <f t="shared" ref="AV119:AZ119" ca="1" si="14">SUM(AV89:AV118)</f>
        <v>0</v>
      </c>
      <c r="AW119" s="384">
        <f t="shared" ca="1" si="14"/>
        <v>0</v>
      </c>
      <c r="AX119" s="384">
        <f t="shared" ca="1" si="14"/>
        <v>0</v>
      </c>
      <c r="AY119" s="384">
        <f t="shared" ca="1" si="14"/>
        <v>0</v>
      </c>
      <c r="AZ119" s="384">
        <f t="shared" ca="1" si="14"/>
        <v>0</v>
      </c>
      <c r="BA119" s="384">
        <f>BA80</f>
        <v>0</v>
      </c>
      <c r="BB119" s="384">
        <f ca="1">BB80</f>
        <v>0</v>
      </c>
      <c r="BC119" s="385">
        <f t="shared" ca="1" si="12"/>
        <v>0</v>
      </c>
    </row>
    <row r="120" spans="2:55" ht="12.75" customHeight="1" x14ac:dyDescent="0.2">
      <c r="AK120" s="66" t="s">
        <v>406</v>
      </c>
      <c r="AL120" s="384">
        <f t="shared" ref="AL120:AQ120" si="15">SUM(AL99:AL108)</f>
        <v>0</v>
      </c>
      <c r="AM120" s="384">
        <f t="shared" si="15"/>
        <v>0</v>
      </c>
      <c r="AN120" s="384">
        <f t="shared" si="15"/>
        <v>0</v>
      </c>
      <c r="AO120" s="384">
        <f t="shared" si="15"/>
        <v>0</v>
      </c>
      <c r="AP120" s="384">
        <f t="shared" si="15"/>
        <v>0</v>
      </c>
      <c r="AQ120" s="384">
        <f t="shared" si="15"/>
        <v>0</v>
      </c>
      <c r="AR120" s="384" t="str">
        <f t="shared" ref="AR120:AR123" si="16">AR81</f>
        <v/>
      </c>
    </row>
    <row r="121" spans="2:55" ht="12.75" customHeight="1" x14ac:dyDescent="0.2">
      <c r="AK121" s="66" t="s">
        <v>1175</v>
      </c>
      <c r="AL121" s="384">
        <f>AL120+AL119</f>
        <v>0</v>
      </c>
      <c r="AM121" s="384">
        <f t="shared" ref="AM121:AQ121" si="17">AM120+AM119</f>
        <v>0</v>
      </c>
      <c r="AN121" s="384">
        <f t="shared" si="17"/>
        <v>0</v>
      </c>
      <c r="AO121" s="384">
        <f t="shared" si="17"/>
        <v>0</v>
      </c>
      <c r="AP121" s="384">
        <f t="shared" si="17"/>
        <v>0</v>
      </c>
      <c r="AQ121" s="384">
        <f t="shared" si="17"/>
        <v>0</v>
      </c>
      <c r="AR121" s="384">
        <f t="shared" si="16"/>
        <v>1</v>
      </c>
    </row>
    <row r="122" spans="2:55" ht="12.75" customHeight="1" x14ac:dyDescent="0.2">
      <c r="AK122" s="66" t="s">
        <v>407</v>
      </c>
      <c r="AL122" s="384">
        <f t="shared" ref="AL122:AQ122" si="18">SUM(AL109:AL118)</f>
        <v>0</v>
      </c>
      <c r="AM122" s="384">
        <f t="shared" si="18"/>
        <v>0</v>
      </c>
      <c r="AN122" s="384">
        <f t="shared" si="18"/>
        <v>0</v>
      </c>
      <c r="AO122" s="384">
        <f t="shared" si="18"/>
        <v>0</v>
      </c>
      <c r="AP122" s="384">
        <f t="shared" si="18"/>
        <v>0</v>
      </c>
      <c r="AQ122" s="384">
        <f t="shared" si="18"/>
        <v>0</v>
      </c>
      <c r="AR122" s="384" t="str">
        <f t="shared" si="16"/>
        <v/>
      </c>
    </row>
    <row r="123" spans="2:55" ht="12.75" customHeight="1" x14ac:dyDescent="0.2">
      <c r="AK123" s="66" t="s">
        <v>408</v>
      </c>
      <c r="AL123" s="384">
        <f>AL122+AL121</f>
        <v>0</v>
      </c>
      <c r="AM123" s="384">
        <f t="shared" ref="AM123:AQ123" si="19">AM122+AM121</f>
        <v>0</v>
      </c>
      <c r="AN123" s="384">
        <f t="shared" si="19"/>
        <v>0</v>
      </c>
      <c r="AO123" s="384">
        <f t="shared" si="19"/>
        <v>0</v>
      </c>
      <c r="AP123" s="384">
        <f t="shared" si="19"/>
        <v>0</v>
      </c>
      <c r="AQ123" s="384">
        <f t="shared" si="19"/>
        <v>0</v>
      </c>
      <c r="AR123" s="384">
        <f t="shared" si="16"/>
        <v>1</v>
      </c>
    </row>
    <row r="125" spans="2:55" ht="12.75" customHeight="1" x14ac:dyDescent="0.2">
      <c r="B125" s="678" t="s">
        <v>190</v>
      </c>
      <c r="C125" s="595"/>
      <c r="E125" s="677" t="s">
        <v>1285</v>
      </c>
      <c r="F125" s="677"/>
    </row>
    <row r="126" spans="2:55" ht="12.75" customHeight="1" x14ac:dyDescent="0.2">
      <c r="B126" s="235">
        <v>0</v>
      </c>
      <c r="C126" s="235" t="s">
        <v>583</v>
      </c>
      <c r="E126" s="235" t="s">
        <v>133</v>
      </c>
      <c r="F126" s="235">
        <v>1</v>
      </c>
    </row>
    <row r="127" spans="2:55" ht="12.75" customHeight="1" x14ac:dyDescent="0.2">
      <c r="B127" s="235">
        <v>1</v>
      </c>
      <c r="C127" s="235" t="s">
        <v>584</v>
      </c>
      <c r="E127" s="235" t="s">
        <v>134</v>
      </c>
      <c r="F127" s="235">
        <v>2</v>
      </c>
    </row>
    <row r="137" spans="2:3" ht="12.75" customHeight="1" x14ac:dyDescent="0.2">
      <c r="B137" s="678" t="s">
        <v>714</v>
      </c>
      <c r="C137" s="595"/>
    </row>
    <row r="138" spans="2:3" ht="12.75" customHeight="1" x14ac:dyDescent="0.2">
      <c r="B138" s="300" t="s">
        <v>715</v>
      </c>
      <c r="C138" s="300" t="s">
        <v>716</v>
      </c>
    </row>
    <row r="139" spans="2:3" ht="12.75" customHeight="1" x14ac:dyDescent="0.2">
      <c r="B139" s="332" t="str">
        <f>IFERROR(VLOOKUP(B147,TPShortReverse,2,FALSE),"")</f>
        <v/>
      </c>
      <c r="C139" s="332" t="str">
        <f>IFERROR(VLOOKUP(C147,TPShortReverse,2,FALSE),"")</f>
        <v/>
      </c>
    </row>
    <row r="140" spans="2:3" ht="12.75" customHeight="1" x14ac:dyDescent="0.2">
      <c r="B140" s="332" t="str">
        <f>LOWER(B139)</f>
        <v/>
      </c>
      <c r="C140" s="332" t="str">
        <f>LOWER(C139)</f>
        <v/>
      </c>
    </row>
    <row r="141" spans="2:3" ht="12.75" customHeight="1" x14ac:dyDescent="0.2">
      <c r="B141" s="332" t="str">
        <f>IF(TxPhase1&lt;&gt;"",TxPhase1 &amp; " patients (#)","")</f>
        <v/>
      </c>
      <c r="C141" s="332" t="str">
        <f>IF(TxPhase2&lt;&gt;"",TxPhase2 &amp; " patients (#)","")</f>
        <v/>
      </c>
    </row>
    <row r="142" spans="2:3" ht="12.75" customHeight="1" x14ac:dyDescent="0.2">
      <c r="B142" s="332" t="str">
        <f>IF(B140&lt;&gt;"","Total " &amp; B140 &amp; " patients","")</f>
        <v/>
      </c>
      <c r="C142" s="332" t="str">
        <f>IF(C140&lt;&gt;"","Total " &amp; C140 &amp; " patients","")</f>
        <v/>
      </c>
    </row>
    <row r="143" spans="2:3" ht="12.75" customHeight="1" x14ac:dyDescent="0.2">
      <c r="B143" s="332" t="str">
        <f>IF(B140&lt;&gt;"","Total " &amp; B140 &amp; " patient years of treatment","")</f>
        <v/>
      </c>
      <c r="C143" s="332" t="str">
        <f>IF(C140&lt;&gt;"","Total " &amp; C140 &amp; " patient years of treatment","")</f>
        <v/>
      </c>
    </row>
    <row r="144" spans="2:3" ht="12.75" customHeight="1" x14ac:dyDescent="0.2">
      <c r="B144" s="332" t="str">
        <f>IF(TxPhase1&lt;&gt;"",TxPhase1 &amp; " treatment","")</f>
        <v/>
      </c>
      <c r="C144" s="332" t="str">
        <f>IF(TxPhase2&lt;&gt;"",TxPhase2 &amp; " treatment","")</f>
        <v/>
      </c>
    </row>
    <row r="145" spans="2:3" ht="12.75" customHeight="1" x14ac:dyDescent="0.2">
      <c r="B145" s="332" t="str">
        <f>IF(TxPhase1&lt;&gt;"",TxPhase1 &amp; " scripts (#)","")</f>
        <v/>
      </c>
      <c r="C145" s="332" t="str">
        <f>IF(TxPhase2&lt;&gt;"",TxPhase2 &amp; " scripts (#)","")</f>
        <v/>
      </c>
    </row>
    <row r="146" spans="2:3" ht="12.75" customHeight="1" x14ac:dyDescent="0.2">
      <c r="B146" s="332" t="str">
        <f>IF(B140&lt;&gt;"","Total " &amp; B140 &amp; " scripts","")</f>
        <v/>
      </c>
      <c r="C146" s="332" t="str">
        <f>IF(C140&lt;&gt;"","Total " &amp; C140 &amp; " scripts","")</f>
        <v/>
      </c>
    </row>
    <row r="147" spans="2:3" ht="12.75" customHeight="1" x14ac:dyDescent="0.2">
      <c r="B147" s="332" t="str">
        <f>IF(TPInit&gt;0,"I",IF(TPAll&gt;0,"IC",""))</f>
        <v/>
      </c>
      <c r="C147" s="332" t="str">
        <f>IF(AND(TxPhase1Code="I",TPCont&gt;0),"C","")</f>
        <v/>
      </c>
    </row>
  </sheetData>
  <sortState xmlns:xlrd2="http://schemas.microsoft.com/office/spreadsheetml/2017/richdata2" ref="AA22:AB35">
    <sortCondition ref="AA22"/>
  </sortState>
  <mergeCells count="64">
    <mergeCell ref="E125:F125"/>
    <mergeCell ref="AU5:AY5"/>
    <mergeCell ref="B137:C137"/>
    <mergeCell ref="B5:C5"/>
    <mergeCell ref="B29:C29"/>
    <mergeCell ref="B41:C41"/>
    <mergeCell ref="AU48:AZ48"/>
    <mergeCell ref="AU87:AZ87"/>
    <mergeCell ref="B17:C17"/>
    <mergeCell ref="E29:F29"/>
    <mergeCell ref="B125:C125"/>
    <mergeCell ref="E53:F53"/>
    <mergeCell ref="E41:F41"/>
    <mergeCell ref="B53:C53"/>
    <mergeCell ref="B65:C65"/>
    <mergeCell ref="B77:C77"/>
    <mergeCell ref="B36:C36"/>
    <mergeCell ref="E89:F89"/>
    <mergeCell ref="E101:F101"/>
    <mergeCell ref="E77:F77"/>
    <mergeCell ref="B89:C89"/>
    <mergeCell ref="B101:C101"/>
    <mergeCell ref="AL48:AR48"/>
    <mergeCell ref="AL87:AR87"/>
    <mergeCell ref="B113:C113"/>
    <mergeCell ref="E113:F113"/>
    <mergeCell ref="L5:N5"/>
    <mergeCell ref="AA65:AB65"/>
    <mergeCell ref="E65:F65"/>
    <mergeCell ref="AL5:AQ5"/>
    <mergeCell ref="AE21:AH21"/>
    <mergeCell ref="AE5:AH5"/>
    <mergeCell ref="E5:F5"/>
    <mergeCell ref="AA21:AB21"/>
    <mergeCell ref="AA43:AB43"/>
    <mergeCell ref="R5:U5"/>
    <mergeCell ref="E17:F17"/>
    <mergeCell ref="L17:N17"/>
    <mergeCell ref="AE37:AF37"/>
    <mergeCell ref="AE38:AF38"/>
    <mergeCell ref="AE39:AF39"/>
    <mergeCell ref="AE40:AF40"/>
    <mergeCell ref="AE41:AF41"/>
    <mergeCell ref="AE42:AF42"/>
    <mergeCell ref="AE43:AF43"/>
    <mergeCell ref="AE44:AF44"/>
    <mergeCell ref="AE45:AF45"/>
    <mergeCell ref="AE46:AF46"/>
    <mergeCell ref="AE47:AF47"/>
    <mergeCell ref="AE48:AF48"/>
    <mergeCell ref="AE49:AF49"/>
    <mergeCell ref="AE50:AF50"/>
    <mergeCell ref="AE51:AF51"/>
    <mergeCell ref="AE52:AF52"/>
    <mergeCell ref="AE53:AF53"/>
    <mergeCell ref="AE54:AF54"/>
    <mergeCell ref="AE55:AF55"/>
    <mergeCell ref="AE56:AF56"/>
    <mergeCell ref="AE62:AF62"/>
    <mergeCell ref="AE57:AF57"/>
    <mergeCell ref="AE58:AF58"/>
    <mergeCell ref="AE59:AF59"/>
    <mergeCell ref="AE60:AF60"/>
    <mergeCell ref="AE61:AF61"/>
  </mergeCells>
  <pageMargins left="0.7" right="0.7" top="0.75" bottom="0.75" header="0.3" footer="0.3"/>
  <pageSetup paperSize="9" orientation="portrait" horizontalDpi="300" verticalDpi="300" r:id="rId1"/>
  <headerFooter>
    <oddHeader>&amp;C&amp;"Calibri"&amp;12&amp;KFF0000 OFFICIAL&amp;1#_x000D_</oddHeader>
    <oddFooter>&amp;C_x000D_&amp;1#&amp;"Calibri"&amp;12&amp;KFF0000 OFFICIAL</oddFooter>
  </headerFooter>
  <ignoredErrors>
    <ignoredError sqref="AL122:AQ122 AL83 AM83:AQ83" formula="1"/>
  </ignoredErrors>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Sheet13">
    <tabColor theme="5"/>
  </sheetPr>
  <dimension ref="A1:T406"/>
  <sheetViews>
    <sheetView showGridLines="0" zoomScaleNormal="100" workbookViewId="0">
      <pane ySplit="3" topLeftCell="A4" activePane="bottomLeft" state="frozen"/>
      <selection pane="bottomLeft"/>
    </sheetView>
  </sheetViews>
  <sheetFormatPr defaultRowHeight="12.75" customHeight="1" x14ac:dyDescent="0.2"/>
  <cols>
    <col min="1" max="1" width="3.7109375" customWidth="1"/>
    <col min="2" max="2" width="15.7109375" customWidth="1"/>
    <col min="3" max="16" width="9.140625" customWidth="1"/>
  </cols>
  <sheetData>
    <row r="1" spans="1:20" ht="23.25" x14ac:dyDescent="0.2">
      <c r="A1" s="253"/>
      <c r="B1" s="181" t="s">
        <v>32</v>
      </c>
      <c r="C1" s="253"/>
      <c r="D1" s="253"/>
      <c r="E1" s="253"/>
      <c r="F1" s="253"/>
      <c r="G1" s="253"/>
      <c r="H1" s="253"/>
      <c r="I1" s="253"/>
      <c r="J1" s="253"/>
      <c r="K1" s="253"/>
      <c r="L1" s="253"/>
      <c r="M1" s="253"/>
      <c r="N1" s="253"/>
      <c r="O1" s="253"/>
      <c r="P1" s="253"/>
      <c r="Q1" s="253"/>
      <c r="R1" s="253"/>
      <c r="S1" s="253"/>
      <c r="T1" s="253"/>
    </row>
    <row r="2" spans="1:20" ht="15.75" x14ac:dyDescent="0.2">
      <c r="A2" s="254"/>
      <c r="B2" s="255" t="s">
        <v>445</v>
      </c>
      <c r="C2" s="254"/>
      <c r="D2" s="254"/>
      <c r="E2" s="254"/>
      <c r="F2" s="254"/>
      <c r="G2" s="254"/>
      <c r="H2" s="254"/>
      <c r="I2" s="254"/>
      <c r="J2" s="254"/>
      <c r="K2" s="254"/>
      <c r="L2" s="254"/>
      <c r="M2" s="254"/>
      <c r="N2" s="254"/>
      <c r="O2" s="254"/>
      <c r="P2" s="254"/>
      <c r="Q2" s="254"/>
      <c r="R2" s="254"/>
      <c r="S2" s="254"/>
      <c r="T2" s="254"/>
    </row>
    <row r="3" spans="1:20" ht="15.75" x14ac:dyDescent="0.2">
      <c r="A3" s="254"/>
      <c r="B3" s="256" t="str">
        <f>References!H3</f>
        <v>Version 10.82 - 1/12/2025</v>
      </c>
      <c r="C3" s="254"/>
      <c r="D3" s="254"/>
      <c r="E3" s="254"/>
      <c r="F3" s="254"/>
      <c r="G3" s="254"/>
      <c r="H3" s="254"/>
      <c r="I3" s="254"/>
      <c r="J3" s="254"/>
      <c r="K3" s="254"/>
      <c r="L3" s="254"/>
      <c r="M3" s="254"/>
      <c r="N3" s="254"/>
      <c r="O3" s="254"/>
      <c r="P3" s="254"/>
      <c r="Q3" s="254"/>
      <c r="R3" s="254"/>
      <c r="S3" s="254"/>
      <c r="T3" s="254"/>
    </row>
    <row r="4" spans="1:20" ht="15" x14ac:dyDescent="0.2">
      <c r="A4" s="1"/>
      <c r="B4" s="132"/>
    </row>
    <row r="5" spans="1:20" ht="20.25" thickBot="1" x14ac:dyDescent="0.25">
      <c r="A5" s="1"/>
      <c r="B5" s="252" t="s">
        <v>1299</v>
      </c>
    </row>
    <row r="6" spans="1:20" ht="13.5" thickTop="1" x14ac:dyDescent="0.2">
      <c r="A6" s="1"/>
      <c r="B6" s="1" t="s">
        <v>1300</v>
      </c>
    </row>
    <row r="7" spans="1:20" x14ac:dyDescent="0.2">
      <c r="A7" s="1"/>
      <c r="B7" s="1" t="s">
        <v>1301</v>
      </c>
    </row>
    <row r="8" spans="1:20" ht="15" x14ac:dyDescent="0.2">
      <c r="A8" s="1"/>
      <c r="B8" s="132"/>
    </row>
    <row r="9" spans="1:20" ht="20.25" thickBot="1" x14ac:dyDescent="0.25">
      <c r="A9" s="1"/>
      <c r="B9" s="252" t="s">
        <v>1058</v>
      </c>
    </row>
    <row r="10" spans="1:20" ht="13.5" thickTop="1" x14ac:dyDescent="0.2">
      <c r="A10" s="1"/>
      <c r="B10" s="1" t="s">
        <v>1055</v>
      </c>
    </row>
    <row r="11" spans="1:20" x14ac:dyDescent="0.2">
      <c r="A11" s="1"/>
      <c r="B11" s="1" t="s">
        <v>1056</v>
      </c>
    </row>
    <row r="12" spans="1:20" x14ac:dyDescent="0.2">
      <c r="A12" s="1"/>
      <c r="B12" s="1" t="s">
        <v>1059</v>
      </c>
    </row>
    <row r="13" spans="1:20" x14ac:dyDescent="0.2">
      <c r="A13" s="1"/>
      <c r="B13" s="1" t="s">
        <v>1060</v>
      </c>
    </row>
    <row r="14" spans="1:20" x14ac:dyDescent="0.2">
      <c r="A14" s="1"/>
      <c r="B14" s="1" t="s">
        <v>1061</v>
      </c>
    </row>
    <row r="15" spans="1:20" x14ac:dyDescent="0.2">
      <c r="A15" s="1"/>
      <c r="B15" s="1" t="s">
        <v>1063</v>
      </c>
    </row>
    <row r="16" spans="1:20" x14ac:dyDescent="0.2">
      <c r="A16" s="1"/>
      <c r="B16" s="1" t="s">
        <v>1062</v>
      </c>
    </row>
    <row r="17" spans="1:2" x14ac:dyDescent="0.2">
      <c r="A17" s="1"/>
      <c r="B17" s="1" t="s">
        <v>1068</v>
      </c>
    </row>
    <row r="18" spans="1:2" x14ac:dyDescent="0.2">
      <c r="A18" s="1"/>
      <c r="B18" s="1" t="s">
        <v>1069</v>
      </c>
    </row>
    <row r="19" spans="1:2" x14ac:dyDescent="0.2">
      <c r="A19" s="1"/>
      <c r="B19" s="1" t="s">
        <v>1070</v>
      </c>
    </row>
    <row r="20" spans="1:2" x14ac:dyDescent="0.2">
      <c r="A20" s="1"/>
      <c r="B20" s="1" t="s">
        <v>1071</v>
      </c>
    </row>
    <row r="21" spans="1:2" x14ac:dyDescent="0.2">
      <c r="A21" s="1"/>
      <c r="B21" s="1" t="s">
        <v>1072</v>
      </c>
    </row>
    <row r="22" spans="1:2" x14ac:dyDescent="0.2">
      <c r="A22" s="1"/>
      <c r="B22" s="1" t="s">
        <v>1073</v>
      </c>
    </row>
    <row r="23" spans="1:2" x14ac:dyDescent="0.2">
      <c r="A23" s="1"/>
      <c r="B23" s="1" t="s">
        <v>1091</v>
      </c>
    </row>
    <row r="24" spans="1:2" x14ac:dyDescent="0.2">
      <c r="A24" s="1"/>
      <c r="B24" s="1" t="s">
        <v>1090</v>
      </c>
    </row>
    <row r="25" spans="1:2" x14ac:dyDescent="0.2">
      <c r="A25" s="1"/>
      <c r="B25" s="1" t="s">
        <v>1103</v>
      </c>
    </row>
    <row r="26" spans="1:2" x14ac:dyDescent="0.2">
      <c r="A26" s="1"/>
      <c r="B26" s="1" t="s">
        <v>1104</v>
      </c>
    </row>
    <row r="27" spans="1:2" x14ac:dyDescent="0.2">
      <c r="A27" s="1"/>
      <c r="B27" s="1" t="s">
        <v>1105</v>
      </c>
    </row>
    <row r="28" spans="1:2" x14ac:dyDescent="0.2">
      <c r="A28" s="1"/>
      <c r="B28" s="1" t="s">
        <v>1119</v>
      </c>
    </row>
    <row r="29" spans="1:2" x14ac:dyDescent="0.2">
      <c r="A29" s="1"/>
      <c r="B29" s="1" t="s">
        <v>1121</v>
      </c>
    </row>
    <row r="30" spans="1:2" x14ac:dyDescent="0.2">
      <c r="A30" s="1"/>
      <c r="B30" s="1" t="s">
        <v>1150</v>
      </c>
    </row>
    <row r="31" spans="1:2" x14ac:dyDescent="0.2">
      <c r="A31" s="1"/>
      <c r="B31" s="1" t="s">
        <v>1151</v>
      </c>
    </row>
    <row r="32" spans="1:2" x14ac:dyDescent="0.2">
      <c r="A32" s="1"/>
      <c r="B32" s="1" t="s">
        <v>1124</v>
      </c>
    </row>
    <row r="33" spans="1:2" x14ac:dyDescent="0.2">
      <c r="A33" s="1"/>
      <c r="B33" s="1" t="s">
        <v>1125</v>
      </c>
    </row>
    <row r="34" spans="1:2" x14ac:dyDescent="0.2">
      <c r="A34" s="1"/>
      <c r="B34" s="1" t="s">
        <v>1122</v>
      </c>
    </row>
    <row r="35" spans="1:2" x14ac:dyDescent="0.2">
      <c r="A35" s="1"/>
      <c r="B35" s="1" t="s">
        <v>1123</v>
      </c>
    </row>
    <row r="36" spans="1:2" x14ac:dyDescent="0.2">
      <c r="A36" s="1"/>
      <c r="B36" s="1" t="s">
        <v>1126</v>
      </c>
    </row>
    <row r="37" spans="1:2" x14ac:dyDescent="0.2">
      <c r="A37" s="1"/>
      <c r="B37" s="1" t="s">
        <v>1127</v>
      </c>
    </row>
    <row r="38" spans="1:2" x14ac:dyDescent="0.2">
      <c r="A38" s="1"/>
      <c r="B38" s="1" t="s">
        <v>1128</v>
      </c>
    </row>
    <row r="39" spans="1:2" x14ac:dyDescent="0.2">
      <c r="A39" s="1"/>
      <c r="B39" s="1" t="s">
        <v>1129</v>
      </c>
    </row>
    <row r="40" spans="1:2" x14ac:dyDescent="0.2">
      <c r="A40" s="1"/>
      <c r="B40" s="1" t="s">
        <v>1120</v>
      </c>
    </row>
    <row r="41" spans="1:2" x14ac:dyDescent="0.2">
      <c r="A41" s="1"/>
      <c r="B41" s="1" t="s">
        <v>1130</v>
      </c>
    </row>
    <row r="42" spans="1:2" x14ac:dyDescent="0.2">
      <c r="A42" s="1"/>
      <c r="B42" s="1" t="s">
        <v>1131</v>
      </c>
    </row>
    <row r="43" spans="1:2" x14ac:dyDescent="0.2">
      <c r="A43" s="1"/>
      <c r="B43" s="1" t="s">
        <v>1132</v>
      </c>
    </row>
    <row r="44" spans="1:2" x14ac:dyDescent="0.2">
      <c r="A44" s="1"/>
      <c r="B44" s="1" t="s">
        <v>1133</v>
      </c>
    </row>
    <row r="45" spans="1:2" x14ac:dyDescent="0.2">
      <c r="A45" s="1"/>
      <c r="B45" s="1" t="s">
        <v>1134</v>
      </c>
    </row>
    <row r="46" spans="1:2" x14ac:dyDescent="0.2">
      <c r="A46" s="1"/>
      <c r="B46" s="1" t="s">
        <v>1135</v>
      </c>
    </row>
    <row r="47" spans="1:2" x14ac:dyDescent="0.2">
      <c r="A47" s="1"/>
      <c r="B47" s="1" t="s">
        <v>1136</v>
      </c>
    </row>
    <row r="48" spans="1:2" x14ac:dyDescent="0.2">
      <c r="A48" s="1"/>
      <c r="B48" s="1" t="s">
        <v>1137</v>
      </c>
    </row>
    <row r="49" spans="1:2" x14ac:dyDescent="0.2">
      <c r="A49" s="1"/>
      <c r="B49" s="1" t="s">
        <v>1138</v>
      </c>
    </row>
    <row r="50" spans="1:2" x14ac:dyDescent="0.2">
      <c r="A50" s="1"/>
      <c r="B50" s="1" t="s">
        <v>1141</v>
      </c>
    </row>
    <row r="51" spans="1:2" x14ac:dyDescent="0.2">
      <c r="A51" s="1"/>
      <c r="B51" s="1" t="s">
        <v>1142</v>
      </c>
    </row>
    <row r="52" spans="1:2" x14ac:dyDescent="0.2">
      <c r="A52" s="1"/>
      <c r="B52" s="1" t="s">
        <v>1149</v>
      </c>
    </row>
    <row r="53" spans="1:2" x14ac:dyDescent="0.2">
      <c r="A53" s="1"/>
      <c r="B53" s="1" t="s">
        <v>1156</v>
      </c>
    </row>
    <row r="54" spans="1:2" x14ac:dyDescent="0.2">
      <c r="A54" s="1"/>
      <c r="B54" s="1" t="s">
        <v>1157</v>
      </c>
    </row>
    <row r="55" spans="1:2" x14ac:dyDescent="0.2">
      <c r="A55" s="1"/>
      <c r="B55" s="1" t="s">
        <v>1158</v>
      </c>
    </row>
    <row r="56" spans="1:2" x14ac:dyDescent="0.2">
      <c r="A56" s="1"/>
      <c r="B56" s="1" t="s">
        <v>1160</v>
      </c>
    </row>
    <row r="57" spans="1:2" x14ac:dyDescent="0.2">
      <c r="A57" s="1"/>
      <c r="B57" s="1" t="s">
        <v>1165</v>
      </c>
    </row>
    <row r="58" spans="1:2" x14ac:dyDescent="0.2">
      <c r="A58" s="1"/>
      <c r="B58" s="1" t="s">
        <v>1166</v>
      </c>
    </row>
    <row r="59" spans="1:2" x14ac:dyDescent="0.2">
      <c r="A59" s="1"/>
      <c r="B59" s="1" t="s">
        <v>1170</v>
      </c>
    </row>
    <row r="60" spans="1:2" x14ac:dyDescent="0.2">
      <c r="A60" s="1"/>
      <c r="B60" s="1" t="s">
        <v>1182</v>
      </c>
    </row>
    <row r="61" spans="1:2" x14ac:dyDescent="0.2">
      <c r="A61" s="1"/>
      <c r="B61" s="1" t="s">
        <v>1183</v>
      </c>
    </row>
    <row r="62" spans="1:2" x14ac:dyDescent="0.2">
      <c r="A62" s="1"/>
      <c r="B62" s="1" t="s">
        <v>1184</v>
      </c>
    </row>
    <row r="63" spans="1:2" x14ac:dyDescent="0.2">
      <c r="A63" s="1"/>
      <c r="B63" s="1" t="s">
        <v>1186</v>
      </c>
    </row>
    <row r="64" spans="1:2" x14ac:dyDescent="0.2">
      <c r="A64" s="1"/>
      <c r="B64" s="1" t="s">
        <v>1185</v>
      </c>
    </row>
    <row r="65" spans="1:2" x14ac:dyDescent="0.2">
      <c r="A65" s="1"/>
      <c r="B65" s="1" t="s">
        <v>1187</v>
      </c>
    </row>
    <row r="66" spans="1:2" x14ac:dyDescent="0.2">
      <c r="A66" s="1"/>
      <c r="B66" s="1" t="s">
        <v>1188</v>
      </c>
    </row>
    <row r="67" spans="1:2" x14ac:dyDescent="0.2">
      <c r="A67" s="1"/>
      <c r="B67" s="1" t="s">
        <v>1233</v>
      </c>
    </row>
    <row r="68" spans="1:2" x14ac:dyDescent="0.2">
      <c r="A68" s="1"/>
      <c r="B68" s="1" t="s">
        <v>1234</v>
      </c>
    </row>
    <row r="69" spans="1:2" x14ac:dyDescent="0.2">
      <c r="A69" s="1"/>
      <c r="B69" s="1" t="s">
        <v>1286</v>
      </c>
    </row>
    <row r="70" spans="1:2" x14ac:dyDescent="0.2">
      <c r="A70" s="1"/>
      <c r="B70" s="1" t="s">
        <v>1292</v>
      </c>
    </row>
    <row r="71" spans="1:2" x14ac:dyDescent="0.2">
      <c r="A71" s="1"/>
      <c r="B71" s="1" t="s">
        <v>1296</v>
      </c>
    </row>
    <row r="72" spans="1:2" ht="15" x14ac:dyDescent="0.2">
      <c r="A72" s="1"/>
      <c r="B72" s="132"/>
    </row>
    <row r="73" spans="1:2" ht="20.25" thickBot="1" x14ac:dyDescent="0.25">
      <c r="A73" s="1"/>
      <c r="B73" s="252" t="s">
        <v>1023</v>
      </c>
    </row>
    <row r="74" spans="1:2" ht="13.5" thickTop="1" x14ac:dyDescent="0.2">
      <c r="A74" s="1"/>
      <c r="B74" s="1" t="s">
        <v>1042</v>
      </c>
    </row>
    <row r="75" spans="1:2" x14ac:dyDescent="0.2">
      <c r="A75" s="1"/>
      <c r="B75" s="1" t="s">
        <v>1046</v>
      </c>
    </row>
    <row r="76" spans="1:2" x14ac:dyDescent="0.2">
      <c r="A76" s="1"/>
      <c r="B76" s="1" t="s">
        <v>1036</v>
      </c>
    </row>
    <row r="77" spans="1:2" x14ac:dyDescent="0.2">
      <c r="A77" s="1"/>
      <c r="B77" s="1" t="s">
        <v>1037</v>
      </c>
    </row>
    <row r="78" spans="1:2" x14ac:dyDescent="0.2">
      <c r="A78" s="1"/>
      <c r="B78" s="1" t="s">
        <v>1038</v>
      </c>
    </row>
    <row r="79" spans="1:2" x14ac:dyDescent="0.2">
      <c r="A79" s="1"/>
      <c r="B79" s="1" t="s">
        <v>1039</v>
      </c>
    </row>
    <row r="80" spans="1:2" x14ac:dyDescent="0.2">
      <c r="A80" s="1"/>
      <c r="B80" s="1" t="s">
        <v>1040</v>
      </c>
    </row>
    <row r="81" spans="1:2" x14ac:dyDescent="0.2">
      <c r="A81" s="1"/>
      <c r="B81" s="1" t="s">
        <v>1041</v>
      </c>
    </row>
    <row r="82" spans="1:2" x14ac:dyDescent="0.2">
      <c r="A82" s="1"/>
      <c r="B82" s="1" t="s">
        <v>1045</v>
      </c>
    </row>
    <row r="83" spans="1:2" x14ac:dyDescent="0.2">
      <c r="A83" s="1"/>
      <c r="B83" s="1" t="s">
        <v>1047</v>
      </c>
    </row>
    <row r="84" spans="1:2" x14ac:dyDescent="0.2">
      <c r="A84" s="1"/>
      <c r="B84" s="1" t="s">
        <v>1048</v>
      </c>
    </row>
    <row r="85" spans="1:2" x14ac:dyDescent="0.2">
      <c r="A85" s="1"/>
      <c r="B85" s="1" t="s">
        <v>1049</v>
      </c>
    </row>
    <row r="86" spans="1:2" x14ac:dyDescent="0.2">
      <c r="A86" s="1"/>
      <c r="B86" s="1" t="s">
        <v>1053</v>
      </c>
    </row>
    <row r="87" spans="1:2" ht="15" x14ac:dyDescent="0.2">
      <c r="A87" s="1"/>
      <c r="B87" s="132"/>
    </row>
    <row r="88" spans="1:2" ht="20.25" thickBot="1" x14ac:dyDescent="0.25">
      <c r="A88" s="1"/>
      <c r="B88" s="252" t="s">
        <v>973</v>
      </c>
    </row>
    <row r="89" spans="1:2" ht="13.5" thickTop="1" x14ac:dyDescent="0.2">
      <c r="A89" s="1"/>
      <c r="B89" s="1" t="s">
        <v>974</v>
      </c>
    </row>
    <row r="90" spans="1:2" x14ac:dyDescent="0.2">
      <c r="A90" s="1"/>
      <c r="B90" s="1" t="s">
        <v>975</v>
      </c>
    </row>
    <row r="91" spans="1:2" x14ac:dyDescent="0.2">
      <c r="A91" s="1"/>
      <c r="B91" s="1" t="s">
        <v>976</v>
      </c>
    </row>
    <row r="92" spans="1:2" x14ac:dyDescent="0.2">
      <c r="A92" s="1"/>
      <c r="B92" s="1" t="s">
        <v>977</v>
      </c>
    </row>
    <row r="93" spans="1:2" x14ac:dyDescent="0.2">
      <c r="A93" s="1"/>
      <c r="B93" s="1" t="s">
        <v>991</v>
      </c>
    </row>
    <row r="94" spans="1:2" x14ac:dyDescent="0.2">
      <c r="A94" s="1"/>
      <c r="B94" s="1" t="s">
        <v>978</v>
      </c>
    </row>
    <row r="95" spans="1:2" x14ac:dyDescent="0.2">
      <c r="A95" s="1"/>
      <c r="B95" s="1" t="s">
        <v>982</v>
      </c>
    </row>
    <row r="96" spans="1:2" x14ac:dyDescent="0.2">
      <c r="A96" s="1"/>
      <c r="B96" s="1" t="s">
        <v>979</v>
      </c>
    </row>
    <row r="97" spans="1:2" x14ac:dyDescent="0.2">
      <c r="A97" s="1"/>
      <c r="B97" s="1" t="s">
        <v>980</v>
      </c>
    </row>
    <row r="98" spans="1:2" x14ac:dyDescent="0.2">
      <c r="A98" s="1"/>
      <c r="B98" s="1" t="s">
        <v>981</v>
      </c>
    </row>
    <row r="99" spans="1:2" x14ac:dyDescent="0.2">
      <c r="A99" s="1"/>
      <c r="B99" s="1" t="s">
        <v>983</v>
      </c>
    </row>
    <row r="100" spans="1:2" x14ac:dyDescent="0.2">
      <c r="A100" s="1"/>
      <c r="B100" s="1" t="s">
        <v>984</v>
      </c>
    </row>
    <row r="101" spans="1:2" x14ac:dyDescent="0.2">
      <c r="A101" s="1"/>
      <c r="B101" s="1" t="s">
        <v>985</v>
      </c>
    </row>
    <row r="102" spans="1:2" x14ac:dyDescent="0.2">
      <c r="A102" s="1"/>
      <c r="B102" s="1" t="s">
        <v>1024</v>
      </c>
    </row>
    <row r="103" spans="1:2" x14ac:dyDescent="0.2">
      <c r="A103" s="1"/>
      <c r="B103" s="1" t="s">
        <v>986</v>
      </c>
    </row>
    <row r="104" spans="1:2" x14ac:dyDescent="0.2">
      <c r="A104" s="1"/>
      <c r="B104" s="1" t="s">
        <v>987</v>
      </c>
    </row>
    <row r="105" spans="1:2" x14ac:dyDescent="0.2">
      <c r="A105" s="1"/>
      <c r="B105" s="1" t="s">
        <v>988</v>
      </c>
    </row>
    <row r="106" spans="1:2" x14ac:dyDescent="0.2">
      <c r="A106" s="1"/>
      <c r="B106" s="1" t="s">
        <v>989</v>
      </c>
    </row>
    <row r="107" spans="1:2" x14ac:dyDescent="0.2">
      <c r="A107" s="1"/>
      <c r="B107" s="1" t="s">
        <v>990</v>
      </c>
    </row>
    <row r="108" spans="1:2" x14ac:dyDescent="0.2">
      <c r="A108" s="1"/>
      <c r="B108" s="1" t="s">
        <v>1004</v>
      </c>
    </row>
    <row r="109" spans="1:2" x14ac:dyDescent="0.2">
      <c r="A109" s="1"/>
      <c r="B109" s="1" t="s">
        <v>1005</v>
      </c>
    </row>
    <row r="110" spans="1:2" x14ac:dyDescent="0.2">
      <c r="A110" s="1"/>
      <c r="B110" s="1" t="s">
        <v>1006</v>
      </c>
    </row>
    <row r="111" spans="1:2" x14ac:dyDescent="0.2">
      <c r="A111" s="1"/>
      <c r="B111" s="1" t="s">
        <v>1007</v>
      </c>
    </row>
    <row r="112" spans="1:2" x14ac:dyDescent="0.2">
      <c r="A112" s="1"/>
      <c r="B112" s="1" t="s">
        <v>1008</v>
      </c>
    </row>
    <row r="113" spans="1:2" x14ac:dyDescent="0.2">
      <c r="A113" s="1"/>
      <c r="B113" s="1" t="s">
        <v>1009</v>
      </c>
    </row>
    <row r="114" spans="1:2" x14ac:dyDescent="0.2">
      <c r="A114" s="1"/>
      <c r="B114" s="1"/>
    </row>
    <row r="115" spans="1:2" ht="20.25" thickBot="1" x14ac:dyDescent="0.25">
      <c r="A115" s="1"/>
      <c r="B115" s="252" t="s">
        <v>962</v>
      </c>
    </row>
    <row r="116" spans="1:2" ht="13.5" thickTop="1" x14ac:dyDescent="0.2">
      <c r="A116" s="1"/>
      <c r="B116" s="1" t="s">
        <v>963</v>
      </c>
    </row>
    <row r="117" spans="1:2" x14ac:dyDescent="0.2">
      <c r="A117" s="1"/>
      <c r="B117" s="1" t="s">
        <v>964</v>
      </c>
    </row>
    <row r="118" spans="1:2" x14ac:dyDescent="0.2">
      <c r="A118" s="1"/>
      <c r="B118" s="1" t="s">
        <v>965</v>
      </c>
    </row>
    <row r="119" spans="1:2" x14ac:dyDescent="0.2">
      <c r="A119" s="1"/>
      <c r="B119" s="1" t="s">
        <v>966</v>
      </c>
    </row>
    <row r="120" spans="1:2" x14ac:dyDescent="0.2">
      <c r="A120" s="1"/>
      <c r="B120" s="1" t="s">
        <v>967</v>
      </c>
    </row>
    <row r="121" spans="1:2" x14ac:dyDescent="0.2">
      <c r="A121" s="1"/>
      <c r="B121" s="1" t="s">
        <v>968</v>
      </c>
    </row>
    <row r="122" spans="1:2" x14ac:dyDescent="0.2">
      <c r="A122" s="1"/>
      <c r="B122" s="1" t="s">
        <v>970</v>
      </c>
    </row>
    <row r="123" spans="1:2" x14ac:dyDescent="0.2">
      <c r="A123" s="1"/>
      <c r="B123" s="1" t="s">
        <v>971</v>
      </c>
    </row>
    <row r="124" spans="1:2" x14ac:dyDescent="0.2">
      <c r="A124" s="1"/>
      <c r="B124" s="1" t="s">
        <v>972</v>
      </c>
    </row>
    <row r="125" spans="1:2" x14ac:dyDescent="0.2">
      <c r="A125" s="1"/>
      <c r="B125" s="1"/>
    </row>
    <row r="126" spans="1:2" ht="20.25" thickBot="1" x14ac:dyDescent="0.25">
      <c r="A126" s="1"/>
      <c r="B126" s="252" t="s">
        <v>956</v>
      </c>
    </row>
    <row r="127" spans="1:2" ht="13.5" thickTop="1" x14ac:dyDescent="0.2">
      <c r="A127" s="1"/>
      <c r="B127" s="1" t="s">
        <v>951</v>
      </c>
    </row>
    <row r="128" spans="1:2" x14ac:dyDescent="0.2">
      <c r="A128" s="1"/>
      <c r="B128" s="1" t="s">
        <v>952</v>
      </c>
    </row>
    <row r="129" spans="1:2" x14ac:dyDescent="0.2">
      <c r="A129" s="1"/>
      <c r="B129" s="1" t="s">
        <v>953</v>
      </c>
    </row>
    <row r="130" spans="1:2" x14ac:dyDescent="0.2">
      <c r="A130" s="1"/>
      <c r="B130" s="1" t="s">
        <v>954</v>
      </c>
    </row>
    <row r="131" spans="1:2" x14ac:dyDescent="0.2">
      <c r="A131" s="1"/>
      <c r="B131" s="1" t="s">
        <v>955</v>
      </c>
    </row>
    <row r="132" spans="1:2" x14ac:dyDescent="0.2">
      <c r="A132" s="1"/>
      <c r="B132" s="1" t="s">
        <v>957</v>
      </c>
    </row>
    <row r="133" spans="1:2" x14ac:dyDescent="0.2">
      <c r="A133" s="1"/>
      <c r="B133" s="1" t="s">
        <v>958</v>
      </c>
    </row>
    <row r="134" spans="1:2" x14ac:dyDescent="0.2">
      <c r="A134" s="1"/>
      <c r="B134" s="1" t="s">
        <v>959</v>
      </c>
    </row>
    <row r="135" spans="1:2" x14ac:dyDescent="0.2">
      <c r="A135" s="1"/>
      <c r="B135" s="1" t="s">
        <v>960</v>
      </c>
    </row>
    <row r="136" spans="1:2" x14ac:dyDescent="0.2">
      <c r="A136" s="1"/>
      <c r="B136" s="1" t="s">
        <v>961</v>
      </c>
    </row>
    <row r="137" spans="1:2" x14ac:dyDescent="0.2">
      <c r="A137" s="1"/>
      <c r="B137" s="1"/>
    </row>
    <row r="138" spans="1:2" ht="20.25" thickBot="1" x14ac:dyDescent="0.25">
      <c r="A138" s="1"/>
      <c r="B138" s="252" t="s">
        <v>944</v>
      </c>
    </row>
    <row r="139" spans="1:2" ht="13.5" thickTop="1" x14ac:dyDescent="0.2">
      <c r="A139" s="1"/>
      <c r="B139" s="1" t="s">
        <v>1025</v>
      </c>
    </row>
    <row r="140" spans="1:2" x14ac:dyDescent="0.2">
      <c r="A140" s="1"/>
      <c r="B140" s="1" t="s">
        <v>945</v>
      </c>
    </row>
    <row r="141" spans="1:2" x14ac:dyDescent="0.2">
      <c r="A141" s="1"/>
      <c r="B141" s="1" t="s">
        <v>946</v>
      </c>
    </row>
    <row r="142" spans="1:2" x14ac:dyDescent="0.2">
      <c r="A142" s="1"/>
      <c r="B142" s="1" t="s">
        <v>947</v>
      </c>
    </row>
    <row r="143" spans="1:2" x14ac:dyDescent="0.2">
      <c r="A143" s="1"/>
      <c r="B143" s="1" t="s">
        <v>1026</v>
      </c>
    </row>
    <row r="144" spans="1:2" x14ac:dyDescent="0.2">
      <c r="A144" s="1"/>
      <c r="B144" s="1" t="s">
        <v>948</v>
      </c>
    </row>
    <row r="145" spans="1:2" x14ac:dyDescent="0.2">
      <c r="A145" s="1"/>
      <c r="B145" s="1" t="s">
        <v>950</v>
      </c>
    </row>
    <row r="146" spans="1:2" x14ac:dyDescent="0.2">
      <c r="A146" s="1"/>
      <c r="B146" s="1" t="s">
        <v>1027</v>
      </c>
    </row>
    <row r="147" spans="1:2" ht="14.25" x14ac:dyDescent="0.2">
      <c r="A147" s="1"/>
      <c r="B147" s="292"/>
    </row>
    <row r="148" spans="1:2" ht="20.25" thickBot="1" x14ac:dyDescent="0.25">
      <c r="A148" s="1"/>
      <c r="B148" s="252" t="s">
        <v>939</v>
      </c>
    </row>
    <row r="149" spans="1:2" ht="13.5" thickTop="1" x14ac:dyDescent="0.2">
      <c r="A149" s="1"/>
      <c r="B149" s="1" t="s">
        <v>1028</v>
      </c>
    </row>
    <row r="150" spans="1:2" x14ac:dyDescent="0.2">
      <c r="A150" s="1"/>
      <c r="B150" s="1" t="s">
        <v>933</v>
      </c>
    </row>
    <row r="151" spans="1:2" x14ac:dyDescent="0.2">
      <c r="A151" s="1"/>
      <c r="B151" s="1" t="s">
        <v>934</v>
      </c>
    </row>
    <row r="152" spans="1:2" x14ac:dyDescent="0.2">
      <c r="A152" s="1"/>
      <c r="B152" s="1" t="s">
        <v>935</v>
      </c>
    </row>
    <row r="153" spans="1:2" x14ac:dyDescent="0.2">
      <c r="A153" s="1"/>
      <c r="B153" s="1" t="s">
        <v>940</v>
      </c>
    </row>
    <row r="154" spans="1:2" x14ac:dyDescent="0.2">
      <c r="A154" s="1"/>
      <c r="B154" s="1" t="s">
        <v>943</v>
      </c>
    </row>
    <row r="155" spans="1:2" x14ac:dyDescent="0.2">
      <c r="A155" s="1"/>
      <c r="B155" s="1"/>
    </row>
    <row r="156" spans="1:2" ht="20.25" thickBot="1" x14ac:dyDescent="0.25">
      <c r="A156" s="1"/>
      <c r="B156" s="252" t="s">
        <v>937</v>
      </c>
    </row>
    <row r="157" spans="1:2" ht="13.5" thickTop="1" x14ac:dyDescent="0.2">
      <c r="A157" s="1"/>
      <c r="B157" s="1" t="s">
        <v>930</v>
      </c>
    </row>
    <row r="158" spans="1:2" x14ac:dyDescent="0.2">
      <c r="A158" s="1"/>
      <c r="B158" s="1" t="s">
        <v>931</v>
      </c>
    </row>
    <row r="159" spans="1:2" x14ac:dyDescent="0.2">
      <c r="A159" s="1"/>
      <c r="B159" s="1" t="s">
        <v>932</v>
      </c>
    </row>
    <row r="160" spans="1:2" ht="15" x14ac:dyDescent="0.2">
      <c r="A160" s="1"/>
      <c r="B160" s="132"/>
    </row>
    <row r="161" spans="1:2" ht="20.25" thickBot="1" x14ac:dyDescent="0.25">
      <c r="A161" s="1"/>
      <c r="B161" s="252" t="s">
        <v>753</v>
      </c>
    </row>
    <row r="162" spans="1:2" ht="13.5" thickTop="1" x14ac:dyDescent="0.2">
      <c r="A162" s="1"/>
      <c r="B162" s="1" t="s">
        <v>754</v>
      </c>
    </row>
    <row r="163" spans="1:2" x14ac:dyDescent="0.2">
      <c r="A163" s="1"/>
      <c r="B163" s="1" t="s">
        <v>755</v>
      </c>
    </row>
    <row r="164" spans="1:2" x14ac:dyDescent="0.2">
      <c r="A164" s="1"/>
      <c r="B164" s="1" t="s">
        <v>756</v>
      </c>
    </row>
    <row r="165" spans="1:2" x14ac:dyDescent="0.2">
      <c r="A165" s="1"/>
      <c r="B165" s="1" t="s">
        <v>759</v>
      </c>
    </row>
    <row r="166" spans="1:2" x14ac:dyDescent="0.2">
      <c r="A166" s="1"/>
      <c r="B166" s="1" t="s">
        <v>757</v>
      </c>
    </row>
    <row r="167" spans="1:2" x14ac:dyDescent="0.2">
      <c r="A167" s="1"/>
      <c r="B167" s="1" t="s">
        <v>758</v>
      </c>
    </row>
    <row r="168" spans="1:2" x14ac:dyDescent="0.2">
      <c r="A168" s="1"/>
      <c r="B168" s="1" t="s">
        <v>760</v>
      </c>
    </row>
    <row r="169" spans="1:2" x14ac:dyDescent="0.2">
      <c r="A169" s="1"/>
      <c r="B169" s="1" t="s">
        <v>762</v>
      </c>
    </row>
    <row r="170" spans="1:2" x14ac:dyDescent="0.2">
      <c r="A170" s="1"/>
      <c r="B170" s="1" t="s">
        <v>763</v>
      </c>
    </row>
    <row r="171" spans="1:2" x14ac:dyDescent="0.2">
      <c r="A171" s="1"/>
      <c r="B171" s="1" t="s">
        <v>764</v>
      </c>
    </row>
    <row r="172" spans="1:2" x14ac:dyDescent="0.2">
      <c r="A172" s="1"/>
      <c r="B172" s="1" t="s">
        <v>765</v>
      </c>
    </row>
    <row r="173" spans="1:2" x14ac:dyDescent="0.2">
      <c r="A173" s="1"/>
      <c r="B173" s="1" t="s">
        <v>766</v>
      </c>
    </row>
    <row r="174" spans="1:2" x14ac:dyDescent="0.2">
      <c r="A174" s="1"/>
      <c r="B174" s="1" t="s">
        <v>767</v>
      </c>
    </row>
    <row r="175" spans="1:2" x14ac:dyDescent="0.2">
      <c r="A175" s="1"/>
      <c r="B175" s="1" t="s">
        <v>770</v>
      </c>
    </row>
    <row r="176" spans="1:2" x14ac:dyDescent="0.2">
      <c r="A176" s="1"/>
      <c r="B176" s="1" t="s">
        <v>771</v>
      </c>
    </row>
    <row r="177" spans="1:2" x14ac:dyDescent="0.2">
      <c r="A177" s="1"/>
      <c r="B177" s="1" t="s">
        <v>772</v>
      </c>
    </row>
    <row r="178" spans="1:2" x14ac:dyDescent="0.2">
      <c r="A178" s="1"/>
      <c r="B178" s="1" t="s">
        <v>773</v>
      </c>
    </row>
    <row r="179" spans="1:2" x14ac:dyDescent="0.2">
      <c r="A179" s="1"/>
      <c r="B179" s="1" t="s">
        <v>774</v>
      </c>
    </row>
    <row r="180" spans="1:2" x14ac:dyDescent="0.2">
      <c r="A180" s="1"/>
      <c r="B180" s="1" t="s">
        <v>775</v>
      </c>
    </row>
    <row r="181" spans="1:2" x14ac:dyDescent="0.2">
      <c r="A181" s="1"/>
      <c r="B181" s="1" t="s">
        <v>776</v>
      </c>
    </row>
    <row r="182" spans="1:2" x14ac:dyDescent="0.2">
      <c r="A182" s="1"/>
      <c r="B182" s="1" t="s">
        <v>777</v>
      </c>
    </row>
    <row r="183" spans="1:2" x14ac:dyDescent="0.2">
      <c r="A183" s="1"/>
      <c r="B183" s="1" t="s">
        <v>778</v>
      </c>
    </row>
    <row r="184" spans="1:2" x14ac:dyDescent="0.2">
      <c r="A184" s="1"/>
      <c r="B184" s="1" t="s">
        <v>783</v>
      </c>
    </row>
    <row r="185" spans="1:2" x14ac:dyDescent="0.2">
      <c r="A185" s="1"/>
      <c r="B185" s="1" t="s">
        <v>784</v>
      </c>
    </row>
    <row r="186" spans="1:2" x14ac:dyDescent="0.2">
      <c r="A186" s="1"/>
      <c r="B186" s="1" t="s">
        <v>785</v>
      </c>
    </row>
    <row r="187" spans="1:2" x14ac:dyDescent="0.2">
      <c r="A187" s="1"/>
      <c r="B187" s="1" t="s">
        <v>787</v>
      </c>
    </row>
    <row r="188" spans="1:2" x14ac:dyDescent="0.2">
      <c r="A188" s="1"/>
      <c r="B188" s="1" t="s">
        <v>786</v>
      </c>
    </row>
    <row r="189" spans="1:2" x14ac:dyDescent="0.2">
      <c r="A189" s="1"/>
      <c r="B189" s="1" t="s">
        <v>788</v>
      </c>
    </row>
    <row r="190" spans="1:2" x14ac:dyDescent="0.2">
      <c r="A190" s="1"/>
      <c r="B190" s="1" t="s">
        <v>789</v>
      </c>
    </row>
    <row r="191" spans="1:2" x14ac:dyDescent="0.2">
      <c r="A191" s="1"/>
      <c r="B191" s="1" t="s">
        <v>790</v>
      </c>
    </row>
    <row r="192" spans="1:2" x14ac:dyDescent="0.2">
      <c r="A192" s="1"/>
      <c r="B192" s="1"/>
    </row>
    <row r="193" spans="1:2" ht="20.25" thickBot="1" x14ac:dyDescent="0.25">
      <c r="A193" s="1"/>
      <c r="B193" s="252" t="s">
        <v>725</v>
      </c>
    </row>
    <row r="194" spans="1:2" ht="13.5" thickTop="1" x14ac:dyDescent="0.2">
      <c r="A194" s="1"/>
      <c r="B194" s="1" t="s">
        <v>726</v>
      </c>
    </row>
    <row r="195" spans="1:2" x14ac:dyDescent="0.2">
      <c r="A195" s="1"/>
      <c r="B195" s="1" t="s">
        <v>727</v>
      </c>
    </row>
    <row r="196" spans="1:2" x14ac:dyDescent="0.2">
      <c r="A196" s="1"/>
      <c r="B196" s="1" t="s">
        <v>728</v>
      </c>
    </row>
    <row r="197" spans="1:2" x14ac:dyDescent="0.2">
      <c r="A197" s="1"/>
      <c r="B197" s="1" t="s">
        <v>729</v>
      </c>
    </row>
    <row r="198" spans="1:2" x14ac:dyDescent="0.2">
      <c r="A198" s="1"/>
      <c r="B198" s="1" t="s">
        <v>730</v>
      </c>
    </row>
    <row r="199" spans="1:2" x14ac:dyDescent="0.2">
      <c r="A199" s="1"/>
      <c r="B199" s="1" t="s">
        <v>731</v>
      </c>
    </row>
    <row r="200" spans="1:2" x14ac:dyDescent="0.2">
      <c r="A200" s="1"/>
      <c r="B200" s="1" t="s">
        <v>732</v>
      </c>
    </row>
    <row r="201" spans="1:2" x14ac:dyDescent="0.2">
      <c r="A201" s="1"/>
      <c r="B201" s="1" t="s">
        <v>733</v>
      </c>
    </row>
    <row r="202" spans="1:2" x14ac:dyDescent="0.2">
      <c r="A202" s="1"/>
      <c r="B202" s="1" t="s">
        <v>734</v>
      </c>
    </row>
    <row r="203" spans="1:2" x14ac:dyDescent="0.2">
      <c r="A203" s="1"/>
      <c r="B203" s="1" t="s">
        <v>735</v>
      </c>
    </row>
    <row r="204" spans="1:2" x14ac:dyDescent="0.2">
      <c r="A204" s="1"/>
      <c r="B204" s="1" t="s">
        <v>736</v>
      </c>
    </row>
    <row r="205" spans="1:2" x14ac:dyDescent="0.2">
      <c r="A205" s="1"/>
      <c r="B205" s="1" t="s">
        <v>737</v>
      </c>
    </row>
    <row r="206" spans="1:2" x14ac:dyDescent="0.2">
      <c r="A206" s="1"/>
      <c r="B206" s="1" t="s">
        <v>738</v>
      </c>
    </row>
    <row r="207" spans="1:2" x14ac:dyDescent="0.2">
      <c r="A207" s="1"/>
      <c r="B207" s="1" t="s">
        <v>739</v>
      </c>
    </row>
    <row r="208" spans="1:2" x14ac:dyDescent="0.2">
      <c r="A208" s="1"/>
      <c r="B208" s="1"/>
    </row>
    <row r="209" spans="1:2" ht="20.25" thickBot="1" x14ac:dyDescent="0.25">
      <c r="A209" s="1"/>
      <c r="B209" s="252" t="s">
        <v>721</v>
      </c>
    </row>
    <row r="210" spans="1:2" ht="13.5" thickTop="1" x14ac:dyDescent="0.2">
      <c r="A210" s="1"/>
      <c r="B210" s="1" t="s">
        <v>689</v>
      </c>
    </row>
    <row r="211" spans="1:2" x14ac:dyDescent="0.2">
      <c r="A211" s="1"/>
      <c r="B211" s="1" t="s">
        <v>688</v>
      </c>
    </row>
    <row r="212" spans="1:2" x14ac:dyDescent="0.2">
      <c r="A212" s="1"/>
      <c r="B212" s="1" t="s">
        <v>690</v>
      </c>
    </row>
    <row r="213" spans="1:2" x14ac:dyDescent="0.2">
      <c r="A213" s="1"/>
      <c r="B213" s="1" t="s">
        <v>692</v>
      </c>
    </row>
    <row r="214" spans="1:2" x14ac:dyDescent="0.2">
      <c r="A214" s="1"/>
      <c r="B214" s="1" t="s">
        <v>694</v>
      </c>
    </row>
    <row r="215" spans="1:2" x14ac:dyDescent="0.2">
      <c r="A215" s="1"/>
      <c r="B215" s="1" t="s">
        <v>695</v>
      </c>
    </row>
    <row r="216" spans="1:2" x14ac:dyDescent="0.2">
      <c r="A216" s="1"/>
      <c r="B216" s="1" t="s">
        <v>696</v>
      </c>
    </row>
    <row r="217" spans="1:2" x14ac:dyDescent="0.2">
      <c r="A217" s="1"/>
      <c r="B217" s="1" t="s">
        <v>697</v>
      </c>
    </row>
    <row r="218" spans="1:2" x14ac:dyDescent="0.2">
      <c r="A218" s="1"/>
      <c r="B218" s="1" t="s">
        <v>698</v>
      </c>
    </row>
    <row r="219" spans="1:2" x14ac:dyDescent="0.2">
      <c r="A219" s="1"/>
      <c r="B219" s="1" t="s">
        <v>699</v>
      </c>
    </row>
    <row r="220" spans="1:2" x14ac:dyDescent="0.2">
      <c r="A220" s="1"/>
      <c r="B220" s="1" t="s">
        <v>700</v>
      </c>
    </row>
    <row r="221" spans="1:2" x14ac:dyDescent="0.2">
      <c r="A221" s="1"/>
      <c r="B221" s="1" t="s">
        <v>701</v>
      </c>
    </row>
    <row r="222" spans="1:2" x14ac:dyDescent="0.2">
      <c r="A222" s="1"/>
      <c r="B222" s="1" t="s">
        <v>702</v>
      </c>
    </row>
    <row r="223" spans="1:2" x14ac:dyDescent="0.2">
      <c r="A223" s="1"/>
      <c r="B223" s="1" t="s">
        <v>703</v>
      </c>
    </row>
    <row r="224" spans="1:2" x14ac:dyDescent="0.2">
      <c r="A224" s="1"/>
      <c r="B224" s="1" t="s">
        <v>706</v>
      </c>
    </row>
    <row r="225" spans="1:2" x14ac:dyDescent="0.2">
      <c r="A225" s="1"/>
      <c r="B225" s="1" t="s">
        <v>705</v>
      </c>
    </row>
    <row r="226" spans="1:2" x14ac:dyDescent="0.2">
      <c r="A226" s="1"/>
      <c r="B226" s="1" t="s">
        <v>707</v>
      </c>
    </row>
    <row r="227" spans="1:2" x14ac:dyDescent="0.2">
      <c r="A227" s="1"/>
      <c r="B227" s="1" t="s">
        <v>708</v>
      </c>
    </row>
    <row r="228" spans="1:2" x14ac:dyDescent="0.2">
      <c r="A228" s="1"/>
      <c r="B228" s="1" t="s">
        <v>711</v>
      </c>
    </row>
    <row r="229" spans="1:2" x14ac:dyDescent="0.2">
      <c r="A229" s="1"/>
      <c r="B229" s="1" t="s">
        <v>712</v>
      </c>
    </row>
    <row r="230" spans="1:2" x14ac:dyDescent="0.2">
      <c r="A230" s="1"/>
      <c r="B230" s="1" t="s">
        <v>713</v>
      </c>
    </row>
    <row r="231" spans="1:2" x14ac:dyDescent="0.2">
      <c r="A231" s="1"/>
      <c r="B231" s="1"/>
    </row>
    <row r="232" spans="1:2" ht="20.25" thickBot="1" x14ac:dyDescent="0.25">
      <c r="A232" s="1"/>
      <c r="B232" s="252" t="s">
        <v>662</v>
      </c>
    </row>
    <row r="233" spans="1:2" ht="13.5" thickTop="1" x14ac:dyDescent="0.2">
      <c r="A233" s="1"/>
      <c r="B233" s="1" t="s">
        <v>663</v>
      </c>
    </row>
    <row r="234" spans="1:2" x14ac:dyDescent="0.2">
      <c r="A234" s="1"/>
      <c r="B234" s="1" t="s">
        <v>665</v>
      </c>
    </row>
    <row r="235" spans="1:2" x14ac:dyDescent="0.2">
      <c r="A235" s="1"/>
      <c r="B235" s="1" t="s">
        <v>664</v>
      </c>
    </row>
    <row r="236" spans="1:2" x14ac:dyDescent="0.2">
      <c r="A236" s="1"/>
      <c r="B236" s="1" t="s">
        <v>667</v>
      </c>
    </row>
    <row r="237" spans="1:2" x14ac:dyDescent="0.2">
      <c r="A237" s="1"/>
      <c r="B237" s="1" t="s">
        <v>668</v>
      </c>
    </row>
    <row r="238" spans="1:2" x14ac:dyDescent="0.2">
      <c r="A238" s="1"/>
      <c r="B238" s="1" t="s">
        <v>674</v>
      </c>
    </row>
    <row r="239" spans="1:2" x14ac:dyDescent="0.2">
      <c r="A239" s="1"/>
      <c r="B239" s="1" t="s">
        <v>675</v>
      </c>
    </row>
    <row r="240" spans="1:2" x14ac:dyDescent="0.2">
      <c r="A240" s="1"/>
      <c r="B240" s="1" t="s">
        <v>676</v>
      </c>
    </row>
    <row r="241" spans="1:2" x14ac:dyDescent="0.2">
      <c r="A241" s="1"/>
      <c r="B241" s="1" t="s">
        <v>677</v>
      </c>
    </row>
    <row r="242" spans="1:2" x14ac:dyDescent="0.2">
      <c r="A242" s="1"/>
      <c r="B242" s="1" t="s">
        <v>678</v>
      </c>
    </row>
    <row r="243" spans="1:2" x14ac:dyDescent="0.2">
      <c r="A243" s="1"/>
      <c r="B243" s="1" t="s">
        <v>679</v>
      </c>
    </row>
    <row r="244" spans="1:2" x14ac:dyDescent="0.2">
      <c r="A244" s="1"/>
      <c r="B244" s="1" t="s">
        <v>680</v>
      </c>
    </row>
    <row r="245" spans="1:2" x14ac:dyDescent="0.2">
      <c r="A245" s="1"/>
      <c r="B245" s="1" t="s">
        <v>681</v>
      </c>
    </row>
    <row r="246" spans="1:2" x14ac:dyDescent="0.2">
      <c r="A246" s="1"/>
      <c r="B246" s="1" t="s">
        <v>682</v>
      </c>
    </row>
    <row r="247" spans="1:2" x14ac:dyDescent="0.2">
      <c r="A247" s="1"/>
      <c r="B247" s="1" t="s">
        <v>683</v>
      </c>
    </row>
    <row r="248" spans="1:2" x14ac:dyDescent="0.2">
      <c r="A248" s="1"/>
      <c r="B248" s="1" t="s">
        <v>684</v>
      </c>
    </row>
    <row r="249" spans="1:2" x14ac:dyDescent="0.2">
      <c r="A249" s="1"/>
      <c r="B249" s="1" t="s">
        <v>686</v>
      </c>
    </row>
    <row r="250" spans="1:2" x14ac:dyDescent="0.2">
      <c r="A250" s="1"/>
      <c r="B250" s="1"/>
    </row>
    <row r="251" spans="1:2" ht="20.25" thickBot="1" x14ac:dyDescent="0.25">
      <c r="A251" s="1"/>
      <c r="B251" s="252" t="s">
        <v>628</v>
      </c>
    </row>
    <row r="252" spans="1:2" ht="13.5" thickTop="1" x14ac:dyDescent="0.2">
      <c r="A252" s="1"/>
      <c r="B252" s="1" t="s">
        <v>635</v>
      </c>
    </row>
    <row r="253" spans="1:2" x14ac:dyDescent="0.2">
      <c r="A253" s="1"/>
      <c r="B253" s="1" t="s">
        <v>637</v>
      </c>
    </row>
    <row r="254" spans="1:2" x14ac:dyDescent="0.2">
      <c r="A254" s="1"/>
      <c r="B254" s="1"/>
    </row>
    <row r="255" spans="1:2" ht="20.25" thickBot="1" x14ac:dyDescent="0.25">
      <c r="A255" s="1"/>
      <c r="B255" s="252" t="s">
        <v>626</v>
      </c>
    </row>
    <row r="256" spans="1:2" ht="13.5" thickTop="1" x14ac:dyDescent="0.2">
      <c r="A256" s="1"/>
      <c r="B256" s="1" t="s">
        <v>620</v>
      </c>
    </row>
    <row r="257" spans="1:2" x14ac:dyDescent="0.2">
      <c r="A257" s="1"/>
      <c r="B257" s="1" t="s">
        <v>619</v>
      </c>
    </row>
    <row r="258" spans="1:2" x14ac:dyDescent="0.2">
      <c r="A258" s="1"/>
      <c r="B258" s="1" t="s">
        <v>621</v>
      </c>
    </row>
    <row r="259" spans="1:2" x14ac:dyDescent="0.2">
      <c r="A259" s="1"/>
      <c r="B259" s="1" t="s">
        <v>622</v>
      </c>
    </row>
    <row r="260" spans="1:2" x14ac:dyDescent="0.2">
      <c r="A260" s="1"/>
      <c r="B260" s="1" t="s">
        <v>625</v>
      </c>
    </row>
    <row r="261" spans="1:2" ht="15" x14ac:dyDescent="0.2">
      <c r="A261" s="1"/>
      <c r="B261" s="132"/>
    </row>
    <row r="262" spans="1:2" ht="20.25" thickBot="1" x14ac:dyDescent="0.25">
      <c r="A262" s="1"/>
      <c r="B262" s="252" t="s">
        <v>598</v>
      </c>
    </row>
    <row r="263" spans="1:2" ht="13.5" thickTop="1" x14ac:dyDescent="0.2">
      <c r="A263" s="1"/>
      <c r="B263" s="1" t="s">
        <v>596</v>
      </c>
    </row>
    <row r="264" spans="1:2" x14ac:dyDescent="0.2">
      <c r="A264" s="1"/>
      <c r="B264" s="1" t="s">
        <v>595</v>
      </c>
    </row>
    <row r="265" spans="1:2" x14ac:dyDescent="0.2">
      <c r="A265" s="1"/>
      <c r="B265" s="1" t="s">
        <v>597</v>
      </c>
    </row>
    <row r="266" spans="1:2" x14ac:dyDescent="0.2">
      <c r="A266" s="1"/>
      <c r="B266" s="1" t="s">
        <v>599</v>
      </c>
    </row>
    <row r="267" spans="1:2" x14ac:dyDescent="0.2">
      <c r="A267" s="1"/>
      <c r="B267" s="1" t="s">
        <v>600</v>
      </c>
    </row>
    <row r="268" spans="1:2" x14ac:dyDescent="0.2">
      <c r="A268" s="1"/>
      <c r="B268" s="1" t="s">
        <v>601</v>
      </c>
    </row>
    <row r="269" spans="1:2" x14ac:dyDescent="0.2">
      <c r="A269" s="1"/>
      <c r="B269" s="1" t="s">
        <v>603</v>
      </c>
    </row>
    <row r="270" spans="1:2" x14ac:dyDescent="0.2">
      <c r="A270" s="1"/>
      <c r="B270" s="1" t="s">
        <v>602</v>
      </c>
    </row>
    <row r="271" spans="1:2" x14ac:dyDescent="0.2">
      <c r="A271" s="1"/>
      <c r="B271" s="1" t="s">
        <v>604</v>
      </c>
    </row>
    <row r="272" spans="1:2" x14ac:dyDescent="0.2">
      <c r="A272" s="1"/>
      <c r="B272" s="1" t="s">
        <v>605</v>
      </c>
    </row>
    <row r="273" spans="1:2" x14ac:dyDescent="0.2">
      <c r="A273" s="1"/>
      <c r="B273" s="1" t="s">
        <v>603</v>
      </c>
    </row>
    <row r="274" spans="1:2" x14ac:dyDescent="0.2">
      <c r="A274" s="1"/>
      <c r="B274" s="1" t="s">
        <v>606</v>
      </c>
    </row>
    <row r="275" spans="1:2" x14ac:dyDescent="0.2">
      <c r="A275" s="1"/>
      <c r="B275" s="1" t="s">
        <v>607</v>
      </c>
    </row>
    <row r="276" spans="1:2" x14ac:dyDescent="0.2">
      <c r="A276" s="1"/>
      <c r="B276" s="1" t="s">
        <v>608</v>
      </c>
    </row>
    <row r="277" spans="1:2" x14ac:dyDescent="0.2">
      <c r="A277" s="1"/>
      <c r="B277" s="1" t="s">
        <v>611</v>
      </c>
    </row>
    <row r="278" spans="1:2" x14ac:dyDescent="0.2">
      <c r="A278" s="1"/>
      <c r="B278" s="1"/>
    </row>
    <row r="279" spans="1:2" ht="20.25" thickBot="1" x14ac:dyDescent="0.25">
      <c r="A279" s="1"/>
      <c r="B279" s="252" t="s">
        <v>585</v>
      </c>
    </row>
    <row r="280" spans="1:2" ht="13.5" thickTop="1" x14ac:dyDescent="0.2">
      <c r="A280" s="1"/>
      <c r="B280" s="1" t="s">
        <v>586</v>
      </c>
    </row>
    <row r="281" spans="1:2" x14ac:dyDescent="0.2">
      <c r="A281" s="1"/>
      <c r="B281" s="1" t="s">
        <v>587</v>
      </c>
    </row>
    <row r="282" spans="1:2" x14ac:dyDescent="0.2">
      <c r="A282" s="1"/>
      <c r="B282" s="1" t="s">
        <v>542</v>
      </c>
    </row>
    <row r="283" spans="1:2" x14ac:dyDescent="0.2">
      <c r="A283" s="1"/>
      <c r="B283" s="1" t="s">
        <v>588</v>
      </c>
    </row>
    <row r="284" spans="1:2" x14ac:dyDescent="0.2">
      <c r="A284" s="1"/>
      <c r="B284" s="1" t="s">
        <v>596</v>
      </c>
    </row>
    <row r="285" spans="1:2" x14ac:dyDescent="0.2">
      <c r="A285" s="1"/>
      <c r="B285" s="1" t="s">
        <v>595</v>
      </c>
    </row>
    <row r="286" spans="1:2" x14ac:dyDescent="0.2">
      <c r="A286" s="1"/>
      <c r="B286" s="1" t="s">
        <v>597</v>
      </c>
    </row>
    <row r="287" spans="1:2" ht="15" x14ac:dyDescent="0.2">
      <c r="A287" s="1"/>
      <c r="B287" s="132"/>
    </row>
    <row r="288" spans="1:2" ht="20.25" thickBot="1" x14ac:dyDescent="0.25">
      <c r="A288" s="1"/>
      <c r="B288" s="252" t="s">
        <v>539</v>
      </c>
    </row>
    <row r="289" spans="1:2" ht="13.5" thickTop="1" x14ac:dyDescent="0.2">
      <c r="A289" s="1"/>
      <c r="B289" s="1" t="s">
        <v>540</v>
      </c>
    </row>
    <row r="290" spans="1:2" x14ac:dyDescent="0.2">
      <c r="A290" s="1"/>
      <c r="B290" s="1" t="s">
        <v>541</v>
      </c>
    </row>
    <row r="291" spans="1:2" x14ac:dyDescent="0.2">
      <c r="A291" s="1"/>
      <c r="B291" s="1" t="s">
        <v>542</v>
      </c>
    </row>
    <row r="292" spans="1:2" ht="15" x14ac:dyDescent="0.2">
      <c r="A292" s="1"/>
      <c r="B292" s="132"/>
    </row>
    <row r="293" spans="1:2" ht="20.25" thickBot="1" x14ac:dyDescent="0.25">
      <c r="A293" s="1"/>
      <c r="B293" s="252" t="s">
        <v>537</v>
      </c>
    </row>
    <row r="294" spans="1:2" ht="13.5" thickTop="1" x14ac:dyDescent="0.2">
      <c r="A294" s="1"/>
      <c r="B294" s="1" t="s">
        <v>538</v>
      </c>
    </row>
    <row r="295" spans="1:2" ht="15" x14ac:dyDescent="0.2">
      <c r="A295" s="1"/>
      <c r="B295" s="132"/>
    </row>
    <row r="296" spans="1:2" ht="20.25" thickBot="1" x14ac:dyDescent="0.25">
      <c r="A296" s="1"/>
      <c r="B296" s="252" t="s">
        <v>531</v>
      </c>
    </row>
    <row r="297" spans="1:2" ht="13.5" thickTop="1" x14ac:dyDescent="0.2">
      <c r="A297" s="1"/>
      <c r="B297" s="1" t="s">
        <v>532</v>
      </c>
    </row>
    <row r="298" spans="1:2" x14ac:dyDescent="0.2">
      <c r="A298" s="1"/>
      <c r="B298" s="1" t="s">
        <v>533</v>
      </c>
    </row>
    <row r="299" spans="1:2" x14ac:dyDescent="0.2">
      <c r="A299" s="1"/>
      <c r="B299" s="1"/>
    </row>
    <row r="300" spans="1:2" ht="20.25" thickBot="1" x14ac:dyDescent="0.25">
      <c r="A300" s="1"/>
      <c r="B300" s="252" t="s">
        <v>529</v>
      </c>
    </row>
    <row r="301" spans="1:2" ht="13.5" thickTop="1" x14ac:dyDescent="0.2">
      <c r="A301" s="1"/>
      <c r="B301" s="1" t="s">
        <v>530</v>
      </c>
    </row>
    <row r="302" spans="1:2" x14ac:dyDescent="0.2">
      <c r="A302" s="1"/>
      <c r="B302" s="1"/>
    </row>
    <row r="303" spans="1:2" ht="20.25" thickBot="1" x14ac:dyDescent="0.25">
      <c r="A303" s="1"/>
      <c r="B303" s="252" t="s">
        <v>519</v>
      </c>
    </row>
    <row r="304" spans="1:2" ht="13.5" thickTop="1" x14ac:dyDescent="0.2">
      <c r="A304" s="1"/>
      <c r="B304" s="1" t="s">
        <v>520</v>
      </c>
    </row>
    <row r="305" spans="1:2" x14ac:dyDescent="0.2">
      <c r="A305" s="1"/>
      <c r="B305" s="1" t="s">
        <v>521</v>
      </c>
    </row>
    <row r="306" spans="1:2" x14ac:dyDescent="0.2">
      <c r="A306" s="1"/>
      <c r="B306" s="1" t="s">
        <v>523</v>
      </c>
    </row>
    <row r="307" spans="1:2" x14ac:dyDescent="0.2">
      <c r="A307" s="1"/>
      <c r="B307" s="1" t="s">
        <v>522</v>
      </c>
    </row>
    <row r="308" spans="1:2" x14ac:dyDescent="0.2">
      <c r="A308" s="1"/>
      <c r="B308" s="1" t="s">
        <v>524</v>
      </c>
    </row>
    <row r="309" spans="1:2" x14ac:dyDescent="0.2">
      <c r="A309" s="1"/>
      <c r="B309" s="1" t="s">
        <v>525</v>
      </c>
    </row>
    <row r="310" spans="1:2" x14ac:dyDescent="0.2">
      <c r="A310" s="1"/>
      <c r="B310" s="1" t="s">
        <v>526</v>
      </c>
    </row>
    <row r="311" spans="1:2" x14ac:dyDescent="0.2">
      <c r="A311" s="1"/>
      <c r="B311" s="1" t="s">
        <v>528</v>
      </c>
    </row>
    <row r="312" spans="1:2" x14ac:dyDescent="0.2">
      <c r="A312" s="1"/>
      <c r="B312" s="1" t="s">
        <v>527</v>
      </c>
    </row>
    <row r="313" spans="1:2" ht="14.25" x14ac:dyDescent="0.2">
      <c r="A313" s="1"/>
      <c r="B313" s="292"/>
    </row>
    <row r="314" spans="1:2" ht="20.25" thickBot="1" x14ac:dyDescent="0.25">
      <c r="A314" s="1"/>
      <c r="B314" s="252" t="s">
        <v>497</v>
      </c>
    </row>
    <row r="315" spans="1:2" ht="13.5" thickTop="1" x14ac:dyDescent="0.2">
      <c r="A315" s="1"/>
      <c r="B315" s="1" t="s">
        <v>498</v>
      </c>
    </row>
    <row r="316" spans="1:2" x14ac:dyDescent="0.2">
      <c r="A316" s="1"/>
      <c r="B316" s="1" t="s">
        <v>499</v>
      </c>
    </row>
    <row r="317" spans="1:2" x14ac:dyDescent="0.2">
      <c r="A317" s="1"/>
      <c r="B317" s="1" t="s">
        <v>500</v>
      </c>
    </row>
    <row r="318" spans="1:2" x14ac:dyDescent="0.2">
      <c r="A318" s="1"/>
      <c r="B318" s="1" t="s">
        <v>501</v>
      </c>
    </row>
    <row r="319" spans="1:2" x14ac:dyDescent="0.2">
      <c r="A319" s="1"/>
      <c r="B319" s="1" t="s">
        <v>502</v>
      </c>
    </row>
    <row r="320" spans="1:2" x14ac:dyDescent="0.2">
      <c r="A320" s="1"/>
      <c r="B320" s="1" t="s">
        <v>503</v>
      </c>
    </row>
    <row r="321" spans="1:2" x14ac:dyDescent="0.2">
      <c r="A321" s="1"/>
      <c r="B321" s="1" t="s">
        <v>504</v>
      </c>
    </row>
    <row r="322" spans="1:2" x14ac:dyDescent="0.2">
      <c r="A322" s="1"/>
      <c r="B322" s="1" t="s">
        <v>505</v>
      </c>
    </row>
    <row r="323" spans="1:2" x14ac:dyDescent="0.2">
      <c r="A323" s="1"/>
      <c r="B323" s="1" t="s">
        <v>506</v>
      </c>
    </row>
    <row r="324" spans="1:2" x14ac:dyDescent="0.2">
      <c r="A324" s="1"/>
      <c r="B324" s="1" t="s">
        <v>507</v>
      </c>
    </row>
    <row r="325" spans="1:2" x14ac:dyDescent="0.2">
      <c r="A325" s="1"/>
      <c r="B325" s="1" t="s">
        <v>508</v>
      </c>
    </row>
    <row r="326" spans="1:2" x14ac:dyDescent="0.2">
      <c r="A326" s="1"/>
      <c r="B326" s="1" t="s">
        <v>510</v>
      </c>
    </row>
    <row r="327" spans="1:2" x14ac:dyDescent="0.2">
      <c r="A327" s="1"/>
      <c r="B327" s="1" t="s">
        <v>515</v>
      </c>
    </row>
    <row r="328" spans="1:2" x14ac:dyDescent="0.2">
      <c r="A328" s="1"/>
      <c r="B328" s="1" t="s">
        <v>514</v>
      </c>
    </row>
    <row r="329" spans="1:2" x14ac:dyDescent="0.2">
      <c r="A329" s="1"/>
      <c r="B329" s="1" t="s">
        <v>513</v>
      </c>
    </row>
    <row r="330" spans="1:2" x14ac:dyDescent="0.2">
      <c r="A330" s="1"/>
      <c r="B330" s="1" t="s">
        <v>512</v>
      </c>
    </row>
    <row r="331" spans="1:2" x14ac:dyDescent="0.2">
      <c r="A331" s="1"/>
      <c r="B331" s="1" t="s">
        <v>511</v>
      </c>
    </row>
    <row r="332" spans="1:2" ht="15" x14ac:dyDescent="0.2">
      <c r="A332" s="1"/>
      <c r="B332" s="132"/>
    </row>
    <row r="333" spans="1:2" ht="20.25" thickBot="1" x14ac:dyDescent="0.25">
      <c r="A333" s="1"/>
      <c r="B333" s="252" t="s">
        <v>495</v>
      </c>
    </row>
    <row r="334" spans="1:2" ht="13.5" thickTop="1" x14ac:dyDescent="0.2">
      <c r="A334" s="1"/>
      <c r="B334" s="1" t="s">
        <v>496</v>
      </c>
    </row>
    <row r="335" spans="1:2" x14ac:dyDescent="0.2">
      <c r="A335" s="1"/>
      <c r="B335" s="1"/>
    </row>
    <row r="336" spans="1:2" ht="20.25" thickBot="1" x14ac:dyDescent="0.25">
      <c r="B336" s="252" t="s">
        <v>484</v>
      </c>
    </row>
    <row r="337" spans="2:2" ht="13.5" thickTop="1" x14ac:dyDescent="0.2">
      <c r="B337" t="s">
        <v>456</v>
      </c>
    </row>
    <row r="338" spans="2:2" x14ac:dyDescent="0.2">
      <c r="B338" t="s">
        <v>459</v>
      </c>
    </row>
    <row r="339" spans="2:2" x14ac:dyDescent="0.2">
      <c r="B339" t="s">
        <v>463</v>
      </c>
    </row>
    <row r="340" spans="2:2" x14ac:dyDescent="0.2">
      <c r="B340" t="s">
        <v>452</v>
      </c>
    </row>
    <row r="341" spans="2:2" x14ac:dyDescent="0.2">
      <c r="B341" t="s">
        <v>472</v>
      </c>
    </row>
    <row r="342" spans="2:2" x14ac:dyDescent="0.2">
      <c r="B342" t="s">
        <v>473</v>
      </c>
    </row>
    <row r="343" spans="2:2" x14ac:dyDescent="0.2">
      <c r="B343" t="s">
        <v>474</v>
      </c>
    </row>
    <row r="344" spans="2:2" x14ac:dyDescent="0.2">
      <c r="B344" t="s">
        <v>475</v>
      </c>
    </row>
    <row r="345" spans="2:2" x14ac:dyDescent="0.2">
      <c r="B345" t="s">
        <v>476</v>
      </c>
    </row>
    <row r="346" spans="2:2" x14ac:dyDescent="0.2">
      <c r="B346" t="s">
        <v>477</v>
      </c>
    </row>
    <row r="347" spans="2:2" x14ac:dyDescent="0.2">
      <c r="B347" t="s">
        <v>478</v>
      </c>
    </row>
    <row r="348" spans="2:2" x14ac:dyDescent="0.2">
      <c r="B348" t="s">
        <v>479</v>
      </c>
    </row>
    <row r="349" spans="2:2" x14ac:dyDescent="0.2">
      <c r="B349" t="s">
        <v>480</v>
      </c>
    </row>
    <row r="350" spans="2:2" x14ac:dyDescent="0.2">
      <c r="B350" t="s">
        <v>481</v>
      </c>
    </row>
    <row r="351" spans="2:2" x14ac:dyDescent="0.2">
      <c r="B351" t="s">
        <v>482</v>
      </c>
    </row>
    <row r="352" spans="2:2" x14ac:dyDescent="0.2">
      <c r="B352" t="s">
        <v>483</v>
      </c>
    </row>
    <row r="353" spans="2:2" x14ac:dyDescent="0.2">
      <c r="B353" t="s">
        <v>493</v>
      </c>
    </row>
    <row r="354" spans="2:2" x14ac:dyDescent="0.2">
      <c r="B354" t="s">
        <v>494</v>
      </c>
    </row>
    <row r="355" spans="2:2" x14ac:dyDescent="0.2"/>
    <row r="356" spans="2:2" ht="20.25" thickBot="1" x14ac:dyDescent="0.25">
      <c r="B356" s="252" t="s">
        <v>485</v>
      </c>
    </row>
    <row r="357" spans="2:2" ht="13.5" thickTop="1" x14ac:dyDescent="0.2">
      <c r="B357" t="s">
        <v>425</v>
      </c>
    </row>
    <row r="358" spans="2:2" x14ac:dyDescent="0.2">
      <c r="B358" t="s">
        <v>426</v>
      </c>
    </row>
    <row r="359" spans="2:2" x14ac:dyDescent="0.2">
      <c r="B359" t="s">
        <v>427</v>
      </c>
    </row>
    <row r="360" spans="2:2" x14ac:dyDescent="0.2">
      <c r="B360" t="s">
        <v>429</v>
      </c>
    </row>
    <row r="361" spans="2:2" x14ac:dyDescent="0.2">
      <c r="B361" t="s">
        <v>430</v>
      </c>
    </row>
    <row r="362" spans="2:2" x14ac:dyDescent="0.2">
      <c r="B362" t="s">
        <v>431</v>
      </c>
    </row>
    <row r="363" spans="2:2" x14ac:dyDescent="0.2">
      <c r="B363" t="s">
        <v>432</v>
      </c>
    </row>
    <row r="364" spans="2:2" x14ac:dyDescent="0.2">
      <c r="B364" t="s">
        <v>428</v>
      </c>
    </row>
    <row r="365" spans="2:2" x14ac:dyDescent="0.2">
      <c r="B365" t="s">
        <v>433</v>
      </c>
    </row>
    <row r="366" spans="2:2" x14ac:dyDescent="0.2">
      <c r="B366" t="s">
        <v>434</v>
      </c>
    </row>
    <row r="367" spans="2:2" x14ac:dyDescent="0.2">
      <c r="B367" t="s">
        <v>435</v>
      </c>
    </row>
    <row r="368" spans="2:2" x14ac:dyDescent="0.2">
      <c r="B368" t="s">
        <v>436</v>
      </c>
    </row>
    <row r="369" spans="2:2" x14ac:dyDescent="0.2">
      <c r="B369" t="s">
        <v>438</v>
      </c>
    </row>
    <row r="370" spans="2:2" x14ac:dyDescent="0.2">
      <c r="B370" t="s">
        <v>437</v>
      </c>
    </row>
    <row r="371" spans="2:2" x14ac:dyDescent="0.2">
      <c r="B371" t="s">
        <v>439</v>
      </c>
    </row>
    <row r="372" spans="2:2" x14ac:dyDescent="0.2">
      <c r="B372" t="s">
        <v>440</v>
      </c>
    </row>
    <row r="373" spans="2:2" x14ac:dyDescent="0.2">
      <c r="B373" t="s">
        <v>441</v>
      </c>
    </row>
    <row r="374" spans="2:2" x14ac:dyDescent="0.2">
      <c r="B374" t="s">
        <v>442</v>
      </c>
    </row>
    <row r="375" spans="2:2" x14ac:dyDescent="0.2">
      <c r="B375" t="s">
        <v>444</v>
      </c>
    </row>
    <row r="376" spans="2:2" x14ac:dyDescent="0.2">
      <c r="B376" t="s">
        <v>443</v>
      </c>
    </row>
    <row r="377" spans="2:2" x14ac:dyDescent="0.2">
      <c r="B377" t="s">
        <v>457</v>
      </c>
    </row>
    <row r="378" spans="2:2" x14ac:dyDescent="0.2">
      <c r="B378" t="s">
        <v>458</v>
      </c>
    </row>
    <row r="380" spans="2:2" ht="20.25" thickBot="1" x14ac:dyDescent="0.25">
      <c r="B380" s="252" t="s">
        <v>486</v>
      </c>
    </row>
    <row r="381" spans="2:2" ht="13.5" thickTop="1" x14ac:dyDescent="0.2">
      <c r="B381" t="s">
        <v>425</v>
      </c>
    </row>
    <row r="382" spans="2:2" x14ac:dyDescent="0.2">
      <c r="B382" t="s">
        <v>426</v>
      </c>
    </row>
    <row r="384" spans="2:2" ht="20.25" thickBot="1" x14ac:dyDescent="0.25">
      <c r="B384" s="252" t="s">
        <v>487</v>
      </c>
    </row>
    <row r="385" spans="2:2" ht="13.5" thickTop="1" x14ac:dyDescent="0.2">
      <c r="B385" t="s">
        <v>446</v>
      </c>
    </row>
    <row r="386" spans="2:2" x14ac:dyDescent="0.2">
      <c r="B386" t="s">
        <v>447</v>
      </c>
    </row>
    <row r="387" spans="2:2" x14ac:dyDescent="0.2">
      <c r="B387" t="s">
        <v>448</v>
      </c>
    </row>
    <row r="388" spans="2:2" x14ac:dyDescent="0.2">
      <c r="B388" t="s">
        <v>1029</v>
      </c>
    </row>
    <row r="389" spans="2:2" x14ac:dyDescent="0.2">
      <c r="B389" t="s">
        <v>449</v>
      </c>
    </row>
    <row r="390" spans="2:2" x14ac:dyDescent="0.2">
      <c r="B390" t="s">
        <v>1030</v>
      </c>
    </row>
    <row r="391" spans="2:2" x14ac:dyDescent="0.2">
      <c r="B391" t="s">
        <v>450</v>
      </c>
    </row>
    <row r="392" spans="2:2" x14ac:dyDescent="0.2">
      <c r="B392" t="s">
        <v>451</v>
      </c>
    </row>
    <row r="394" spans="2:2" ht="20.25" thickBot="1" x14ac:dyDescent="0.25">
      <c r="B394" s="252" t="s">
        <v>488</v>
      </c>
    </row>
    <row r="395" spans="2:2" ht="13.5" thickTop="1" x14ac:dyDescent="0.2">
      <c r="B395" t="s">
        <v>446</v>
      </c>
    </row>
    <row r="396" spans="2:2" x14ac:dyDescent="0.2">
      <c r="B396" t="s">
        <v>447</v>
      </c>
    </row>
    <row r="397" spans="2:2" x14ac:dyDescent="0.2">
      <c r="B397" t="s">
        <v>448</v>
      </c>
    </row>
    <row r="399" spans="2:2" ht="20.25" thickBot="1" x14ac:dyDescent="0.25">
      <c r="B399" s="252" t="s">
        <v>489</v>
      </c>
    </row>
    <row r="400" spans="2:2" ht="13.5" thickTop="1" x14ac:dyDescent="0.2">
      <c r="B400" t="s">
        <v>461</v>
      </c>
    </row>
    <row r="402" spans="2:2" ht="20.25" thickBot="1" x14ac:dyDescent="0.25">
      <c r="B402" s="252" t="s">
        <v>490</v>
      </c>
    </row>
    <row r="403" spans="2:2" ht="13.5" thickTop="1" x14ac:dyDescent="0.2">
      <c r="B403" t="s">
        <v>462</v>
      </c>
    </row>
    <row r="405" spans="2:2" ht="20.25" thickBot="1" x14ac:dyDescent="0.25">
      <c r="B405" s="252" t="s">
        <v>491</v>
      </c>
    </row>
    <row r="406" spans="2:2" ht="13.5" thickTop="1" x14ac:dyDescent="0.2">
      <c r="B406" t="s">
        <v>461</v>
      </c>
    </row>
  </sheetData>
  <pageMargins left="0.7" right="0.7" top="0.75" bottom="0.75" header="0.3" footer="0.3"/>
  <pageSetup paperSize="9" orientation="portrait" r:id="rId1"/>
  <headerFooter>
    <oddHeader>&amp;C&amp;"Calibri"&amp;12&amp;KFF0000 OFFICIAL&amp;1#_x000D_</oddHeader>
    <oddFooter>&amp;C_x000D_&amp;1#&amp;"Calibri"&amp;12&amp;KFF0000 OFFICIAL</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8">
    <tabColor theme="6"/>
    <pageSetUpPr fitToPage="1"/>
  </sheetPr>
  <dimension ref="A1:S411"/>
  <sheetViews>
    <sheetView showGridLines="0" zoomScaleNormal="100" workbookViewId="0">
      <pane ySplit="3" topLeftCell="A4" activePane="bottomLeft" state="frozen"/>
      <selection activeCell="B7" sqref="B7:G7"/>
      <selection pane="bottomLeft" activeCell="A4" sqref="A4"/>
    </sheetView>
  </sheetViews>
  <sheetFormatPr defaultRowHeight="12.75" customHeight="1" outlineLevelRow="1" x14ac:dyDescent="0.2"/>
  <cols>
    <col min="1" max="1" width="3.7109375" customWidth="1"/>
    <col min="2" max="3" width="3.7109375" hidden="1" customWidth="1"/>
    <col min="4" max="4" width="45.7109375" customWidth="1"/>
    <col min="5" max="10" width="15.7109375" customWidth="1"/>
    <col min="11" max="11" width="3.7109375" hidden="1" customWidth="1"/>
    <col min="12" max="17" width="12.7109375" hidden="1" customWidth="1"/>
    <col min="18" max="18" width="3.7109375" customWidth="1"/>
    <col min="19" max="19" width="75.7109375" customWidth="1"/>
    <col min="20" max="20" width="3.7109375" customWidth="1"/>
    <col min="21" max="23" width="9.140625" customWidth="1"/>
  </cols>
  <sheetData>
    <row r="1" spans="1:19" ht="23.25" x14ac:dyDescent="0.2">
      <c r="A1" s="97">
        <f>IF((SUM(E14:J14)+SUM(E15:J15)&lt;&gt;0),2,0)</f>
        <v>0</v>
      </c>
      <c r="B1" s="97"/>
      <c r="C1" s="97"/>
      <c r="D1" s="106" t="s">
        <v>315</v>
      </c>
      <c r="E1" s="107"/>
      <c r="F1" s="107"/>
      <c r="G1" s="107"/>
      <c r="H1" s="107"/>
      <c r="I1" s="583"/>
      <c r="J1" s="583"/>
      <c r="K1" s="107"/>
      <c r="L1" s="107"/>
      <c r="M1" s="107"/>
      <c r="N1" s="107"/>
      <c r="O1" s="107"/>
      <c r="P1" s="107"/>
      <c r="Q1" s="107"/>
      <c r="R1" s="108"/>
      <c r="S1" s="109" t="str">
        <f>IF(PxIncident&lt;&gt;1,MsgNotRequired,"")</f>
        <v>** NOT REQUIRED **</v>
      </c>
    </row>
    <row r="2" spans="1:19" ht="15.75" x14ac:dyDescent="0.2">
      <c r="A2" s="107"/>
      <c r="B2" s="107"/>
      <c r="C2" s="107"/>
      <c r="D2" s="100" t="str">
        <f>CONCATENATE("Name of medicine: ",MedicineBrand)</f>
        <v xml:space="preserve">Name of medicine: </v>
      </c>
      <c r="E2" s="107"/>
      <c r="F2" s="107"/>
      <c r="G2" s="107"/>
      <c r="H2" s="107"/>
      <c r="I2" s="107"/>
      <c r="J2" s="107"/>
      <c r="K2" s="107"/>
      <c r="L2" s="107"/>
      <c r="M2" s="107"/>
      <c r="N2" s="107"/>
      <c r="O2" s="107"/>
      <c r="P2" s="107"/>
      <c r="Q2" s="107"/>
      <c r="R2" s="108"/>
      <c r="S2" s="108"/>
    </row>
    <row r="3" spans="1:19" ht="15.75" x14ac:dyDescent="0.2">
      <c r="A3" s="107"/>
      <c r="B3" s="107"/>
      <c r="C3" s="107"/>
      <c r="D3" s="100" t="str">
        <f>CONCATENATE("Indication: ", Indication)</f>
        <v xml:space="preserve">Indication: </v>
      </c>
      <c r="E3" s="107"/>
      <c r="F3" s="107"/>
      <c r="G3" s="107"/>
      <c r="H3" s="107"/>
      <c r="I3" s="107"/>
      <c r="J3" s="107"/>
      <c r="K3" s="107"/>
      <c r="L3" s="107"/>
      <c r="M3" s="107"/>
      <c r="N3" s="107"/>
      <c r="O3" s="107"/>
      <c r="P3" s="107"/>
      <c r="Q3" s="107"/>
      <c r="R3" s="108"/>
      <c r="S3" s="108"/>
    </row>
    <row r="4" spans="1:19" x14ac:dyDescent="0.2"/>
    <row r="5" spans="1:19" ht="15.75" x14ac:dyDescent="0.2">
      <c r="A5" s="110"/>
      <c r="B5" s="110"/>
      <c r="C5" s="110"/>
      <c r="D5" s="111" t="s">
        <v>2</v>
      </c>
      <c r="E5" s="21"/>
      <c r="F5" s="21"/>
      <c r="G5" s="21"/>
      <c r="H5" s="21"/>
      <c r="I5" s="21"/>
      <c r="J5" s="21"/>
      <c r="K5" s="21"/>
      <c r="L5" s="21"/>
      <c r="M5" s="21"/>
      <c r="N5" s="21"/>
      <c r="O5" s="21"/>
      <c r="P5" s="21"/>
      <c r="Q5" s="21"/>
      <c r="R5" s="21"/>
      <c r="S5" s="21"/>
    </row>
    <row r="6" spans="1:19" x14ac:dyDescent="0.2"/>
    <row r="7" spans="1:19" x14ac:dyDescent="0.2">
      <c r="D7" t="s">
        <v>824</v>
      </c>
    </row>
    <row r="8" spans="1:19" x14ac:dyDescent="0.2"/>
    <row r="9" spans="1:19" ht="15.75" x14ac:dyDescent="0.2">
      <c r="D9" s="111" t="s">
        <v>846</v>
      </c>
      <c r="E9" s="112"/>
      <c r="F9" s="112"/>
      <c r="G9" s="112"/>
      <c r="H9" s="112"/>
      <c r="I9" s="112"/>
      <c r="J9" s="113"/>
      <c r="K9" s="113"/>
      <c r="L9" s="113"/>
      <c r="M9" s="113"/>
      <c r="N9" s="113"/>
      <c r="O9" s="113"/>
      <c r="P9" s="113"/>
      <c r="Q9" s="113"/>
      <c r="R9" s="21"/>
      <c r="S9" s="21"/>
    </row>
    <row r="10" spans="1:19" x14ac:dyDescent="0.2"/>
    <row r="11" spans="1:19" x14ac:dyDescent="0.2">
      <c r="D11" t="s">
        <v>969</v>
      </c>
    </row>
    <row r="12" spans="1:19" x14ac:dyDescent="0.2"/>
    <row r="13" spans="1:19" x14ac:dyDescent="0.2">
      <c r="D13" s="357"/>
      <c r="E13" s="74">
        <f>FirstYear</f>
        <v>2026</v>
      </c>
      <c r="F13" s="74">
        <f>E13+1</f>
        <v>2027</v>
      </c>
      <c r="G13" s="74">
        <f>F13+1</f>
        <v>2028</v>
      </c>
      <c r="H13" s="74">
        <f>G13+1</f>
        <v>2029</v>
      </c>
      <c r="I13" s="74">
        <f>H13+1</f>
        <v>2030</v>
      </c>
      <c r="J13" s="74">
        <f>I13+1</f>
        <v>2031</v>
      </c>
      <c r="N13" s="119"/>
    </row>
    <row r="14" spans="1:19" x14ac:dyDescent="0.2">
      <c r="D14" s="53" t="str">
        <f>TxPhase1PxTotal</f>
        <v/>
      </c>
      <c r="E14" s="27">
        <f t="shared" ref="E14:J14" si="0">IF(OR(ScriptSourceCode=1,ScriptSourceCode=3),E52+E90+E128+E166+E204+E242+E280+E318+E356+E394,0)</f>
        <v>0</v>
      </c>
      <c r="F14" s="27">
        <f t="shared" si="0"/>
        <v>0</v>
      </c>
      <c r="G14" s="27">
        <f t="shared" si="0"/>
        <v>0</v>
      </c>
      <c r="H14" s="27">
        <f t="shared" si="0"/>
        <v>0</v>
      </c>
      <c r="I14" s="27">
        <f t="shared" si="0"/>
        <v>0</v>
      </c>
      <c r="J14" s="27">
        <f t="shared" si="0"/>
        <v>0</v>
      </c>
      <c r="N14" s="119"/>
    </row>
    <row r="15" spans="1:19" x14ac:dyDescent="0.2">
      <c r="D15" s="53" t="str">
        <f>TxPhase2PxTotal</f>
        <v/>
      </c>
      <c r="E15" s="27">
        <f t="shared" ref="E15:J15" si="1">IF(OR(ScriptSourceCode=1,ScriptSourceCode=3),IF(TPCont&gt;0,E53+E91+E129+E167+E205+E243+E281+E319+E357+E395,0),0)</f>
        <v>0</v>
      </c>
      <c r="F15" s="27">
        <f t="shared" si="1"/>
        <v>0</v>
      </c>
      <c r="G15" s="27">
        <f t="shared" si="1"/>
        <v>0</v>
      </c>
      <c r="H15" s="27">
        <f t="shared" si="1"/>
        <v>0</v>
      </c>
      <c r="I15" s="27">
        <f t="shared" si="1"/>
        <v>0</v>
      </c>
      <c r="J15" s="27">
        <f t="shared" si="1"/>
        <v>0</v>
      </c>
      <c r="L15" s="114"/>
      <c r="M15" s="114"/>
      <c r="N15" s="114"/>
      <c r="O15" s="114"/>
      <c r="P15" s="114"/>
      <c r="Q15" s="114"/>
    </row>
    <row r="17" spans="1:19" x14ac:dyDescent="0.2"/>
    <row r="18" spans="1:19" ht="15.75" x14ac:dyDescent="0.2">
      <c r="A18" s="22"/>
      <c r="B18" s="22"/>
      <c r="C18" s="22"/>
      <c r="D18" s="111" t="s">
        <v>901</v>
      </c>
      <c r="E18" s="116"/>
      <c r="F18" s="116"/>
      <c r="G18" s="116"/>
      <c r="H18" s="116"/>
      <c r="I18" s="117"/>
      <c r="J18" s="117"/>
      <c r="K18" s="117"/>
      <c r="L18" s="117"/>
      <c r="M18" s="117"/>
      <c r="N18" s="117"/>
      <c r="O18" s="117"/>
      <c r="P18" s="117"/>
      <c r="Q18" s="117"/>
      <c r="R18" s="117"/>
      <c r="S18" s="117"/>
    </row>
    <row r="19" spans="1:19" x14ac:dyDescent="0.2"/>
    <row r="20" spans="1:19" ht="15.75" x14ac:dyDescent="0.2">
      <c r="C20" s="396">
        <v>1</v>
      </c>
      <c r="D20" s="72" t="str">
        <f>IF(E24&lt;&gt;"",CONCATENATE("Incident ",C20,": ",G24,L20),MsgNotUsed)</f>
        <v xml:space="preserve">Incident 1: </v>
      </c>
      <c r="E20" s="116"/>
      <c r="F20" s="116"/>
      <c r="G20" s="116"/>
      <c r="H20" s="116"/>
      <c r="I20" s="118"/>
      <c r="J20" s="118"/>
      <c r="K20" s="266"/>
      <c r="L20" s="266" t="str">
        <f>IF(S24&lt;&gt;"",CONCATENATE(" (",S24,")"),"")</f>
        <v/>
      </c>
      <c r="M20" s="266"/>
      <c r="N20" s="266"/>
      <c r="O20" s="266"/>
      <c r="P20" s="266"/>
      <c r="Q20" s="266"/>
      <c r="R20" s="117"/>
      <c r="S20" s="117"/>
    </row>
    <row r="21" spans="1:19" hidden="1" outlineLevel="1" x14ac:dyDescent="0.2">
      <c r="A21" s="114"/>
      <c r="B21" s="114"/>
      <c r="C21" s="114"/>
      <c r="D21" s="260"/>
      <c r="E21" s="114"/>
      <c r="F21" s="114"/>
      <c r="G21" s="114"/>
      <c r="H21" s="114"/>
      <c r="I21" s="114"/>
      <c r="J21" s="114"/>
      <c r="K21" s="114"/>
      <c r="L21" s="114"/>
      <c r="M21" s="114"/>
      <c r="N21" s="114"/>
      <c r="O21" s="114"/>
      <c r="P21" s="114"/>
      <c r="Q21" s="114"/>
      <c r="R21" s="114"/>
      <c r="S21" s="114"/>
    </row>
    <row r="22" spans="1:19" hidden="1" outlineLevel="1" x14ac:dyDescent="0.2">
      <c r="A22" s="114"/>
      <c r="B22" s="114"/>
      <c r="C22" s="114"/>
      <c r="D22" t="s">
        <v>826</v>
      </c>
      <c r="E22" s="114"/>
      <c r="F22" s="114"/>
      <c r="R22" s="114"/>
    </row>
    <row r="23" spans="1:19" hidden="1" outlineLevel="1" x14ac:dyDescent="0.2">
      <c r="A23" s="114"/>
      <c r="B23" s="114"/>
      <c r="C23" s="114"/>
      <c r="D23" s="260"/>
      <c r="E23" s="114"/>
      <c r="F23" s="114"/>
      <c r="G23" s="114"/>
      <c r="H23" s="114"/>
      <c r="I23" s="114"/>
      <c r="J23" s="114"/>
      <c r="R23" s="114"/>
      <c r="S23" s="31" t="s">
        <v>414</v>
      </c>
    </row>
    <row r="24" spans="1:19" hidden="1" outlineLevel="1" x14ac:dyDescent="0.2">
      <c r="A24" s="114"/>
      <c r="B24" s="246">
        <f>IF(E24&lt;&gt;"",MATCH(E24,EPISource,0)-1,0)</f>
        <v>2</v>
      </c>
      <c r="C24" s="246">
        <f ca="1">IF(G24&lt;&gt;"",MATCH(G24,OFFSET(References!$AE$7,0,B24,PxPopMaxCount),0),0)</f>
        <v>0</v>
      </c>
      <c r="D24" s="8" t="s">
        <v>110</v>
      </c>
      <c r="E24" s="230" t="s">
        <v>54</v>
      </c>
      <c r="F24" s="119"/>
      <c r="G24" s="580"/>
      <c r="H24" s="581"/>
      <c r="I24" s="581"/>
      <c r="J24" s="581"/>
      <c r="R24" s="114"/>
      <c r="S24" s="234"/>
    </row>
    <row r="25" spans="1:19" hidden="1" outlineLevel="1" x14ac:dyDescent="0.2">
      <c r="A25" s="114"/>
      <c r="B25" s="246">
        <f>INDEX(PxPopValid,,B24+1)</f>
        <v>0</v>
      </c>
      <c r="C25" s="246">
        <f ca="1">(B24*PxPopMaxCount)+C24</f>
        <v>20</v>
      </c>
      <c r="D25" s="260"/>
      <c r="E25" s="319">
        <v>1</v>
      </c>
      <c r="F25" s="319">
        <v>2</v>
      </c>
      <c r="G25" s="319">
        <v>3</v>
      </c>
      <c r="H25" s="319">
        <v>4</v>
      </c>
      <c r="I25" s="319">
        <v>5</v>
      </c>
      <c r="J25" s="319">
        <v>6</v>
      </c>
      <c r="R25" s="114"/>
      <c r="S25" s="114"/>
    </row>
    <row r="26" spans="1:19" ht="15" hidden="1" customHeight="1" outlineLevel="1" x14ac:dyDescent="0.2">
      <c r="A26" s="114"/>
      <c r="B26" s="114"/>
      <c r="C26" s="114"/>
      <c r="D26" s="260"/>
      <c r="E26" s="582" t="s">
        <v>10</v>
      </c>
      <c r="F26" s="582"/>
      <c r="G26" s="582"/>
      <c r="H26" s="582"/>
      <c r="I26" s="582"/>
      <c r="J26" s="582"/>
      <c r="R26" s="114"/>
      <c r="S26" s="444" t="str">
        <f ca="1">IF(ISERROR($C25)=TRUE,MsgError &amp; VLOOKUP("BadPop",ErrorMessages,2,FALSE),IF(RIGHT(G24,12)="(Prevalence)",MsgError &amp; VLOOKUP("BadPrevPop",ErrorMessages,2,FALSE),""))</f>
        <v/>
      </c>
    </row>
    <row r="27" spans="1:19" hidden="1" outlineLevel="1" x14ac:dyDescent="0.2">
      <c r="A27" s="114"/>
      <c r="B27" s="114"/>
      <c r="C27" s="114"/>
      <c r="D27" s="260"/>
      <c r="E27" s="74">
        <f>FirstYear</f>
        <v>2026</v>
      </c>
      <c r="F27" s="74">
        <f>E27+1</f>
        <v>2027</v>
      </c>
      <c r="G27" s="74">
        <f>F27+1</f>
        <v>2028</v>
      </c>
      <c r="H27" s="74">
        <f>G27+1</f>
        <v>2029</v>
      </c>
      <c r="I27" s="74">
        <f>H27+1</f>
        <v>2030</v>
      </c>
      <c r="J27" s="74">
        <f>I27+1</f>
        <v>2031</v>
      </c>
      <c r="R27" s="114"/>
    </row>
    <row r="28" spans="1:19" ht="12.75" hidden="1" customHeight="1" outlineLevel="1" x14ac:dyDescent="0.2">
      <c r="D28" s="499" t="s">
        <v>332</v>
      </c>
      <c r="E28" s="120">
        <f t="shared" ref="E28:J28" ca="1" si="2">IF(AND(ISERROR($C25)&lt;&gt;TRUE,$G24&lt;&gt;""),INDEX(PxPopNumbers,$C25,E25),0)</f>
        <v>0</v>
      </c>
      <c r="F28" s="120">
        <f t="shared" ca="1" si="2"/>
        <v>0</v>
      </c>
      <c r="G28" s="120">
        <f t="shared" ca="1" si="2"/>
        <v>0</v>
      </c>
      <c r="H28" s="120">
        <f t="shared" ca="1" si="2"/>
        <v>0</v>
      </c>
      <c r="I28" s="120">
        <f t="shared" ca="1" si="2"/>
        <v>0</v>
      </c>
      <c r="J28" s="120">
        <f t="shared" ca="1" si="2"/>
        <v>0</v>
      </c>
      <c r="R28" s="260"/>
    </row>
    <row r="29" spans="1:19" ht="12.75" hidden="1" customHeight="1" outlineLevel="1" x14ac:dyDescent="0.2"/>
    <row r="30" spans="1:19" ht="12.75" hidden="1" customHeight="1" outlineLevel="1" x14ac:dyDescent="0.2">
      <c r="D30" s="498" t="s">
        <v>196</v>
      </c>
      <c r="S30" s="31" t="s">
        <v>249</v>
      </c>
    </row>
    <row r="31" spans="1:19" hidden="1" outlineLevel="1" x14ac:dyDescent="0.2">
      <c r="D31" s="206"/>
      <c r="E31" s="329"/>
      <c r="F31" s="329"/>
      <c r="G31" s="329"/>
      <c r="H31" s="329"/>
      <c r="I31" s="329"/>
      <c r="J31" s="329"/>
      <c r="L31" s="40">
        <f t="shared" ref="L31:Q40" si="3">IF(E31="",1,E31)</f>
        <v>1</v>
      </c>
      <c r="M31" s="40">
        <f t="shared" si="3"/>
        <v>1</v>
      </c>
      <c r="N31" s="40">
        <f t="shared" si="3"/>
        <v>1</v>
      </c>
      <c r="O31" s="40">
        <f t="shared" si="3"/>
        <v>1</v>
      </c>
      <c r="P31" s="40">
        <f t="shared" si="3"/>
        <v>1</v>
      </c>
      <c r="Q31" s="40">
        <f t="shared" si="3"/>
        <v>1</v>
      </c>
      <c r="S31" s="206"/>
    </row>
    <row r="32" spans="1:19" hidden="1" outlineLevel="1" x14ac:dyDescent="0.2">
      <c r="D32" s="206"/>
      <c r="E32" s="329"/>
      <c r="F32" s="329"/>
      <c r="G32" s="329"/>
      <c r="H32" s="329"/>
      <c r="I32" s="329"/>
      <c r="J32" s="329"/>
      <c r="L32" s="40">
        <f t="shared" si="3"/>
        <v>1</v>
      </c>
      <c r="M32" s="40">
        <f t="shared" si="3"/>
        <v>1</v>
      </c>
      <c r="N32" s="40">
        <f t="shared" si="3"/>
        <v>1</v>
      </c>
      <c r="O32" s="40">
        <f t="shared" si="3"/>
        <v>1</v>
      </c>
      <c r="P32" s="40">
        <f t="shared" si="3"/>
        <v>1</v>
      </c>
      <c r="Q32" s="40">
        <f t="shared" si="3"/>
        <v>1</v>
      </c>
      <c r="S32" s="206"/>
    </row>
    <row r="33" spans="4:19" hidden="1" outlineLevel="1" x14ac:dyDescent="0.2">
      <c r="D33" s="206"/>
      <c r="E33" s="329"/>
      <c r="F33" s="329"/>
      <c r="G33" s="329"/>
      <c r="H33" s="329"/>
      <c r="I33" s="329"/>
      <c r="J33" s="329"/>
      <c r="L33" s="40">
        <f t="shared" si="3"/>
        <v>1</v>
      </c>
      <c r="M33" s="40">
        <f t="shared" si="3"/>
        <v>1</v>
      </c>
      <c r="N33" s="40">
        <f t="shared" si="3"/>
        <v>1</v>
      </c>
      <c r="O33" s="40">
        <f t="shared" si="3"/>
        <v>1</v>
      </c>
      <c r="P33" s="40">
        <f t="shared" si="3"/>
        <v>1</v>
      </c>
      <c r="Q33" s="40">
        <f t="shared" si="3"/>
        <v>1</v>
      </c>
      <c r="S33" s="206"/>
    </row>
    <row r="34" spans="4:19" hidden="1" outlineLevel="1" x14ac:dyDescent="0.2">
      <c r="D34" s="206"/>
      <c r="E34" s="329"/>
      <c r="F34" s="329"/>
      <c r="G34" s="329"/>
      <c r="H34" s="329"/>
      <c r="I34" s="329"/>
      <c r="J34" s="329"/>
      <c r="L34" s="40">
        <f t="shared" si="3"/>
        <v>1</v>
      </c>
      <c r="M34" s="40">
        <f t="shared" si="3"/>
        <v>1</v>
      </c>
      <c r="N34" s="40">
        <f t="shared" si="3"/>
        <v>1</v>
      </c>
      <c r="O34" s="40">
        <f t="shared" si="3"/>
        <v>1</v>
      </c>
      <c r="P34" s="40">
        <f t="shared" si="3"/>
        <v>1</v>
      </c>
      <c r="Q34" s="40">
        <f t="shared" si="3"/>
        <v>1</v>
      </c>
      <c r="S34" s="206"/>
    </row>
    <row r="35" spans="4:19" hidden="1" outlineLevel="1" x14ac:dyDescent="0.2">
      <c r="D35" s="206"/>
      <c r="E35" s="329"/>
      <c r="F35" s="329"/>
      <c r="G35" s="329"/>
      <c r="H35" s="329"/>
      <c r="I35" s="329"/>
      <c r="J35" s="329"/>
      <c r="L35" s="40">
        <f t="shared" si="3"/>
        <v>1</v>
      </c>
      <c r="M35" s="40">
        <f t="shared" si="3"/>
        <v>1</v>
      </c>
      <c r="N35" s="40">
        <f t="shared" si="3"/>
        <v>1</v>
      </c>
      <c r="O35" s="40">
        <f t="shared" si="3"/>
        <v>1</v>
      </c>
      <c r="P35" s="40">
        <f t="shared" si="3"/>
        <v>1</v>
      </c>
      <c r="Q35" s="40">
        <f t="shared" si="3"/>
        <v>1</v>
      </c>
      <c r="S35" s="206"/>
    </row>
    <row r="36" spans="4:19" hidden="1" outlineLevel="1" x14ac:dyDescent="0.2">
      <c r="D36" s="206"/>
      <c r="E36" s="329"/>
      <c r="F36" s="329"/>
      <c r="G36" s="329"/>
      <c r="H36" s="329"/>
      <c r="I36" s="329"/>
      <c r="J36" s="329"/>
      <c r="L36" s="40">
        <f t="shared" si="3"/>
        <v>1</v>
      </c>
      <c r="M36" s="40">
        <f t="shared" si="3"/>
        <v>1</v>
      </c>
      <c r="N36" s="40">
        <f t="shared" si="3"/>
        <v>1</v>
      </c>
      <c r="O36" s="40">
        <f t="shared" si="3"/>
        <v>1</v>
      </c>
      <c r="P36" s="40">
        <f t="shared" si="3"/>
        <v>1</v>
      </c>
      <c r="Q36" s="40">
        <f t="shared" si="3"/>
        <v>1</v>
      </c>
      <c r="S36" s="206"/>
    </row>
    <row r="37" spans="4:19" hidden="1" outlineLevel="1" x14ac:dyDescent="0.2">
      <c r="D37" s="206"/>
      <c r="E37" s="329"/>
      <c r="F37" s="329"/>
      <c r="G37" s="329"/>
      <c r="H37" s="329"/>
      <c r="I37" s="329"/>
      <c r="J37" s="329"/>
      <c r="L37" s="40">
        <f t="shared" si="3"/>
        <v>1</v>
      </c>
      <c r="M37" s="40">
        <f t="shared" si="3"/>
        <v>1</v>
      </c>
      <c r="N37" s="40">
        <f t="shared" si="3"/>
        <v>1</v>
      </c>
      <c r="O37" s="40">
        <f t="shared" si="3"/>
        <v>1</v>
      </c>
      <c r="P37" s="40">
        <f t="shared" si="3"/>
        <v>1</v>
      </c>
      <c r="Q37" s="40">
        <f t="shared" si="3"/>
        <v>1</v>
      </c>
      <c r="S37" s="206"/>
    </row>
    <row r="38" spans="4:19" hidden="1" outlineLevel="1" x14ac:dyDescent="0.2">
      <c r="D38" s="206"/>
      <c r="E38" s="329"/>
      <c r="F38" s="329"/>
      <c r="G38" s="329"/>
      <c r="H38" s="329"/>
      <c r="I38" s="329"/>
      <c r="J38" s="329"/>
      <c r="L38" s="40">
        <f t="shared" si="3"/>
        <v>1</v>
      </c>
      <c r="M38" s="40">
        <f t="shared" si="3"/>
        <v>1</v>
      </c>
      <c r="N38" s="40">
        <f t="shared" si="3"/>
        <v>1</v>
      </c>
      <c r="O38" s="40">
        <f t="shared" si="3"/>
        <v>1</v>
      </c>
      <c r="P38" s="40">
        <f t="shared" si="3"/>
        <v>1</v>
      </c>
      <c r="Q38" s="40">
        <f t="shared" si="3"/>
        <v>1</v>
      </c>
      <c r="S38" s="206"/>
    </row>
    <row r="39" spans="4:19" hidden="1" outlineLevel="1" x14ac:dyDescent="0.2">
      <c r="D39" s="206"/>
      <c r="E39" s="329"/>
      <c r="F39" s="329"/>
      <c r="G39" s="329"/>
      <c r="H39" s="329"/>
      <c r="I39" s="329"/>
      <c r="J39" s="329"/>
      <c r="L39" s="40">
        <f t="shared" si="3"/>
        <v>1</v>
      </c>
      <c r="M39" s="40">
        <f t="shared" si="3"/>
        <v>1</v>
      </c>
      <c r="N39" s="40">
        <f t="shared" si="3"/>
        <v>1</v>
      </c>
      <c r="O39" s="40">
        <f t="shared" si="3"/>
        <v>1</v>
      </c>
      <c r="P39" s="40">
        <f t="shared" si="3"/>
        <v>1</v>
      </c>
      <c r="Q39" s="40">
        <f t="shared" si="3"/>
        <v>1</v>
      </c>
      <c r="S39" s="206"/>
    </row>
    <row r="40" spans="4:19" hidden="1" outlineLevel="1" x14ac:dyDescent="0.2">
      <c r="D40" s="206"/>
      <c r="E40" s="329"/>
      <c r="F40" s="329"/>
      <c r="G40" s="329"/>
      <c r="H40" s="329"/>
      <c r="I40" s="329"/>
      <c r="J40" s="329"/>
      <c r="L40" s="40">
        <f>IF(E40="",1,E40)</f>
        <v>1</v>
      </c>
      <c r="M40" s="40">
        <f t="shared" si="3"/>
        <v>1</v>
      </c>
      <c r="N40" s="40">
        <f t="shared" si="3"/>
        <v>1</v>
      </c>
      <c r="O40" s="40">
        <f t="shared" si="3"/>
        <v>1</v>
      </c>
      <c r="P40" s="40">
        <f t="shared" si="3"/>
        <v>1</v>
      </c>
      <c r="Q40" s="40">
        <f t="shared" si="3"/>
        <v>1</v>
      </c>
      <c r="S40" s="206"/>
    </row>
    <row r="41" spans="4:19" hidden="1" outlineLevel="1" x14ac:dyDescent="0.2">
      <c r="D41" s="20" t="s">
        <v>204</v>
      </c>
      <c r="E41" s="330">
        <f t="shared" ref="E41:J41" si="4">L31*L32*L33*L34*L40*L35*L36*L37*L38*L39</f>
        <v>1</v>
      </c>
      <c r="F41" s="330">
        <f t="shared" si="4"/>
        <v>1</v>
      </c>
      <c r="G41" s="330">
        <f t="shared" si="4"/>
        <v>1</v>
      </c>
      <c r="H41" s="330">
        <f t="shared" si="4"/>
        <v>1</v>
      </c>
      <c r="I41" s="330">
        <f t="shared" si="4"/>
        <v>1</v>
      </c>
      <c r="J41" s="330">
        <f t="shared" si="4"/>
        <v>1</v>
      </c>
    </row>
    <row r="42" spans="4:19" hidden="1" outlineLevel="1" x14ac:dyDescent="0.2">
      <c r="D42" s="4" t="s">
        <v>87</v>
      </c>
      <c r="E42" s="247">
        <f t="shared" ref="E42:J42" ca="1" si="5">IF(ISNUMBER(E28),E28*E41,"")</f>
        <v>0</v>
      </c>
      <c r="F42" s="247">
        <f t="shared" ca="1" si="5"/>
        <v>0</v>
      </c>
      <c r="G42" s="247">
        <f t="shared" ca="1" si="5"/>
        <v>0</v>
      </c>
      <c r="H42" s="247">
        <f t="shared" ca="1" si="5"/>
        <v>0</v>
      </c>
      <c r="I42" s="247">
        <f t="shared" ca="1" si="5"/>
        <v>0</v>
      </c>
      <c r="J42" s="247">
        <f t="shared" ca="1" si="5"/>
        <v>0</v>
      </c>
    </row>
    <row r="43" spans="4:19" hidden="1" outlineLevel="1" x14ac:dyDescent="0.2"/>
    <row r="44" spans="4:19" hidden="1" outlineLevel="1" x14ac:dyDescent="0.2">
      <c r="D44" s="54" t="str">
        <f>TxPhase1Tx</f>
        <v/>
      </c>
      <c r="E44" s="357"/>
      <c r="S44" s="31" t="s">
        <v>249</v>
      </c>
    </row>
    <row r="45" spans="4:19" hidden="1" outlineLevel="1" x14ac:dyDescent="0.2">
      <c r="D45" s="54" t="s">
        <v>88</v>
      </c>
      <c r="E45" s="48">
        <v>1</v>
      </c>
      <c r="F45" s="48">
        <v>1</v>
      </c>
      <c r="G45" s="48">
        <v>1</v>
      </c>
      <c r="H45" s="48">
        <v>1</v>
      </c>
      <c r="I45" s="48">
        <v>1</v>
      </c>
      <c r="J45" s="48">
        <v>1</v>
      </c>
      <c r="S45" s="41"/>
    </row>
    <row r="46" spans="4:19" hidden="1" outlineLevel="1" x14ac:dyDescent="0.2"/>
    <row r="47" spans="4:19" hidden="1" outlineLevel="1" x14ac:dyDescent="0.2">
      <c r="D47" s="82" t="str">
        <f>TXPhase2Tx</f>
        <v/>
      </c>
      <c r="E47" s="357"/>
      <c r="S47" s="31" t="s">
        <v>249</v>
      </c>
    </row>
    <row r="48" spans="4:19" hidden="1" outlineLevel="1" x14ac:dyDescent="0.2">
      <c r="D48" s="82" t="str">
        <f>IF(D47&lt;&gt;"","Patients electing treatment (%)","")</f>
        <v/>
      </c>
      <c r="E48" s="48"/>
      <c r="F48" s="48"/>
      <c r="G48" s="48"/>
      <c r="H48" s="48"/>
      <c r="I48" s="48"/>
      <c r="J48" s="48"/>
      <c r="S48" s="41"/>
    </row>
    <row r="49" spans="1:19" hidden="1" outlineLevel="1" x14ac:dyDescent="0.2"/>
    <row r="50" spans="1:19" hidden="1" outlineLevel="1" x14ac:dyDescent="0.2">
      <c r="C50" s="246">
        <f>IFERROR(VLOOKUP(E50,TxPhase2SourceCode,2,FALSE),0)</f>
        <v>1</v>
      </c>
      <c r="D50" s="54" t="s">
        <v>1152</v>
      </c>
      <c r="E50" s="227" t="s">
        <v>1153</v>
      </c>
    </row>
    <row r="51" spans="1:19" hidden="1" outlineLevel="1" x14ac:dyDescent="0.2"/>
    <row r="52" spans="1:19" hidden="1" outlineLevel="1" x14ac:dyDescent="0.2">
      <c r="D52" s="54" t="str">
        <f>TxPhase1Px</f>
        <v/>
      </c>
      <c r="E52" s="247">
        <f t="shared" ref="E52:J52" si="6">IF(TxPhase1&lt;&gt;"",E42*E45,0)</f>
        <v>0</v>
      </c>
      <c r="F52" s="247">
        <f t="shared" si="6"/>
        <v>0</v>
      </c>
      <c r="G52" s="247">
        <f t="shared" si="6"/>
        <v>0</v>
      </c>
      <c r="H52" s="247">
        <f t="shared" si="6"/>
        <v>0</v>
      </c>
      <c r="I52" s="247">
        <f t="shared" si="6"/>
        <v>0</v>
      </c>
      <c r="J52" s="247">
        <f t="shared" si="6"/>
        <v>0</v>
      </c>
    </row>
    <row r="53" spans="1:19" hidden="1" outlineLevel="1" x14ac:dyDescent="0.2">
      <c r="D53" s="54" t="str">
        <f>TxPhase2Px</f>
        <v/>
      </c>
      <c r="E53" s="247">
        <f t="shared" ref="E53:J53" si="7">IF(TxPhase2&lt;&gt;"",IF($C50=1,E52,IF($C50=2,E42,0))*E48,0)</f>
        <v>0</v>
      </c>
      <c r="F53" s="247">
        <f t="shared" si="7"/>
        <v>0</v>
      </c>
      <c r="G53" s="247">
        <f t="shared" si="7"/>
        <v>0</v>
      </c>
      <c r="H53" s="247">
        <f t="shared" si="7"/>
        <v>0</v>
      </c>
      <c r="I53" s="247">
        <f t="shared" si="7"/>
        <v>0</v>
      </c>
      <c r="J53" s="247">
        <f t="shared" si="7"/>
        <v>0</v>
      </c>
    </row>
    <row r="54" spans="1:19" hidden="1" outlineLevel="1" x14ac:dyDescent="0.2"/>
    <row r="55" spans="1:19" hidden="1" outlineLevel="1" x14ac:dyDescent="0.2">
      <c r="C55" s="246">
        <f>IF(E55&lt;&gt;"",E55,"")</f>
        <v>1</v>
      </c>
      <c r="D55" s="81" t="s">
        <v>743</v>
      </c>
      <c r="E55" s="227">
        <v>1</v>
      </c>
    </row>
    <row r="56" spans="1:19" hidden="1" outlineLevel="1" x14ac:dyDescent="0.2"/>
    <row r="57" spans="1:19" collapsed="1" x14ac:dyDescent="0.2"/>
    <row r="58" spans="1:19" ht="15.75" x14ac:dyDescent="0.2">
      <c r="C58" s="396">
        <v>2</v>
      </c>
      <c r="D58" s="72" t="str">
        <f>IF(E62&lt;&gt;"",CONCATENATE("Incident ",C58,": ",G62,L58),MsgNotUsed)</f>
        <v>** NOT USED **</v>
      </c>
      <c r="E58" s="116"/>
      <c r="F58" s="116"/>
      <c r="G58" s="116"/>
      <c r="H58" s="116"/>
      <c r="I58" s="118"/>
      <c r="J58" s="118"/>
      <c r="K58" s="266"/>
      <c r="L58" s="266" t="str">
        <f>IF(S62&lt;&gt;"",CONCATENATE(" (",S62,")"),"")</f>
        <v/>
      </c>
      <c r="M58" s="266"/>
      <c r="N58" s="266"/>
      <c r="O58" s="266"/>
      <c r="P58" s="266"/>
      <c r="Q58" s="266"/>
      <c r="R58" s="117"/>
      <c r="S58" s="117"/>
    </row>
    <row r="59" spans="1:19" hidden="1" outlineLevel="1" x14ac:dyDescent="0.2">
      <c r="A59" s="114"/>
      <c r="B59" s="114"/>
      <c r="C59" s="114"/>
      <c r="D59" s="260"/>
      <c r="E59" s="114"/>
      <c r="F59" s="114"/>
      <c r="G59" s="114"/>
      <c r="H59" s="114"/>
      <c r="I59" s="114"/>
      <c r="J59" s="114"/>
      <c r="K59" s="114"/>
      <c r="L59" s="114"/>
      <c r="M59" s="114"/>
      <c r="N59" s="114"/>
      <c r="O59" s="114"/>
      <c r="P59" s="114"/>
      <c r="Q59" s="114"/>
      <c r="R59" s="114"/>
      <c r="S59" s="114"/>
    </row>
    <row r="60" spans="1:19" hidden="1" outlineLevel="1" x14ac:dyDescent="0.2">
      <c r="A60" s="114"/>
      <c r="B60" s="114"/>
      <c r="C60" s="114"/>
      <c r="D60" t="s">
        <v>826</v>
      </c>
      <c r="E60" s="114"/>
      <c r="F60" s="114"/>
      <c r="G60" s="114"/>
      <c r="R60" s="114"/>
    </row>
    <row r="61" spans="1:19" hidden="1" outlineLevel="1" x14ac:dyDescent="0.2">
      <c r="A61" s="114"/>
      <c r="B61" s="114"/>
      <c r="C61" s="114"/>
      <c r="D61" s="260"/>
      <c r="E61" s="114"/>
      <c r="F61" s="114"/>
      <c r="G61" s="114"/>
      <c r="H61" s="114"/>
      <c r="I61" s="114"/>
      <c r="J61" s="114"/>
      <c r="R61" s="114"/>
      <c r="S61" s="31" t="s">
        <v>414</v>
      </c>
    </row>
    <row r="62" spans="1:19" hidden="1" outlineLevel="1" x14ac:dyDescent="0.2">
      <c r="A62" s="114"/>
      <c r="B62" s="246">
        <f>IF(E62&lt;&gt;"",MATCH(E62,EPISource,0)-1,0)</f>
        <v>0</v>
      </c>
      <c r="C62" s="246">
        <f ca="1">IF(G62&lt;&gt;"",MATCH(G62,OFFSET(References!$AE$7,0,B62,PxPopMaxCount),0),0)</f>
        <v>0</v>
      </c>
      <c r="D62" s="8" t="s">
        <v>110</v>
      </c>
      <c r="E62" s="230"/>
      <c r="F62" s="119"/>
      <c r="G62" s="580"/>
      <c r="H62" s="581"/>
      <c r="I62" s="581"/>
      <c r="J62" s="581"/>
      <c r="R62" s="114"/>
      <c r="S62" s="234"/>
    </row>
    <row r="63" spans="1:19" hidden="1" outlineLevel="1" x14ac:dyDescent="0.2">
      <c r="A63" s="114"/>
      <c r="B63" s="246">
        <f>INDEX(PxPopValid,,B62+1)</f>
        <v>0</v>
      </c>
      <c r="C63" s="246">
        <f ca="1">(B62*PxPopMaxCount)+C62</f>
        <v>0</v>
      </c>
      <c r="D63" s="260"/>
      <c r="E63" s="319">
        <v>1</v>
      </c>
      <c r="F63" s="319">
        <v>2</v>
      </c>
      <c r="G63" s="319">
        <v>3</v>
      </c>
      <c r="H63" s="319">
        <v>4</v>
      </c>
      <c r="I63" s="319">
        <v>5</v>
      </c>
      <c r="J63" s="319">
        <v>6</v>
      </c>
      <c r="R63" s="114"/>
    </row>
    <row r="64" spans="1:19" ht="15" hidden="1" customHeight="1" outlineLevel="1" x14ac:dyDescent="0.2">
      <c r="A64" s="114"/>
      <c r="B64" s="114"/>
      <c r="C64" s="114"/>
      <c r="D64" s="260"/>
      <c r="E64" s="582" t="s">
        <v>10</v>
      </c>
      <c r="F64" s="582"/>
      <c r="G64" s="582"/>
      <c r="H64" s="582"/>
      <c r="I64" s="582"/>
      <c r="J64" s="582"/>
      <c r="R64" s="114"/>
      <c r="S64" s="444" t="str">
        <f ca="1">IF(ISERROR($C63)=TRUE,MsgError &amp; VLOOKUP("BadPop",ErrorMessages,2,FALSE),IF(RIGHT(G62,12)="(Prevalence)",MsgError &amp; VLOOKUP("BadPrevPop",ErrorMessages,2,FALSE),""))</f>
        <v/>
      </c>
    </row>
    <row r="65" spans="1:19" hidden="1" outlineLevel="1" x14ac:dyDescent="0.2">
      <c r="A65" s="114"/>
      <c r="B65" s="114"/>
      <c r="C65" s="114"/>
      <c r="D65" s="260"/>
      <c r="E65" s="74">
        <f>FirstYear</f>
        <v>2026</v>
      </c>
      <c r="F65" s="74">
        <f>E65+1</f>
        <v>2027</v>
      </c>
      <c r="G65" s="74">
        <f>F65+1</f>
        <v>2028</v>
      </c>
      <c r="H65" s="74">
        <f>G65+1</f>
        <v>2029</v>
      </c>
      <c r="I65" s="74">
        <f>H65+1</f>
        <v>2030</v>
      </c>
      <c r="J65" s="74">
        <f>I65+1</f>
        <v>2031</v>
      </c>
      <c r="R65" s="114"/>
    </row>
    <row r="66" spans="1:19" ht="12.75" hidden="1" customHeight="1" outlineLevel="1" x14ac:dyDescent="0.2">
      <c r="D66" s="499" t="s">
        <v>332</v>
      </c>
      <c r="E66" s="120">
        <f t="shared" ref="E66:J66" ca="1" si="8">IF(AND(ISERROR($C63)&lt;&gt;TRUE,$G62&lt;&gt;""),INDEX(PxPopNumbers,$C63,E63),0)</f>
        <v>0</v>
      </c>
      <c r="F66" s="120">
        <f t="shared" ca="1" si="8"/>
        <v>0</v>
      </c>
      <c r="G66" s="120">
        <f t="shared" ca="1" si="8"/>
        <v>0</v>
      </c>
      <c r="H66" s="120">
        <f t="shared" ca="1" si="8"/>
        <v>0</v>
      </c>
      <c r="I66" s="120">
        <f t="shared" ca="1" si="8"/>
        <v>0</v>
      </c>
      <c r="J66" s="120">
        <f t="shared" ca="1" si="8"/>
        <v>0</v>
      </c>
      <c r="R66" s="260"/>
    </row>
    <row r="67" spans="1:19" ht="12.75" hidden="1" customHeight="1" outlineLevel="1" x14ac:dyDescent="0.2"/>
    <row r="68" spans="1:19" ht="12.75" hidden="1" customHeight="1" outlineLevel="1" x14ac:dyDescent="0.2">
      <c r="D68" s="498" t="s">
        <v>196</v>
      </c>
      <c r="S68" s="31" t="s">
        <v>249</v>
      </c>
    </row>
    <row r="69" spans="1:19" hidden="1" outlineLevel="1" x14ac:dyDescent="0.2">
      <c r="D69" s="206"/>
      <c r="E69" s="29"/>
      <c r="F69" s="29"/>
      <c r="G69" s="29"/>
      <c r="H69" s="29"/>
      <c r="I69" s="29"/>
      <c r="J69" s="29"/>
      <c r="L69" s="40">
        <f t="shared" ref="L69:Q78" si="9">IF(E69="",1,E69)</f>
        <v>1</v>
      </c>
      <c r="M69" s="40">
        <f t="shared" si="9"/>
        <v>1</v>
      </c>
      <c r="N69" s="40">
        <f t="shared" si="9"/>
        <v>1</v>
      </c>
      <c r="O69" s="40">
        <f t="shared" si="9"/>
        <v>1</v>
      </c>
      <c r="P69" s="40">
        <f t="shared" si="9"/>
        <v>1</v>
      </c>
      <c r="Q69" s="40">
        <f t="shared" si="9"/>
        <v>1</v>
      </c>
      <c r="S69" s="206"/>
    </row>
    <row r="70" spans="1:19" hidden="1" outlineLevel="1" x14ac:dyDescent="0.2">
      <c r="D70" s="206"/>
      <c r="E70" s="29"/>
      <c r="F70" s="29"/>
      <c r="G70" s="29"/>
      <c r="H70" s="29"/>
      <c r="I70" s="29"/>
      <c r="J70" s="29"/>
      <c r="L70" s="40">
        <f t="shared" si="9"/>
        <v>1</v>
      </c>
      <c r="M70" s="40">
        <f t="shared" si="9"/>
        <v>1</v>
      </c>
      <c r="N70" s="40">
        <f t="shared" si="9"/>
        <v>1</v>
      </c>
      <c r="O70" s="40">
        <f t="shared" si="9"/>
        <v>1</v>
      </c>
      <c r="P70" s="40">
        <f t="shared" si="9"/>
        <v>1</v>
      </c>
      <c r="Q70" s="40">
        <f t="shared" si="9"/>
        <v>1</v>
      </c>
      <c r="S70" s="206"/>
    </row>
    <row r="71" spans="1:19" ht="12.75" hidden="1" customHeight="1" outlineLevel="1" x14ac:dyDescent="0.2">
      <c r="D71" s="206"/>
      <c r="E71" s="29"/>
      <c r="F71" s="29"/>
      <c r="G71" s="29"/>
      <c r="H71" s="29"/>
      <c r="I71" s="29"/>
      <c r="J71" s="29"/>
      <c r="L71" s="40">
        <f t="shared" si="9"/>
        <v>1</v>
      </c>
      <c r="M71" s="40">
        <f t="shared" si="9"/>
        <v>1</v>
      </c>
      <c r="N71" s="40">
        <f t="shared" si="9"/>
        <v>1</v>
      </c>
      <c r="O71" s="40">
        <f t="shared" si="9"/>
        <v>1</v>
      </c>
      <c r="P71" s="40">
        <f t="shared" si="9"/>
        <v>1</v>
      </c>
      <c r="Q71" s="40">
        <f t="shared" si="9"/>
        <v>1</v>
      </c>
      <c r="S71" s="206"/>
    </row>
    <row r="72" spans="1:19" ht="12.75" hidden="1" customHeight="1" outlineLevel="1" x14ac:dyDescent="0.2">
      <c r="D72" s="206"/>
      <c r="E72" s="29"/>
      <c r="F72" s="29"/>
      <c r="G72" s="29"/>
      <c r="H72" s="29"/>
      <c r="I72" s="29"/>
      <c r="J72" s="29"/>
      <c r="L72" s="40">
        <f t="shared" si="9"/>
        <v>1</v>
      </c>
      <c r="M72" s="40">
        <f t="shared" si="9"/>
        <v>1</v>
      </c>
      <c r="N72" s="40">
        <f t="shared" si="9"/>
        <v>1</v>
      </c>
      <c r="O72" s="40">
        <f t="shared" si="9"/>
        <v>1</v>
      </c>
      <c r="P72" s="40">
        <f t="shared" si="9"/>
        <v>1</v>
      </c>
      <c r="Q72" s="40">
        <f t="shared" si="9"/>
        <v>1</v>
      </c>
      <c r="S72" s="206"/>
    </row>
    <row r="73" spans="1:19" ht="12.75" hidden="1" customHeight="1" outlineLevel="1" x14ac:dyDescent="0.2">
      <c r="D73" s="206"/>
      <c r="E73" s="29"/>
      <c r="F73" s="29"/>
      <c r="G73" s="29"/>
      <c r="H73" s="29"/>
      <c r="I73" s="29"/>
      <c r="J73" s="29"/>
      <c r="L73" s="40">
        <f t="shared" si="9"/>
        <v>1</v>
      </c>
      <c r="M73" s="40">
        <f t="shared" si="9"/>
        <v>1</v>
      </c>
      <c r="N73" s="40">
        <f t="shared" si="9"/>
        <v>1</v>
      </c>
      <c r="O73" s="40">
        <f t="shared" si="9"/>
        <v>1</v>
      </c>
      <c r="P73" s="40">
        <f t="shared" si="9"/>
        <v>1</v>
      </c>
      <c r="Q73" s="40">
        <f t="shared" si="9"/>
        <v>1</v>
      </c>
      <c r="S73" s="206"/>
    </row>
    <row r="74" spans="1:19" ht="12.75" hidden="1" customHeight="1" outlineLevel="1" x14ac:dyDescent="0.2">
      <c r="D74" s="206"/>
      <c r="E74" s="29"/>
      <c r="F74" s="29"/>
      <c r="G74" s="29"/>
      <c r="H74" s="29"/>
      <c r="I74" s="29"/>
      <c r="J74" s="29"/>
      <c r="L74" s="40">
        <f t="shared" si="9"/>
        <v>1</v>
      </c>
      <c r="M74" s="40">
        <f t="shared" si="9"/>
        <v>1</v>
      </c>
      <c r="N74" s="40">
        <f t="shared" si="9"/>
        <v>1</v>
      </c>
      <c r="O74" s="40">
        <f t="shared" si="9"/>
        <v>1</v>
      </c>
      <c r="P74" s="40">
        <f t="shared" si="9"/>
        <v>1</v>
      </c>
      <c r="Q74" s="40">
        <f t="shared" si="9"/>
        <v>1</v>
      </c>
      <c r="S74" s="206"/>
    </row>
    <row r="75" spans="1:19" hidden="1" outlineLevel="1" x14ac:dyDescent="0.2">
      <c r="D75" s="206"/>
      <c r="E75" s="29"/>
      <c r="F75" s="29"/>
      <c r="G75" s="29"/>
      <c r="H75" s="29"/>
      <c r="I75" s="29"/>
      <c r="J75" s="29"/>
      <c r="L75" s="40">
        <f t="shared" si="9"/>
        <v>1</v>
      </c>
      <c r="M75" s="40">
        <f t="shared" si="9"/>
        <v>1</v>
      </c>
      <c r="N75" s="40">
        <f t="shared" si="9"/>
        <v>1</v>
      </c>
      <c r="O75" s="40">
        <f t="shared" si="9"/>
        <v>1</v>
      </c>
      <c r="P75" s="40">
        <f t="shared" si="9"/>
        <v>1</v>
      </c>
      <c r="Q75" s="40">
        <f t="shared" si="9"/>
        <v>1</v>
      </c>
      <c r="S75" s="206"/>
    </row>
    <row r="76" spans="1:19" hidden="1" outlineLevel="1" x14ac:dyDescent="0.2">
      <c r="D76" s="206"/>
      <c r="E76" s="29"/>
      <c r="F76" s="29"/>
      <c r="G76" s="29"/>
      <c r="H76" s="29"/>
      <c r="I76" s="29"/>
      <c r="J76" s="29"/>
      <c r="L76" s="40">
        <f t="shared" si="9"/>
        <v>1</v>
      </c>
      <c r="M76" s="40">
        <f t="shared" si="9"/>
        <v>1</v>
      </c>
      <c r="N76" s="40">
        <f t="shared" si="9"/>
        <v>1</v>
      </c>
      <c r="O76" s="40">
        <f t="shared" si="9"/>
        <v>1</v>
      </c>
      <c r="P76" s="40">
        <f t="shared" si="9"/>
        <v>1</v>
      </c>
      <c r="Q76" s="40">
        <f t="shared" si="9"/>
        <v>1</v>
      </c>
      <c r="S76" s="206"/>
    </row>
    <row r="77" spans="1:19" hidden="1" outlineLevel="1" x14ac:dyDescent="0.2">
      <c r="D77" s="206"/>
      <c r="E77" s="29"/>
      <c r="F77" s="29"/>
      <c r="G77" s="29"/>
      <c r="H77" s="29"/>
      <c r="I77" s="29"/>
      <c r="J77" s="29"/>
      <c r="L77" s="40">
        <f t="shared" si="9"/>
        <v>1</v>
      </c>
      <c r="M77" s="40">
        <f t="shared" si="9"/>
        <v>1</v>
      </c>
      <c r="N77" s="40">
        <f t="shared" si="9"/>
        <v>1</v>
      </c>
      <c r="O77" s="40">
        <f t="shared" si="9"/>
        <v>1</v>
      </c>
      <c r="P77" s="40">
        <f t="shared" si="9"/>
        <v>1</v>
      </c>
      <c r="Q77" s="40">
        <f t="shared" si="9"/>
        <v>1</v>
      </c>
      <c r="S77" s="206"/>
    </row>
    <row r="78" spans="1:19" hidden="1" outlineLevel="1" x14ac:dyDescent="0.2">
      <c r="D78" s="206"/>
      <c r="E78" s="29"/>
      <c r="F78" s="29"/>
      <c r="G78" s="29"/>
      <c r="H78" s="29"/>
      <c r="I78" s="29"/>
      <c r="J78" s="29"/>
      <c r="L78" s="40">
        <f>IF(E78="",1,E78)</f>
        <v>1</v>
      </c>
      <c r="M78" s="40">
        <f t="shared" si="9"/>
        <v>1</v>
      </c>
      <c r="N78" s="40">
        <f t="shared" si="9"/>
        <v>1</v>
      </c>
      <c r="O78" s="40">
        <f t="shared" si="9"/>
        <v>1</v>
      </c>
      <c r="P78" s="40">
        <f t="shared" si="9"/>
        <v>1</v>
      </c>
      <c r="Q78" s="40">
        <f t="shared" si="9"/>
        <v>1</v>
      </c>
      <c r="S78" s="206"/>
    </row>
    <row r="79" spans="1:19" hidden="1" outlineLevel="1" x14ac:dyDescent="0.2">
      <c r="D79" s="20" t="s">
        <v>204</v>
      </c>
      <c r="E79" s="28">
        <f t="shared" ref="E79:J79" si="10">L69*L70*L71*L72*L78*L73*L74*L75*L76*L77</f>
        <v>1</v>
      </c>
      <c r="F79" s="28">
        <f t="shared" si="10"/>
        <v>1</v>
      </c>
      <c r="G79" s="28">
        <f t="shared" si="10"/>
        <v>1</v>
      </c>
      <c r="H79" s="28">
        <f t="shared" si="10"/>
        <v>1</v>
      </c>
      <c r="I79" s="28">
        <f t="shared" si="10"/>
        <v>1</v>
      </c>
      <c r="J79" s="28">
        <f t="shared" si="10"/>
        <v>1</v>
      </c>
    </row>
    <row r="80" spans="1:19" hidden="1" outlineLevel="1" x14ac:dyDescent="0.2">
      <c r="D80" s="4" t="s">
        <v>87</v>
      </c>
      <c r="E80" s="27">
        <f t="shared" ref="E80:J80" ca="1" si="11">IF(ISNUMBER(E66),E66*E79,"")</f>
        <v>0</v>
      </c>
      <c r="F80" s="27">
        <f t="shared" ca="1" si="11"/>
        <v>0</v>
      </c>
      <c r="G80" s="27">
        <f t="shared" ca="1" si="11"/>
        <v>0</v>
      </c>
      <c r="H80" s="27">
        <f t="shared" ca="1" si="11"/>
        <v>0</v>
      </c>
      <c r="I80" s="27">
        <f t="shared" ca="1" si="11"/>
        <v>0</v>
      </c>
      <c r="J80" s="27">
        <f t="shared" ca="1" si="11"/>
        <v>0</v>
      </c>
    </row>
    <row r="81" spans="3:19" ht="14.25" hidden="1" outlineLevel="1" x14ac:dyDescent="0.2">
      <c r="F81" s="136"/>
    </row>
    <row r="82" spans="3:19" hidden="1" outlineLevel="1" x14ac:dyDescent="0.2">
      <c r="D82" s="54" t="str">
        <f>TxPhase1Tx</f>
        <v/>
      </c>
      <c r="E82" s="319"/>
      <c r="F82" s="319"/>
      <c r="S82" s="31" t="s">
        <v>249</v>
      </c>
    </row>
    <row r="83" spans="3:19" hidden="1" outlineLevel="1" x14ac:dyDescent="0.2">
      <c r="D83" s="54" t="s">
        <v>88</v>
      </c>
      <c r="E83" s="48"/>
      <c r="F83" s="48"/>
      <c r="G83" s="48"/>
      <c r="H83" s="48"/>
      <c r="I83" s="48"/>
      <c r="J83" s="48"/>
      <c r="S83" s="41"/>
    </row>
    <row r="84" spans="3:19" ht="14.25" hidden="1" outlineLevel="1" x14ac:dyDescent="0.2">
      <c r="F84" s="136"/>
    </row>
    <row r="85" spans="3:19" hidden="1" outlineLevel="1" x14ac:dyDescent="0.2">
      <c r="D85" s="82" t="str">
        <f>TXPhase2Tx</f>
        <v/>
      </c>
      <c r="E85" s="319"/>
      <c r="F85" s="319"/>
      <c r="S85" s="31" t="s">
        <v>249</v>
      </c>
    </row>
    <row r="86" spans="3:19" hidden="1" outlineLevel="1" x14ac:dyDescent="0.2">
      <c r="D86" s="82" t="str">
        <f>IF(D85&lt;&gt;"","Patients electing treatment (%)","")</f>
        <v/>
      </c>
      <c r="E86" s="48"/>
      <c r="F86" s="48"/>
      <c r="G86" s="48"/>
      <c r="H86" s="48"/>
      <c r="I86" s="48"/>
      <c r="J86" s="48"/>
      <c r="S86" s="41"/>
    </row>
    <row r="87" spans="3:19" hidden="1" outlineLevel="1" x14ac:dyDescent="0.2"/>
    <row r="88" spans="3:19" hidden="1" outlineLevel="1" x14ac:dyDescent="0.2">
      <c r="C88" s="246">
        <f>IFERROR(VLOOKUP(E88,TxPhase2SourceCode,2,FALSE),0)</f>
        <v>0</v>
      </c>
      <c r="D88" s="54" t="s">
        <v>1152</v>
      </c>
      <c r="E88" s="227"/>
    </row>
    <row r="89" spans="3:19" hidden="1" outlineLevel="1" x14ac:dyDescent="0.2"/>
    <row r="90" spans="3:19" hidden="1" outlineLevel="1" x14ac:dyDescent="0.2">
      <c r="D90" s="54" t="str">
        <f>TxPhase1Px</f>
        <v/>
      </c>
      <c r="E90" s="247">
        <f t="shared" ref="E90:J90" si="12">IF(TxPhase1&lt;&gt;"",E80*E83,0)</f>
        <v>0</v>
      </c>
      <c r="F90" s="247">
        <f t="shared" si="12"/>
        <v>0</v>
      </c>
      <c r="G90" s="247">
        <f t="shared" si="12"/>
        <v>0</v>
      </c>
      <c r="H90" s="247">
        <f t="shared" si="12"/>
        <v>0</v>
      </c>
      <c r="I90" s="247">
        <f t="shared" si="12"/>
        <v>0</v>
      </c>
      <c r="J90" s="247">
        <f t="shared" si="12"/>
        <v>0</v>
      </c>
    </row>
    <row r="91" spans="3:19" hidden="1" outlineLevel="1" x14ac:dyDescent="0.2">
      <c r="D91" s="54" t="str">
        <f>TxPhase2Px</f>
        <v/>
      </c>
      <c r="E91" s="247">
        <f t="shared" ref="E91:J91" si="13">IF(TxPhase2&lt;&gt;"",IF($C88=1,E90,IF($C88=2,E80,0))*E86,0)</f>
        <v>0</v>
      </c>
      <c r="F91" s="247">
        <f t="shared" si="13"/>
        <v>0</v>
      </c>
      <c r="G91" s="247">
        <f t="shared" si="13"/>
        <v>0</v>
      </c>
      <c r="H91" s="247">
        <f t="shared" si="13"/>
        <v>0</v>
      </c>
      <c r="I91" s="247">
        <f t="shared" si="13"/>
        <v>0</v>
      </c>
      <c r="J91" s="247">
        <f t="shared" si="13"/>
        <v>0</v>
      </c>
    </row>
    <row r="92" spans="3:19" hidden="1" outlineLevel="1" x14ac:dyDescent="0.2">
      <c r="D92" s="1"/>
      <c r="E92" s="1"/>
    </row>
    <row r="93" spans="3:19" hidden="1" outlineLevel="1" x14ac:dyDescent="0.2">
      <c r="C93" s="246" t="str">
        <f>IF(E93&lt;&gt;"",E93,"")</f>
        <v/>
      </c>
      <c r="D93" s="81" t="s">
        <v>743</v>
      </c>
      <c r="E93" s="227"/>
    </row>
    <row r="94" spans="3:19" hidden="1" outlineLevel="1" x14ac:dyDescent="0.2"/>
    <row r="95" spans="3:19" collapsed="1" x14ac:dyDescent="0.2"/>
    <row r="96" spans="3:19" ht="15.75" x14ac:dyDescent="0.2">
      <c r="C96" s="396">
        <v>3</v>
      </c>
      <c r="D96" s="72" t="str">
        <f>IF(E100&lt;&gt;"",CONCATENATE("Incident ",C96,": ",G100,L96),MsgNotUsed)</f>
        <v>** NOT USED **</v>
      </c>
      <c r="E96" s="116"/>
      <c r="F96" s="116"/>
      <c r="G96" s="116"/>
      <c r="H96" s="116"/>
      <c r="I96" s="118"/>
      <c r="J96" s="118"/>
      <c r="K96" s="266"/>
      <c r="L96" s="266" t="str">
        <f>IF(S100&lt;&gt;"",CONCATENATE(" (",S100,")"),"")</f>
        <v/>
      </c>
      <c r="M96" s="266"/>
      <c r="N96" s="266"/>
      <c r="O96" s="266"/>
      <c r="P96" s="266"/>
      <c r="Q96" s="266"/>
      <c r="R96" s="117"/>
      <c r="S96" s="117"/>
    </row>
    <row r="97" spans="1:19" hidden="1" outlineLevel="1" x14ac:dyDescent="0.2">
      <c r="A97" s="114"/>
      <c r="B97" s="114"/>
      <c r="C97" s="114"/>
      <c r="D97" s="260"/>
      <c r="E97" s="114"/>
      <c r="F97" s="114"/>
      <c r="G97" s="114"/>
      <c r="H97" s="114"/>
      <c r="I97" s="114"/>
      <c r="J97" s="114"/>
      <c r="K97" s="114"/>
      <c r="L97" s="114"/>
      <c r="M97" s="114"/>
      <c r="N97" s="114"/>
      <c r="O97" s="114"/>
      <c r="P97" s="114"/>
      <c r="Q97" s="114"/>
      <c r="R97" s="114"/>
      <c r="S97" s="114"/>
    </row>
    <row r="98" spans="1:19" hidden="1" outlineLevel="1" x14ac:dyDescent="0.2">
      <c r="A98" s="114"/>
      <c r="B98" s="114"/>
      <c r="C98" s="114"/>
      <c r="D98" t="s">
        <v>826</v>
      </c>
      <c r="E98" s="114"/>
      <c r="F98" s="114"/>
      <c r="G98" s="114"/>
      <c r="R98" s="114"/>
    </row>
    <row r="99" spans="1:19" hidden="1" outlineLevel="1" x14ac:dyDescent="0.2">
      <c r="A99" s="114"/>
      <c r="B99" s="114"/>
      <c r="C99" s="114"/>
      <c r="D99" s="260"/>
      <c r="E99" s="114"/>
      <c r="F99" s="114"/>
      <c r="G99" s="114"/>
      <c r="H99" s="114"/>
      <c r="I99" s="114"/>
      <c r="J99" s="114"/>
      <c r="R99" s="114"/>
      <c r="S99" s="31" t="s">
        <v>414</v>
      </c>
    </row>
    <row r="100" spans="1:19" hidden="1" outlineLevel="1" x14ac:dyDescent="0.2">
      <c r="A100" s="114"/>
      <c r="B100" s="246">
        <f>IF(E100&lt;&gt;"",MATCH(E100,EPISource,0)-1,0)</f>
        <v>0</v>
      </c>
      <c r="C100" s="246">
        <f ca="1">IF(G100&lt;&gt;"",MATCH(G100,OFFSET(References!$AE$7,0,B100,PxPopMaxCount),0),0)</f>
        <v>0</v>
      </c>
      <c r="D100" s="8" t="s">
        <v>110</v>
      </c>
      <c r="E100" s="230"/>
      <c r="F100" s="119"/>
      <c r="G100" s="584"/>
      <c r="H100" s="585"/>
      <c r="I100" s="585"/>
      <c r="J100" s="586"/>
      <c r="R100" s="114"/>
      <c r="S100" s="234"/>
    </row>
    <row r="101" spans="1:19" hidden="1" outlineLevel="1" x14ac:dyDescent="0.2">
      <c r="A101" s="114"/>
      <c r="B101" s="246">
        <f>INDEX(PxPopValid,,B100+1)</f>
        <v>0</v>
      </c>
      <c r="C101" s="246">
        <f ca="1">(B100*PxPopMaxCount)+C100</f>
        <v>0</v>
      </c>
      <c r="D101" s="260"/>
      <c r="E101" s="319">
        <v>1</v>
      </c>
      <c r="F101" s="319">
        <v>2</v>
      </c>
      <c r="G101" s="319">
        <v>3</v>
      </c>
      <c r="H101" s="319">
        <v>4</v>
      </c>
      <c r="I101" s="319">
        <v>5</v>
      </c>
      <c r="J101" s="319">
        <v>6</v>
      </c>
      <c r="R101" s="114"/>
    </row>
    <row r="102" spans="1:19" ht="15" hidden="1" customHeight="1" outlineLevel="1" x14ac:dyDescent="0.2">
      <c r="A102" s="114"/>
      <c r="B102" s="114"/>
      <c r="C102" s="114"/>
      <c r="D102" s="260"/>
      <c r="E102" s="582" t="s">
        <v>10</v>
      </c>
      <c r="F102" s="582"/>
      <c r="G102" s="582"/>
      <c r="H102" s="582"/>
      <c r="I102" s="582"/>
      <c r="J102" s="582"/>
      <c r="R102" s="114"/>
      <c r="S102" s="444" t="str">
        <f ca="1">IF(ISERROR($C101)=TRUE,MsgError &amp; VLOOKUP("BadPop",ErrorMessages,2,FALSE),IF(RIGHT(G100,12)="(Prevalence)",MsgError &amp; VLOOKUP("BadPrevPop",ErrorMessages,2,FALSE),""))</f>
        <v/>
      </c>
    </row>
    <row r="103" spans="1:19" hidden="1" outlineLevel="1" x14ac:dyDescent="0.2">
      <c r="A103" s="114"/>
      <c r="B103" s="114"/>
      <c r="C103" s="114"/>
      <c r="D103" s="260"/>
      <c r="E103" s="74">
        <f>FirstYear</f>
        <v>2026</v>
      </c>
      <c r="F103" s="74">
        <f>E103+1</f>
        <v>2027</v>
      </c>
      <c r="G103" s="74">
        <f>F103+1</f>
        <v>2028</v>
      </c>
      <c r="H103" s="74">
        <f>G103+1</f>
        <v>2029</v>
      </c>
      <c r="I103" s="74">
        <f>H103+1</f>
        <v>2030</v>
      </c>
      <c r="J103" s="74">
        <f>I103+1</f>
        <v>2031</v>
      </c>
      <c r="R103" s="114"/>
    </row>
    <row r="104" spans="1:19" ht="12.75" hidden="1" customHeight="1" outlineLevel="1" x14ac:dyDescent="0.2">
      <c r="D104" s="499" t="s">
        <v>332</v>
      </c>
      <c r="E104" s="120">
        <f t="shared" ref="E104:J104" ca="1" si="14">IF(AND(ISERROR($C101)&lt;&gt;TRUE,$G100&lt;&gt;""),INDEX(PxPopNumbers,$C101,E101),0)</f>
        <v>0</v>
      </c>
      <c r="F104" s="120">
        <f t="shared" ca="1" si="14"/>
        <v>0</v>
      </c>
      <c r="G104" s="120">
        <f t="shared" ca="1" si="14"/>
        <v>0</v>
      </c>
      <c r="H104" s="120">
        <f t="shared" ca="1" si="14"/>
        <v>0</v>
      </c>
      <c r="I104" s="120">
        <f t="shared" ca="1" si="14"/>
        <v>0</v>
      </c>
      <c r="J104" s="120">
        <f t="shared" ca="1" si="14"/>
        <v>0</v>
      </c>
      <c r="R104" s="260"/>
    </row>
    <row r="105" spans="1:19" ht="12.75" hidden="1" customHeight="1" outlineLevel="1" x14ac:dyDescent="0.2"/>
    <row r="106" spans="1:19" ht="12.75" hidden="1" customHeight="1" outlineLevel="1" x14ac:dyDescent="0.2">
      <c r="D106" s="498" t="s">
        <v>196</v>
      </c>
      <c r="S106" s="31" t="s">
        <v>249</v>
      </c>
    </row>
    <row r="107" spans="1:19" hidden="1" outlineLevel="1" x14ac:dyDescent="0.2">
      <c r="D107" s="206"/>
      <c r="E107" s="329"/>
      <c r="F107" s="329"/>
      <c r="G107" s="329"/>
      <c r="H107" s="329"/>
      <c r="I107" s="329"/>
      <c r="J107" s="329"/>
      <c r="L107" s="40">
        <f t="shared" ref="L107:Q116" si="15">IF(E107="",1,E107)</f>
        <v>1</v>
      </c>
      <c r="M107" s="40">
        <f t="shared" si="15"/>
        <v>1</v>
      </c>
      <c r="N107" s="40">
        <f t="shared" si="15"/>
        <v>1</v>
      </c>
      <c r="O107" s="40">
        <f t="shared" si="15"/>
        <v>1</v>
      </c>
      <c r="P107" s="40">
        <f t="shared" si="15"/>
        <v>1</v>
      </c>
      <c r="Q107" s="40">
        <f t="shared" si="15"/>
        <v>1</v>
      </c>
      <c r="S107" s="206"/>
    </row>
    <row r="108" spans="1:19" hidden="1" outlineLevel="1" x14ac:dyDescent="0.2">
      <c r="D108" s="206"/>
      <c r="E108" s="329"/>
      <c r="F108" s="329"/>
      <c r="G108" s="329"/>
      <c r="H108" s="329"/>
      <c r="I108" s="329"/>
      <c r="J108" s="329"/>
      <c r="L108" s="40">
        <f t="shared" si="15"/>
        <v>1</v>
      </c>
      <c r="M108" s="40">
        <f t="shared" si="15"/>
        <v>1</v>
      </c>
      <c r="N108" s="40">
        <f t="shared" si="15"/>
        <v>1</v>
      </c>
      <c r="O108" s="40">
        <f t="shared" si="15"/>
        <v>1</v>
      </c>
      <c r="P108" s="40">
        <f t="shared" si="15"/>
        <v>1</v>
      </c>
      <c r="Q108" s="40">
        <f t="shared" si="15"/>
        <v>1</v>
      </c>
      <c r="S108" s="206"/>
    </row>
    <row r="109" spans="1:19" ht="12.75" hidden="1" customHeight="1" outlineLevel="1" x14ac:dyDescent="0.2">
      <c r="D109" s="206"/>
      <c r="E109" s="329"/>
      <c r="F109" s="329"/>
      <c r="G109" s="329"/>
      <c r="H109" s="329"/>
      <c r="I109" s="329"/>
      <c r="J109" s="329"/>
      <c r="L109" s="40">
        <f t="shared" si="15"/>
        <v>1</v>
      </c>
      <c r="M109" s="40">
        <f t="shared" si="15"/>
        <v>1</v>
      </c>
      <c r="N109" s="40">
        <f t="shared" si="15"/>
        <v>1</v>
      </c>
      <c r="O109" s="40">
        <f t="shared" si="15"/>
        <v>1</v>
      </c>
      <c r="P109" s="40">
        <f t="shared" si="15"/>
        <v>1</v>
      </c>
      <c r="Q109" s="40">
        <f t="shared" si="15"/>
        <v>1</v>
      </c>
      <c r="S109" s="206"/>
    </row>
    <row r="110" spans="1:19" ht="12.75" hidden="1" customHeight="1" outlineLevel="1" x14ac:dyDescent="0.2">
      <c r="D110" s="206"/>
      <c r="E110" s="329"/>
      <c r="F110" s="329"/>
      <c r="G110" s="329"/>
      <c r="H110" s="329"/>
      <c r="I110" s="329"/>
      <c r="J110" s="329"/>
      <c r="L110" s="40">
        <f t="shared" si="15"/>
        <v>1</v>
      </c>
      <c r="M110" s="40">
        <f t="shared" si="15"/>
        <v>1</v>
      </c>
      <c r="N110" s="40">
        <f t="shared" si="15"/>
        <v>1</v>
      </c>
      <c r="O110" s="40">
        <f t="shared" si="15"/>
        <v>1</v>
      </c>
      <c r="P110" s="40">
        <f t="shared" si="15"/>
        <v>1</v>
      </c>
      <c r="Q110" s="40">
        <f t="shared" si="15"/>
        <v>1</v>
      </c>
      <c r="S110" s="206"/>
    </row>
    <row r="111" spans="1:19" ht="12.75" hidden="1" customHeight="1" outlineLevel="1" x14ac:dyDescent="0.2">
      <c r="D111" s="206"/>
      <c r="E111" s="329"/>
      <c r="F111" s="329"/>
      <c r="G111" s="329"/>
      <c r="H111" s="329"/>
      <c r="I111" s="329"/>
      <c r="J111" s="329"/>
      <c r="L111" s="40">
        <f t="shared" si="15"/>
        <v>1</v>
      </c>
      <c r="M111" s="40">
        <f t="shared" si="15"/>
        <v>1</v>
      </c>
      <c r="N111" s="40">
        <f t="shared" si="15"/>
        <v>1</v>
      </c>
      <c r="O111" s="40">
        <f t="shared" si="15"/>
        <v>1</v>
      </c>
      <c r="P111" s="40">
        <f t="shared" si="15"/>
        <v>1</v>
      </c>
      <c r="Q111" s="40">
        <f t="shared" si="15"/>
        <v>1</v>
      </c>
      <c r="S111" s="206"/>
    </row>
    <row r="112" spans="1:19" ht="12.75" hidden="1" customHeight="1" outlineLevel="1" x14ac:dyDescent="0.2">
      <c r="D112" s="206"/>
      <c r="E112" s="329"/>
      <c r="F112" s="329"/>
      <c r="G112" s="329"/>
      <c r="H112" s="329"/>
      <c r="I112" s="329"/>
      <c r="J112" s="329"/>
      <c r="L112" s="40">
        <f t="shared" si="15"/>
        <v>1</v>
      </c>
      <c r="M112" s="40">
        <f t="shared" si="15"/>
        <v>1</v>
      </c>
      <c r="N112" s="40">
        <f t="shared" si="15"/>
        <v>1</v>
      </c>
      <c r="O112" s="40">
        <f t="shared" si="15"/>
        <v>1</v>
      </c>
      <c r="P112" s="40">
        <f t="shared" si="15"/>
        <v>1</v>
      </c>
      <c r="Q112" s="40">
        <f t="shared" si="15"/>
        <v>1</v>
      </c>
      <c r="S112" s="206"/>
    </row>
    <row r="113" spans="3:19" hidden="1" outlineLevel="1" x14ac:dyDescent="0.2">
      <c r="D113" s="206"/>
      <c r="E113" s="329"/>
      <c r="F113" s="329"/>
      <c r="G113" s="329"/>
      <c r="H113" s="329"/>
      <c r="I113" s="329"/>
      <c r="J113" s="329"/>
      <c r="L113" s="40">
        <f t="shared" si="15"/>
        <v>1</v>
      </c>
      <c r="M113" s="40">
        <f t="shared" si="15"/>
        <v>1</v>
      </c>
      <c r="N113" s="40">
        <f t="shared" si="15"/>
        <v>1</v>
      </c>
      <c r="O113" s="40">
        <f t="shared" si="15"/>
        <v>1</v>
      </c>
      <c r="P113" s="40">
        <f t="shared" si="15"/>
        <v>1</v>
      </c>
      <c r="Q113" s="40">
        <f t="shared" si="15"/>
        <v>1</v>
      </c>
      <c r="S113" s="206"/>
    </row>
    <row r="114" spans="3:19" hidden="1" outlineLevel="1" x14ac:dyDescent="0.2">
      <c r="D114" s="206"/>
      <c r="E114" s="329"/>
      <c r="F114" s="329"/>
      <c r="G114" s="329"/>
      <c r="H114" s="329"/>
      <c r="I114" s="329"/>
      <c r="J114" s="329"/>
      <c r="L114" s="40">
        <f t="shared" si="15"/>
        <v>1</v>
      </c>
      <c r="M114" s="40">
        <f t="shared" si="15"/>
        <v>1</v>
      </c>
      <c r="N114" s="40">
        <f t="shared" si="15"/>
        <v>1</v>
      </c>
      <c r="O114" s="40">
        <f t="shared" si="15"/>
        <v>1</v>
      </c>
      <c r="P114" s="40">
        <f t="shared" si="15"/>
        <v>1</v>
      </c>
      <c r="Q114" s="40">
        <f t="shared" si="15"/>
        <v>1</v>
      </c>
      <c r="S114" s="206"/>
    </row>
    <row r="115" spans="3:19" hidden="1" outlineLevel="1" x14ac:dyDescent="0.2">
      <c r="D115" s="206"/>
      <c r="E115" s="329"/>
      <c r="F115" s="329"/>
      <c r="G115" s="329"/>
      <c r="H115" s="329"/>
      <c r="I115" s="329"/>
      <c r="J115" s="329"/>
      <c r="L115" s="40">
        <f t="shared" si="15"/>
        <v>1</v>
      </c>
      <c r="M115" s="40">
        <f t="shared" si="15"/>
        <v>1</v>
      </c>
      <c r="N115" s="40">
        <f t="shared" si="15"/>
        <v>1</v>
      </c>
      <c r="O115" s="40">
        <f t="shared" si="15"/>
        <v>1</v>
      </c>
      <c r="P115" s="40">
        <f t="shared" si="15"/>
        <v>1</v>
      </c>
      <c r="Q115" s="40">
        <f t="shared" si="15"/>
        <v>1</v>
      </c>
      <c r="S115" s="206"/>
    </row>
    <row r="116" spans="3:19" hidden="1" outlineLevel="1" x14ac:dyDescent="0.2">
      <c r="D116" s="206"/>
      <c r="E116" s="329"/>
      <c r="F116" s="329"/>
      <c r="G116" s="329"/>
      <c r="H116" s="329"/>
      <c r="I116" s="329"/>
      <c r="J116" s="329"/>
      <c r="L116" s="40">
        <f>IF(E116="",1,E116)</f>
        <v>1</v>
      </c>
      <c r="M116" s="40">
        <f t="shared" si="15"/>
        <v>1</v>
      </c>
      <c r="N116" s="40">
        <f t="shared" si="15"/>
        <v>1</v>
      </c>
      <c r="O116" s="40">
        <f t="shared" si="15"/>
        <v>1</v>
      </c>
      <c r="P116" s="40">
        <f t="shared" si="15"/>
        <v>1</v>
      </c>
      <c r="Q116" s="40">
        <f t="shared" si="15"/>
        <v>1</v>
      </c>
      <c r="S116" s="206"/>
    </row>
    <row r="117" spans="3:19" hidden="1" outlineLevel="1" x14ac:dyDescent="0.2">
      <c r="D117" s="20" t="s">
        <v>204</v>
      </c>
      <c r="E117" s="331">
        <f t="shared" ref="E117:J117" si="16">L107*L108*L109*L110*L116*L111*L112*L113*L114*L115</f>
        <v>1</v>
      </c>
      <c r="F117" s="331">
        <f t="shared" si="16"/>
        <v>1</v>
      </c>
      <c r="G117" s="331">
        <f t="shared" si="16"/>
        <v>1</v>
      </c>
      <c r="H117" s="331">
        <f t="shared" si="16"/>
        <v>1</v>
      </c>
      <c r="I117" s="331">
        <f t="shared" si="16"/>
        <v>1</v>
      </c>
      <c r="J117" s="331">
        <f t="shared" si="16"/>
        <v>1</v>
      </c>
    </row>
    <row r="118" spans="3:19" hidden="1" outlineLevel="1" x14ac:dyDescent="0.2">
      <c r="D118" s="4" t="s">
        <v>87</v>
      </c>
      <c r="E118" s="247">
        <f t="shared" ref="E118:J118" ca="1" si="17">IF(ISNUMBER(E104),E104*E117,"")</f>
        <v>0</v>
      </c>
      <c r="F118" s="247">
        <f t="shared" ca="1" si="17"/>
        <v>0</v>
      </c>
      <c r="G118" s="247">
        <f t="shared" ca="1" si="17"/>
        <v>0</v>
      </c>
      <c r="H118" s="247">
        <f t="shared" ca="1" si="17"/>
        <v>0</v>
      </c>
      <c r="I118" s="247">
        <f t="shared" ca="1" si="17"/>
        <v>0</v>
      </c>
      <c r="J118" s="247">
        <f t="shared" ca="1" si="17"/>
        <v>0</v>
      </c>
    </row>
    <row r="119" spans="3:19" hidden="1" outlineLevel="1" x14ac:dyDescent="0.2"/>
    <row r="120" spans="3:19" hidden="1" outlineLevel="1" x14ac:dyDescent="0.2">
      <c r="D120" s="54" t="str">
        <f>TxPhase1Tx</f>
        <v/>
      </c>
      <c r="E120" s="357"/>
      <c r="S120" s="31" t="s">
        <v>249</v>
      </c>
    </row>
    <row r="121" spans="3:19" hidden="1" outlineLevel="1" x14ac:dyDescent="0.2">
      <c r="D121" s="54" t="s">
        <v>88</v>
      </c>
      <c r="E121" s="48"/>
      <c r="F121" s="48"/>
      <c r="G121" s="48"/>
      <c r="H121" s="48"/>
      <c r="I121" s="48"/>
      <c r="J121" s="48"/>
      <c r="S121" s="41"/>
    </row>
    <row r="122" spans="3:19" hidden="1" outlineLevel="1" x14ac:dyDescent="0.2"/>
    <row r="123" spans="3:19" hidden="1" outlineLevel="1" x14ac:dyDescent="0.2">
      <c r="D123" s="82" t="str">
        <f>TXPhase2Tx</f>
        <v/>
      </c>
      <c r="E123" s="357"/>
      <c r="S123" s="31" t="s">
        <v>249</v>
      </c>
    </row>
    <row r="124" spans="3:19" hidden="1" outlineLevel="1" x14ac:dyDescent="0.2">
      <c r="D124" s="82" t="str">
        <f>IF(D123&lt;&gt;"","Patients electing treatment (%)","")</f>
        <v/>
      </c>
      <c r="E124" s="48"/>
      <c r="F124" s="48"/>
      <c r="G124" s="48"/>
      <c r="H124" s="48"/>
      <c r="I124" s="48"/>
      <c r="J124" s="48"/>
      <c r="S124" s="41"/>
    </row>
    <row r="125" spans="3:19" hidden="1" outlineLevel="1" x14ac:dyDescent="0.2"/>
    <row r="126" spans="3:19" hidden="1" outlineLevel="1" x14ac:dyDescent="0.2">
      <c r="C126" s="246">
        <f>IFERROR(VLOOKUP(E126,TxPhase2SourceCode,2,FALSE),0)</f>
        <v>1</v>
      </c>
      <c r="D126" s="54" t="s">
        <v>1152</v>
      </c>
      <c r="E126" s="227" t="s">
        <v>1153</v>
      </c>
    </row>
    <row r="127" spans="3:19" hidden="1" outlineLevel="1" x14ac:dyDescent="0.2"/>
    <row r="128" spans="3:19" hidden="1" outlineLevel="1" x14ac:dyDescent="0.2">
      <c r="D128" s="54" t="str">
        <f>TxPhase1Px</f>
        <v/>
      </c>
      <c r="E128" s="247">
        <f t="shared" ref="E128:J128" si="18">IF(TxPhase1&lt;&gt;"",E118*E121,0)</f>
        <v>0</v>
      </c>
      <c r="F128" s="247">
        <f t="shared" si="18"/>
        <v>0</v>
      </c>
      <c r="G128" s="247">
        <f t="shared" si="18"/>
        <v>0</v>
      </c>
      <c r="H128" s="247">
        <f t="shared" si="18"/>
        <v>0</v>
      </c>
      <c r="I128" s="247">
        <f t="shared" si="18"/>
        <v>0</v>
      </c>
      <c r="J128" s="247">
        <f t="shared" si="18"/>
        <v>0</v>
      </c>
    </row>
    <row r="129" spans="1:19" hidden="1" outlineLevel="1" x14ac:dyDescent="0.2">
      <c r="D129" s="54" t="str">
        <f>TxPhase2Px</f>
        <v/>
      </c>
      <c r="E129" s="247">
        <f t="shared" ref="E129:J129" si="19">IF(TxPhase2&lt;&gt;"",IF($C126=1,E128,IF($C126=2,E118,0))*E124,0)</f>
        <v>0</v>
      </c>
      <c r="F129" s="247">
        <f t="shared" si="19"/>
        <v>0</v>
      </c>
      <c r="G129" s="247">
        <f t="shared" si="19"/>
        <v>0</v>
      </c>
      <c r="H129" s="247">
        <f t="shared" si="19"/>
        <v>0</v>
      </c>
      <c r="I129" s="247">
        <f t="shared" si="19"/>
        <v>0</v>
      </c>
      <c r="J129" s="247">
        <f t="shared" si="19"/>
        <v>0</v>
      </c>
    </row>
    <row r="130" spans="1:19" hidden="1" outlineLevel="1" x14ac:dyDescent="0.2">
      <c r="D130" s="1"/>
      <c r="E130" s="1"/>
    </row>
    <row r="131" spans="1:19" hidden="1" outlineLevel="1" x14ac:dyDescent="0.2">
      <c r="C131" s="246" t="str">
        <f>IF(E131&lt;&gt;"",E131,"")</f>
        <v/>
      </c>
      <c r="D131" s="81" t="s">
        <v>743</v>
      </c>
      <c r="E131" s="227"/>
    </row>
    <row r="132" spans="1:19" hidden="1" outlineLevel="1" x14ac:dyDescent="0.2"/>
    <row r="133" spans="1:19" collapsed="1" x14ac:dyDescent="0.2"/>
    <row r="134" spans="1:19" ht="15.75" x14ac:dyDescent="0.2">
      <c r="C134" s="396">
        <v>4</v>
      </c>
      <c r="D134" s="72" t="str">
        <f>IF(E138&lt;&gt;"",CONCATENATE("Incident ",C134,": ",G138,L134),MsgNotUsed)</f>
        <v>** NOT USED **</v>
      </c>
      <c r="E134" s="116"/>
      <c r="F134" s="116"/>
      <c r="G134" s="116"/>
      <c r="H134" s="116"/>
      <c r="I134" s="118"/>
      <c r="J134" s="118"/>
      <c r="K134" s="266"/>
      <c r="L134" s="266" t="str">
        <f>IF(S138&lt;&gt;"",CONCATENATE(" (",S138,")"),"")</f>
        <v/>
      </c>
      <c r="M134" s="266"/>
      <c r="N134" s="266"/>
      <c r="O134" s="266"/>
      <c r="P134" s="266"/>
      <c r="Q134" s="266"/>
      <c r="R134" s="117"/>
      <c r="S134" s="117"/>
    </row>
    <row r="135" spans="1:19" hidden="1" outlineLevel="1" x14ac:dyDescent="0.2">
      <c r="A135" s="114"/>
      <c r="B135" s="114"/>
      <c r="C135" s="114"/>
      <c r="D135" s="260"/>
      <c r="E135" s="114"/>
      <c r="F135" s="114"/>
      <c r="G135" s="114"/>
      <c r="H135" s="114"/>
      <c r="I135" s="114"/>
      <c r="J135" s="114"/>
      <c r="K135" s="114"/>
      <c r="L135" s="114"/>
      <c r="M135" s="114"/>
      <c r="N135" s="114"/>
      <c r="O135" s="114"/>
      <c r="P135" s="114"/>
      <c r="Q135" s="114"/>
      <c r="R135" s="114"/>
      <c r="S135" s="114"/>
    </row>
    <row r="136" spans="1:19" hidden="1" outlineLevel="1" x14ac:dyDescent="0.2">
      <c r="A136" s="114"/>
      <c r="B136" s="114"/>
      <c r="C136" s="114"/>
      <c r="D136" t="s">
        <v>826</v>
      </c>
      <c r="E136" s="114"/>
      <c r="F136" s="114"/>
      <c r="G136" s="114"/>
      <c r="R136" s="114"/>
    </row>
    <row r="137" spans="1:19" hidden="1" outlineLevel="1" x14ac:dyDescent="0.2">
      <c r="A137" s="114"/>
      <c r="B137" s="114"/>
      <c r="C137" s="114"/>
      <c r="D137" s="260"/>
      <c r="E137" s="114"/>
      <c r="F137" s="114"/>
      <c r="G137" s="114"/>
      <c r="H137" s="114"/>
      <c r="I137" s="114"/>
      <c r="J137" s="114"/>
      <c r="R137" s="114"/>
      <c r="S137" s="31" t="s">
        <v>414</v>
      </c>
    </row>
    <row r="138" spans="1:19" hidden="1" outlineLevel="1" x14ac:dyDescent="0.2">
      <c r="A138" s="114"/>
      <c r="B138" s="246">
        <f>IF(E138&lt;&gt;"",MATCH(E138,EPISource,0)-1,0)</f>
        <v>0</v>
      </c>
      <c r="C138" s="246">
        <f ca="1">IF(G138&lt;&gt;"",MATCH(G138,OFFSET(References!$AE$7,0,B138,PxPopMaxCount),0),0)</f>
        <v>0</v>
      </c>
      <c r="D138" s="8" t="s">
        <v>110</v>
      </c>
      <c r="E138" s="230"/>
      <c r="F138" s="119"/>
      <c r="G138" s="580"/>
      <c r="H138" s="581"/>
      <c r="I138" s="581"/>
      <c r="J138" s="581"/>
      <c r="R138" s="114"/>
      <c r="S138" s="234"/>
    </row>
    <row r="139" spans="1:19" hidden="1" outlineLevel="1" x14ac:dyDescent="0.2">
      <c r="A139" s="114"/>
      <c r="B139" s="246">
        <f>INDEX(PxPopValid,,B138+1)</f>
        <v>0</v>
      </c>
      <c r="C139" s="246">
        <f ca="1">(B138*PxPopMaxCount)+C138</f>
        <v>0</v>
      </c>
      <c r="D139" s="260"/>
      <c r="E139" s="319">
        <v>1</v>
      </c>
      <c r="F139" s="319">
        <v>2</v>
      </c>
      <c r="G139" s="319">
        <v>3</v>
      </c>
      <c r="H139" s="319">
        <v>4</v>
      </c>
      <c r="I139" s="319">
        <v>5</v>
      </c>
      <c r="J139" s="319">
        <v>6</v>
      </c>
      <c r="R139" s="114"/>
    </row>
    <row r="140" spans="1:19" ht="15" hidden="1" customHeight="1" outlineLevel="1" x14ac:dyDescent="0.2">
      <c r="A140" s="114"/>
      <c r="B140" s="114"/>
      <c r="C140" s="114"/>
      <c r="D140" s="260"/>
      <c r="E140" s="582" t="s">
        <v>10</v>
      </c>
      <c r="F140" s="582"/>
      <c r="G140" s="582"/>
      <c r="H140" s="582"/>
      <c r="I140" s="582"/>
      <c r="J140" s="582"/>
      <c r="R140" s="114"/>
      <c r="S140" s="444" t="str">
        <f ca="1">IF(ISERROR($C139)=TRUE,MsgError &amp; VLOOKUP("BadPop",ErrorMessages,2,FALSE),IF(RIGHT(G138,12)="(Prevalence)",MsgError &amp; VLOOKUP("BadPrevPop",ErrorMessages,2,FALSE),""))</f>
        <v/>
      </c>
    </row>
    <row r="141" spans="1:19" hidden="1" outlineLevel="1" x14ac:dyDescent="0.2">
      <c r="A141" s="114"/>
      <c r="B141" s="114"/>
      <c r="C141" s="114"/>
      <c r="D141" s="260"/>
      <c r="E141" s="74">
        <f>FirstYear</f>
        <v>2026</v>
      </c>
      <c r="F141" s="74">
        <f>E141+1</f>
        <v>2027</v>
      </c>
      <c r="G141" s="74">
        <f>F141+1</f>
        <v>2028</v>
      </c>
      <c r="H141" s="74">
        <f>G141+1</f>
        <v>2029</v>
      </c>
      <c r="I141" s="74">
        <f>H141+1</f>
        <v>2030</v>
      </c>
      <c r="J141" s="74">
        <f>I141+1</f>
        <v>2031</v>
      </c>
      <c r="R141" s="114"/>
    </row>
    <row r="142" spans="1:19" ht="12.75" hidden="1" customHeight="1" outlineLevel="1" x14ac:dyDescent="0.2">
      <c r="D142" s="499" t="s">
        <v>332</v>
      </c>
      <c r="E142" s="120">
        <f t="shared" ref="E142:J142" ca="1" si="20">IF(AND(ISERROR($C139)&lt;&gt;TRUE,$G138&lt;&gt;""),INDEX(PxPopNumbers,$C139,E139),0)</f>
        <v>0</v>
      </c>
      <c r="F142" s="120">
        <f t="shared" ca="1" si="20"/>
        <v>0</v>
      </c>
      <c r="G142" s="120">
        <f t="shared" ca="1" si="20"/>
        <v>0</v>
      </c>
      <c r="H142" s="120">
        <f t="shared" ca="1" si="20"/>
        <v>0</v>
      </c>
      <c r="I142" s="120">
        <f t="shared" ca="1" si="20"/>
        <v>0</v>
      </c>
      <c r="J142" s="120">
        <f t="shared" ca="1" si="20"/>
        <v>0</v>
      </c>
      <c r="R142" s="260"/>
    </row>
    <row r="143" spans="1:19" ht="12.75" hidden="1" customHeight="1" outlineLevel="1" x14ac:dyDescent="0.2"/>
    <row r="144" spans="1:19" ht="12.75" hidden="1" customHeight="1" outlineLevel="1" x14ac:dyDescent="0.2">
      <c r="D144" s="498" t="s">
        <v>196</v>
      </c>
      <c r="S144" s="31" t="s">
        <v>249</v>
      </c>
    </row>
    <row r="145" spans="4:19" hidden="1" outlineLevel="1" x14ac:dyDescent="0.2">
      <c r="D145" s="206"/>
      <c r="E145" s="329"/>
      <c r="F145" s="329"/>
      <c r="G145" s="329"/>
      <c r="H145" s="329"/>
      <c r="I145" s="329"/>
      <c r="J145" s="329"/>
      <c r="L145" s="40">
        <f t="shared" ref="L145:Q154" si="21">IF(E145="",1,E145)</f>
        <v>1</v>
      </c>
      <c r="M145" s="40">
        <f t="shared" si="21"/>
        <v>1</v>
      </c>
      <c r="N145" s="40">
        <f t="shared" si="21"/>
        <v>1</v>
      </c>
      <c r="O145" s="40">
        <f t="shared" si="21"/>
        <v>1</v>
      </c>
      <c r="P145" s="40">
        <f t="shared" si="21"/>
        <v>1</v>
      </c>
      <c r="Q145" s="40">
        <f t="shared" si="21"/>
        <v>1</v>
      </c>
      <c r="S145" s="206"/>
    </row>
    <row r="146" spans="4:19" hidden="1" outlineLevel="1" x14ac:dyDescent="0.2">
      <c r="D146" s="206"/>
      <c r="E146" s="329"/>
      <c r="F146" s="329"/>
      <c r="G146" s="329"/>
      <c r="H146" s="329"/>
      <c r="I146" s="329"/>
      <c r="J146" s="329"/>
      <c r="L146" s="40">
        <f t="shared" si="21"/>
        <v>1</v>
      </c>
      <c r="M146" s="40">
        <f t="shared" si="21"/>
        <v>1</v>
      </c>
      <c r="N146" s="40">
        <f t="shared" si="21"/>
        <v>1</v>
      </c>
      <c r="O146" s="40">
        <f t="shared" si="21"/>
        <v>1</v>
      </c>
      <c r="P146" s="40">
        <f t="shared" si="21"/>
        <v>1</v>
      </c>
      <c r="Q146" s="40">
        <f t="shared" si="21"/>
        <v>1</v>
      </c>
      <c r="S146" s="206"/>
    </row>
    <row r="147" spans="4:19" ht="12.75" hidden="1" customHeight="1" outlineLevel="1" x14ac:dyDescent="0.2">
      <c r="D147" s="206"/>
      <c r="E147" s="329"/>
      <c r="F147" s="329"/>
      <c r="G147" s="329"/>
      <c r="H147" s="329"/>
      <c r="I147" s="329"/>
      <c r="J147" s="329"/>
      <c r="L147" s="40">
        <f t="shared" si="21"/>
        <v>1</v>
      </c>
      <c r="M147" s="40">
        <f t="shared" si="21"/>
        <v>1</v>
      </c>
      <c r="N147" s="40">
        <f t="shared" si="21"/>
        <v>1</v>
      </c>
      <c r="O147" s="40">
        <f t="shared" si="21"/>
        <v>1</v>
      </c>
      <c r="P147" s="40">
        <f t="shared" si="21"/>
        <v>1</v>
      </c>
      <c r="Q147" s="40">
        <f t="shared" si="21"/>
        <v>1</v>
      </c>
      <c r="S147" s="206"/>
    </row>
    <row r="148" spans="4:19" ht="12.75" hidden="1" customHeight="1" outlineLevel="1" x14ac:dyDescent="0.2">
      <c r="D148" s="206"/>
      <c r="E148" s="329"/>
      <c r="F148" s="329"/>
      <c r="G148" s="329"/>
      <c r="H148" s="329"/>
      <c r="I148" s="329"/>
      <c r="J148" s="329"/>
      <c r="L148" s="40">
        <f t="shared" si="21"/>
        <v>1</v>
      </c>
      <c r="M148" s="40">
        <f t="shared" si="21"/>
        <v>1</v>
      </c>
      <c r="N148" s="40">
        <f t="shared" si="21"/>
        <v>1</v>
      </c>
      <c r="O148" s="40">
        <f t="shared" si="21"/>
        <v>1</v>
      </c>
      <c r="P148" s="40">
        <f t="shared" si="21"/>
        <v>1</v>
      </c>
      <c r="Q148" s="40">
        <f t="shared" si="21"/>
        <v>1</v>
      </c>
      <c r="S148" s="206"/>
    </row>
    <row r="149" spans="4:19" ht="12.75" hidden="1" customHeight="1" outlineLevel="1" x14ac:dyDescent="0.2">
      <c r="D149" s="206"/>
      <c r="E149" s="329"/>
      <c r="F149" s="329"/>
      <c r="G149" s="329"/>
      <c r="H149" s="329"/>
      <c r="I149" s="329"/>
      <c r="J149" s="329"/>
      <c r="L149" s="40">
        <f t="shared" si="21"/>
        <v>1</v>
      </c>
      <c r="M149" s="40">
        <f t="shared" si="21"/>
        <v>1</v>
      </c>
      <c r="N149" s="40">
        <f t="shared" si="21"/>
        <v>1</v>
      </c>
      <c r="O149" s="40">
        <f t="shared" si="21"/>
        <v>1</v>
      </c>
      <c r="P149" s="40">
        <f t="shared" si="21"/>
        <v>1</v>
      </c>
      <c r="Q149" s="40">
        <f t="shared" si="21"/>
        <v>1</v>
      </c>
      <c r="S149" s="206"/>
    </row>
    <row r="150" spans="4:19" ht="12.75" hidden="1" customHeight="1" outlineLevel="1" x14ac:dyDescent="0.2">
      <c r="D150" s="206"/>
      <c r="E150" s="329"/>
      <c r="F150" s="329"/>
      <c r="G150" s="329"/>
      <c r="H150" s="329"/>
      <c r="I150" s="329"/>
      <c r="J150" s="329"/>
      <c r="L150" s="40">
        <f t="shared" si="21"/>
        <v>1</v>
      </c>
      <c r="M150" s="40">
        <f t="shared" si="21"/>
        <v>1</v>
      </c>
      <c r="N150" s="40">
        <f t="shared" si="21"/>
        <v>1</v>
      </c>
      <c r="O150" s="40">
        <f t="shared" si="21"/>
        <v>1</v>
      </c>
      <c r="P150" s="40">
        <f t="shared" si="21"/>
        <v>1</v>
      </c>
      <c r="Q150" s="40">
        <f t="shared" si="21"/>
        <v>1</v>
      </c>
      <c r="S150" s="206"/>
    </row>
    <row r="151" spans="4:19" hidden="1" outlineLevel="1" x14ac:dyDescent="0.2">
      <c r="D151" s="206"/>
      <c r="E151" s="329"/>
      <c r="F151" s="329"/>
      <c r="G151" s="329"/>
      <c r="H151" s="329"/>
      <c r="I151" s="329"/>
      <c r="J151" s="329"/>
      <c r="L151" s="40">
        <f t="shared" si="21"/>
        <v>1</v>
      </c>
      <c r="M151" s="40">
        <f t="shared" si="21"/>
        <v>1</v>
      </c>
      <c r="N151" s="40">
        <f t="shared" si="21"/>
        <v>1</v>
      </c>
      <c r="O151" s="40">
        <f t="shared" si="21"/>
        <v>1</v>
      </c>
      <c r="P151" s="40">
        <f t="shared" si="21"/>
        <v>1</v>
      </c>
      <c r="Q151" s="40">
        <f t="shared" si="21"/>
        <v>1</v>
      </c>
      <c r="S151" s="206"/>
    </row>
    <row r="152" spans="4:19" hidden="1" outlineLevel="1" x14ac:dyDescent="0.2">
      <c r="D152" s="206"/>
      <c r="E152" s="329"/>
      <c r="F152" s="329"/>
      <c r="G152" s="329"/>
      <c r="H152" s="329"/>
      <c r="I152" s="329"/>
      <c r="J152" s="329"/>
      <c r="L152" s="40">
        <f t="shared" si="21"/>
        <v>1</v>
      </c>
      <c r="M152" s="40">
        <f t="shared" si="21"/>
        <v>1</v>
      </c>
      <c r="N152" s="40">
        <f t="shared" si="21"/>
        <v>1</v>
      </c>
      <c r="O152" s="40">
        <f t="shared" si="21"/>
        <v>1</v>
      </c>
      <c r="P152" s="40">
        <f t="shared" si="21"/>
        <v>1</v>
      </c>
      <c r="Q152" s="40">
        <f t="shared" si="21"/>
        <v>1</v>
      </c>
      <c r="S152" s="206"/>
    </row>
    <row r="153" spans="4:19" hidden="1" outlineLevel="1" x14ac:dyDescent="0.2">
      <c r="D153" s="206"/>
      <c r="E153" s="329"/>
      <c r="F153" s="329"/>
      <c r="G153" s="329"/>
      <c r="H153" s="329"/>
      <c r="I153" s="329"/>
      <c r="J153" s="329"/>
      <c r="L153" s="40">
        <f t="shared" si="21"/>
        <v>1</v>
      </c>
      <c r="M153" s="40">
        <f t="shared" si="21"/>
        <v>1</v>
      </c>
      <c r="N153" s="40">
        <f t="shared" si="21"/>
        <v>1</v>
      </c>
      <c r="O153" s="40">
        <f t="shared" si="21"/>
        <v>1</v>
      </c>
      <c r="P153" s="40">
        <f t="shared" si="21"/>
        <v>1</v>
      </c>
      <c r="Q153" s="40">
        <f t="shared" si="21"/>
        <v>1</v>
      </c>
      <c r="S153" s="206"/>
    </row>
    <row r="154" spans="4:19" hidden="1" outlineLevel="1" x14ac:dyDescent="0.2">
      <c r="D154" s="206"/>
      <c r="E154" s="329"/>
      <c r="F154" s="329"/>
      <c r="G154" s="329"/>
      <c r="H154" s="329"/>
      <c r="I154" s="329"/>
      <c r="J154" s="329"/>
      <c r="L154" s="40">
        <f>IF(E154="",1,E154)</f>
        <v>1</v>
      </c>
      <c r="M154" s="40">
        <f t="shared" si="21"/>
        <v>1</v>
      </c>
      <c r="N154" s="40">
        <f t="shared" si="21"/>
        <v>1</v>
      </c>
      <c r="O154" s="40">
        <f t="shared" si="21"/>
        <v>1</v>
      </c>
      <c r="P154" s="40">
        <f t="shared" si="21"/>
        <v>1</v>
      </c>
      <c r="Q154" s="40">
        <f t="shared" si="21"/>
        <v>1</v>
      </c>
      <c r="S154" s="206"/>
    </row>
    <row r="155" spans="4:19" hidden="1" outlineLevel="1" x14ac:dyDescent="0.2">
      <c r="D155" s="20" t="s">
        <v>204</v>
      </c>
      <c r="E155" s="331">
        <f t="shared" ref="E155:J155" si="22">L145*L146*L147*L148*L154*L149*L150*L151*L152*L153</f>
        <v>1</v>
      </c>
      <c r="F155" s="331">
        <f t="shared" si="22"/>
        <v>1</v>
      </c>
      <c r="G155" s="331">
        <f t="shared" si="22"/>
        <v>1</v>
      </c>
      <c r="H155" s="331">
        <f t="shared" si="22"/>
        <v>1</v>
      </c>
      <c r="I155" s="331">
        <f t="shared" si="22"/>
        <v>1</v>
      </c>
      <c r="J155" s="331">
        <f t="shared" si="22"/>
        <v>1</v>
      </c>
    </row>
    <row r="156" spans="4:19" hidden="1" outlineLevel="1" x14ac:dyDescent="0.2">
      <c r="D156" s="4" t="s">
        <v>87</v>
      </c>
      <c r="E156" s="247">
        <f t="shared" ref="E156:J156" ca="1" si="23">IF(ISNUMBER(E142),E142*E155,"")</f>
        <v>0</v>
      </c>
      <c r="F156" s="247">
        <f t="shared" ca="1" si="23"/>
        <v>0</v>
      </c>
      <c r="G156" s="247">
        <f t="shared" ca="1" si="23"/>
        <v>0</v>
      </c>
      <c r="H156" s="247">
        <f t="shared" ca="1" si="23"/>
        <v>0</v>
      </c>
      <c r="I156" s="247">
        <f t="shared" ca="1" si="23"/>
        <v>0</v>
      </c>
      <c r="J156" s="247">
        <f t="shared" ca="1" si="23"/>
        <v>0</v>
      </c>
    </row>
    <row r="157" spans="4:19" hidden="1" outlineLevel="1" x14ac:dyDescent="0.2"/>
    <row r="158" spans="4:19" hidden="1" outlineLevel="1" x14ac:dyDescent="0.2">
      <c r="D158" s="54" t="str">
        <f>TxPhase1Tx</f>
        <v/>
      </c>
      <c r="E158" s="357"/>
      <c r="S158" s="31" t="s">
        <v>249</v>
      </c>
    </row>
    <row r="159" spans="4:19" hidden="1" outlineLevel="1" x14ac:dyDescent="0.2">
      <c r="D159" s="54" t="s">
        <v>88</v>
      </c>
      <c r="E159" s="48"/>
      <c r="F159" s="48"/>
      <c r="G159" s="48"/>
      <c r="H159" s="48"/>
      <c r="I159" s="48"/>
      <c r="J159" s="48"/>
      <c r="S159" s="41"/>
    </row>
    <row r="160" spans="4:19" hidden="1" outlineLevel="1" x14ac:dyDescent="0.2"/>
    <row r="161" spans="1:19" hidden="1" outlineLevel="1" x14ac:dyDescent="0.2">
      <c r="D161" s="82" t="str">
        <f>TXPhase2Tx</f>
        <v/>
      </c>
      <c r="E161" s="357"/>
      <c r="S161" s="31" t="s">
        <v>249</v>
      </c>
    </row>
    <row r="162" spans="1:19" hidden="1" outlineLevel="1" x14ac:dyDescent="0.2">
      <c r="D162" s="82" t="str">
        <f>IF(D161&lt;&gt;"","Patients electing treatment (%)","")</f>
        <v/>
      </c>
      <c r="E162" s="48"/>
      <c r="F162" s="48"/>
      <c r="G162" s="48"/>
      <c r="H162" s="48"/>
      <c r="I162" s="48"/>
      <c r="J162" s="48"/>
      <c r="S162" s="41"/>
    </row>
    <row r="163" spans="1:19" hidden="1" outlineLevel="1" x14ac:dyDescent="0.2"/>
    <row r="164" spans="1:19" hidden="1" outlineLevel="1" x14ac:dyDescent="0.2">
      <c r="C164" s="246">
        <f>IFERROR(VLOOKUP(E164,TxPhase2SourceCode,2,FALSE),0)</f>
        <v>1</v>
      </c>
      <c r="D164" s="54" t="s">
        <v>1152</v>
      </c>
      <c r="E164" s="227" t="s">
        <v>1153</v>
      </c>
    </row>
    <row r="165" spans="1:19" hidden="1" outlineLevel="1" x14ac:dyDescent="0.2"/>
    <row r="166" spans="1:19" hidden="1" outlineLevel="1" x14ac:dyDescent="0.2">
      <c r="D166" s="54" t="str">
        <f>TxPhase1Px</f>
        <v/>
      </c>
      <c r="E166" s="247">
        <f t="shared" ref="E166:J166" si="24">IF(TxPhase1&lt;&gt;"",E156*E159,0)</f>
        <v>0</v>
      </c>
      <c r="F166" s="247">
        <f t="shared" si="24"/>
        <v>0</v>
      </c>
      <c r="G166" s="247">
        <f t="shared" si="24"/>
        <v>0</v>
      </c>
      <c r="H166" s="247">
        <f t="shared" si="24"/>
        <v>0</v>
      </c>
      <c r="I166" s="247">
        <f t="shared" si="24"/>
        <v>0</v>
      </c>
      <c r="J166" s="247">
        <f t="shared" si="24"/>
        <v>0</v>
      </c>
    </row>
    <row r="167" spans="1:19" hidden="1" outlineLevel="1" x14ac:dyDescent="0.2">
      <c r="D167" s="54" t="str">
        <f>TxPhase2Px</f>
        <v/>
      </c>
      <c r="E167" s="247">
        <f t="shared" ref="E167:J167" si="25">IF(TxPhase2&lt;&gt;"",IF($C164=1,E166,IF($C164=2,E156,0))*E162,0)</f>
        <v>0</v>
      </c>
      <c r="F167" s="247">
        <f t="shared" si="25"/>
        <v>0</v>
      </c>
      <c r="G167" s="247">
        <f t="shared" si="25"/>
        <v>0</v>
      </c>
      <c r="H167" s="247">
        <f t="shared" si="25"/>
        <v>0</v>
      </c>
      <c r="I167" s="247">
        <f t="shared" si="25"/>
        <v>0</v>
      </c>
      <c r="J167" s="247">
        <f t="shared" si="25"/>
        <v>0</v>
      </c>
    </row>
    <row r="168" spans="1:19" hidden="1" outlineLevel="1" x14ac:dyDescent="0.2">
      <c r="D168" s="1"/>
      <c r="E168" s="1"/>
    </row>
    <row r="169" spans="1:19" hidden="1" outlineLevel="1" x14ac:dyDescent="0.2">
      <c r="C169" s="246" t="str">
        <f>IF(E169&lt;&gt;"",E169,"")</f>
        <v/>
      </c>
      <c r="D169" s="81" t="s">
        <v>743</v>
      </c>
      <c r="E169" s="227"/>
    </row>
    <row r="170" spans="1:19" hidden="1" outlineLevel="1" x14ac:dyDescent="0.2"/>
    <row r="171" spans="1:19" collapsed="1" x14ac:dyDescent="0.2"/>
    <row r="172" spans="1:19" ht="15.75" x14ac:dyDescent="0.2">
      <c r="C172" s="396">
        <v>5</v>
      </c>
      <c r="D172" s="72" t="str">
        <f>IF(E176&lt;&gt;"",CONCATENATE("Incident ",C172,": ",G176,L172),MsgNotUsed)</f>
        <v>** NOT USED **</v>
      </c>
      <c r="E172" s="116"/>
      <c r="F172" s="116"/>
      <c r="G172" s="116"/>
      <c r="H172" s="116"/>
      <c r="I172" s="118"/>
      <c r="J172" s="118"/>
      <c r="K172" s="266"/>
      <c r="L172" s="266" t="str">
        <f>IF(S176&lt;&gt;"",CONCATENATE(" (",S176,")"),"")</f>
        <v/>
      </c>
      <c r="M172" s="266"/>
      <c r="N172" s="266"/>
      <c r="O172" s="266"/>
      <c r="P172" s="266"/>
      <c r="Q172" s="266"/>
      <c r="R172" s="117"/>
      <c r="S172" s="117"/>
    </row>
    <row r="173" spans="1:19" hidden="1" outlineLevel="1" x14ac:dyDescent="0.2">
      <c r="A173" s="114"/>
      <c r="B173" s="114"/>
      <c r="C173" s="114"/>
      <c r="D173" s="260"/>
      <c r="E173" s="114"/>
      <c r="F173" s="114"/>
      <c r="G173" s="114"/>
      <c r="H173" s="114"/>
      <c r="I173" s="114"/>
      <c r="J173" s="114"/>
      <c r="K173" s="114"/>
      <c r="L173" s="114"/>
      <c r="M173" s="114"/>
      <c r="N173" s="114"/>
      <c r="O173" s="114"/>
      <c r="P173" s="114"/>
      <c r="Q173" s="114"/>
      <c r="R173" s="114"/>
      <c r="S173" s="114"/>
    </row>
    <row r="174" spans="1:19" hidden="1" outlineLevel="1" x14ac:dyDescent="0.2">
      <c r="A174" s="114"/>
      <c r="B174" s="114"/>
      <c r="C174" s="114"/>
      <c r="D174" t="s">
        <v>826</v>
      </c>
      <c r="E174" s="114"/>
      <c r="F174" s="114"/>
      <c r="G174" s="114"/>
      <c r="R174" s="114"/>
    </row>
    <row r="175" spans="1:19" hidden="1" outlineLevel="1" x14ac:dyDescent="0.2">
      <c r="A175" s="114"/>
      <c r="B175" s="114"/>
      <c r="C175" s="114"/>
      <c r="D175" s="260"/>
      <c r="E175" s="114"/>
      <c r="F175" s="114"/>
      <c r="G175" s="114"/>
      <c r="H175" s="114"/>
      <c r="I175" s="114"/>
      <c r="J175" s="114"/>
      <c r="R175" s="114"/>
      <c r="S175" s="31" t="s">
        <v>414</v>
      </c>
    </row>
    <row r="176" spans="1:19" hidden="1" outlineLevel="1" x14ac:dyDescent="0.2">
      <c r="A176" s="114"/>
      <c r="B176" s="246">
        <f>IF(E176&lt;&gt;"",MATCH(E176,EPISource,0)-1,0)</f>
        <v>0</v>
      </c>
      <c r="C176" s="246">
        <f ca="1">IF(G176&lt;&gt;"",MATCH(G176,OFFSET(References!$AE$7,0,B176,PxPopMaxCount),0),0)</f>
        <v>0</v>
      </c>
      <c r="D176" s="8" t="s">
        <v>110</v>
      </c>
      <c r="E176" s="230"/>
      <c r="F176" s="119"/>
      <c r="G176" s="580"/>
      <c r="H176" s="581"/>
      <c r="I176" s="581"/>
      <c r="J176" s="581"/>
      <c r="R176" s="114"/>
      <c r="S176" s="234"/>
    </row>
    <row r="177" spans="1:19" hidden="1" outlineLevel="1" x14ac:dyDescent="0.2">
      <c r="A177" s="114"/>
      <c r="B177" s="246">
        <f>INDEX(PxPopValid,,B176+1)</f>
        <v>0</v>
      </c>
      <c r="C177" s="246">
        <f ca="1">(B176*PxPopMaxCount)+C176</f>
        <v>0</v>
      </c>
      <c r="D177" s="260"/>
      <c r="E177" s="319">
        <v>1</v>
      </c>
      <c r="F177" s="319">
        <v>2</v>
      </c>
      <c r="G177" s="319">
        <v>3</v>
      </c>
      <c r="H177" s="319">
        <v>4</v>
      </c>
      <c r="I177" s="319">
        <v>5</v>
      </c>
      <c r="J177" s="319">
        <v>6</v>
      </c>
      <c r="R177" s="114"/>
    </row>
    <row r="178" spans="1:19" ht="15" hidden="1" customHeight="1" outlineLevel="1" x14ac:dyDescent="0.2">
      <c r="A178" s="114"/>
      <c r="B178" s="114"/>
      <c r="C178" s="114"/>
      <c r="D178" s="260"/>
      <c r="E178" s="582" t="s">
        <v>10</v>
      </c>
      <c r="F178" s="582"/>
      <c r="G178" s="582"/>
      <c r="H178" s="582"/>
      <c r="I178" s="582"/>
      <c r="J178" s="582"/>
      <c r="R178" s="114"/>
      <c r="S178" s="444" t="str">
        <f ca="1">IF(ISERROR($C177)=TRUE,MsgError &amp; VLOOKUP("BadPop",ErrorMessages,2,FALSE),IF(RIGHT(G176,12)="(Prevalence)",MsgError &amp; VLOOKUP("BadPrevPop",ErrorMessages,2,FALSE),""))</f>
        <v/>
      </c>
    </row>
    <row r="179" spans="1:19" hidden="1" outlineLevel="1" x14ac:dyDescent="0.2">
      <c r="A179" s="114"/>
      <c r="B179" s="114"/>
      <c r="C179" s="114"/>
      <c r="D179" s="260"/>
      <c r="E179" s="74">
        <f>FirstYear</f>
        <v>2026</v>
      </c>
      <c r="F179" s="74">
        <f>E179+1</f>
        <v>2027</v>
      </c>
      <c r="G179" s="74">
        <f>F179+1</f>
        <v>2028</v>
      </c>
      <c r="H179" s="74">
        <f>G179+1</f>
        <v>2029</v>
      </c>
      <c r="I179" s="74">
        <f>H179+1</f>
        <v>2030</v>
      </c>
      <c r="J179" s="74">
        <f>I179+1</f>
        <v>2031</v>
      </c>
      <c r="R179" s="114"/>
    </row>
    <row r="180" spans="1:19" ht="12.75" hidden="1" customHeight="1" outlineLevel="1" x14ac:dyDescent="0.2">
      <c r="D180" s="499" t="s">
        <v>332</v>
      </c>
      <c r="E180" s="120">
        <f t="shared" ref="E180:J180" ca="1" si="26">IF(AND(ISERROR($C177)&lt;&gt;TRUE,$G176&lt;&gt;""),INDEX(PxPopNumbers,$C177,E177),0)</f>
        <v>0</v>
      </c>
      <c r="F180" s="120">
        <f t="shared" ca="1" si="26"/>
        <v>0</v>
      </c>
      <c r="G180" s="120">
        <f t="shared" ca="1" si="26"/>
        <v>0</v>
      </c>
      <c r="H180" s="120">
        <f t="shared" ca="1" si="26"/>
        <v>0</v>
      </c>
      <c r="I180" s="120">
        <f t="shared" ca="1" si="26"/>
        <v>0</v>
      </c>
      <c r="J180" s="120">
        <f t="shared" ca="1" si="26"/>
        <v>0</v>
      </c>
      <c r="R180" s="260"/>
    </row>
    <row r="181" spans="1:19" ht="12.75" hidden="1" customHeight="1" outlineLevel="1" x14ac:dyDescent="0.2"/>
    <row r="182" spans="1:19" ht="12.75" hidden="1" customHeight="1" outlineLevel="1" x14ac:dyDescent="0.2">
      <c r="D182" s="498" t="s">
        <v>196</v>
      </c>
      <c r="S182" s="31" t="s">
        <v>249</v>
      </c>
    </row>
    <row r="183" spans="1:19" hidden="1" outlineLevel="1" x14ac:dyDescent="0.2">
      <c r="D183" s="206"/>
      <c r="E183" s="329"/>
      <c r="F183" s="329"/>
      <c r="G183" s="329"/>
      <c r="H183" s="329"/>
      <c r="I183" s="329"/>
      <c r="J183" s="329"/>
      <c r="L183" s="40">
        <f t="shared" ref="L183:Q192" si="27">IF(E183="",1,E183)</f>
        <v>1</v>
      </c>
      <c r="M183" s="40">
        <f t="shared" si="27"/>
        <v>1</v>
      </c>
      <c r="N183" s="40">
        <f t="shared" si="27"/>
        <v>1</v>
      </c>
      <c r="O183" s="40">
        <f t="shared" si="27"/>
        <v>1</v>
      </c>
      <c r="P183" s="40">
        <f t="shared" si="27"/>
        <v>1</v>
      </c>
      <c r="Q183" s="40">
        <f t="shared" si="27"/>
        <v>1</v>
      </c>
      <c r="S183" s="206"/>
    </row>
    <row r="184" spans="1:19" hidden="1" outlineLevel="1" x14ac:dyDescent="0.2">
      <c r="D184" s="206"/>
      <c r="E184" s="329"/>
      <c r="F184" s="329"/>
      <c r="G184" s="329"/>
      <c r="H184" s="329"/>
      <c r="I184" s="329"/>
      <c r="J184" s="329"/>
      <c r="L184" s="40">
        <f t="shared" si="27"/>
        <v>1</v>
      </c>
      <c r="M184" s="40">
        <f t="shared" si="27"/>
        <v>1</v>
      </c>
      <c r="N184" s="40">
        <f t="shared" si="27"/>
        <v>1</v>
      </c>
      <c r="O184" s="40">
        <f t="shared" si="27"/>
        <v>1</v>
      </c>
      <c r="P184" s="40">
        <f t="shared" si="27"/>
        <v>1</v>
      </c>
      <c r="Q184" s="40">
        <f t="shared" si="27"/>
        <v>1</v>
      </c>
      <c r="S184" s="206"/>
    </row>
    <row r="185" spans="1:19" hidden="1" outlineLevel="1" x14ac:dyDescent="0.2">
      <c r="D185" s="206"/>
      <c r="E185" s="329"/>
      <c r="F185" s="329"/>
      <c r="G185" s="329"/>
      <c r="H185" s="329"/>
      <c r="I185" s="329"/>
      <c r="J185" s="329"/>
      <c r="L185" s="40">
        <f t="shared" si="27"/>
        <v>1</v>
      </c>
      <c r="M185" s="40">
        <f t="shared" si="27"/>
        <v>1</v>
      </c>
      <c r="N185" s="40">
        <f t="shared" si="27"/>
        <v>1</v>
      </c>
      <c r="O185" s="40">
        <f t="shared" si="27"/>
        <v>1</v>
      </c>
      <c r="P185" s="40">
        <f t="shared" si="27"/>
        <v>1</v>
      </c>
      <c r="Q185" s="40">
        <f t="shared" si="27"/>
        <v>1</v>
      </c>
      <c r="S185" s="206"/>
    </row>
    <row r="186" spans="1:19" hidden="1" outlineLevel="1" x14ac:dyDescent="0.2">
      <c r="D186" s="206"/>
      <c r="E186" s="329"/>
      <c r="F186" s="329"/>
      <c r="G186" s="329"/>
      <c r="H186" s="329"/>
      <c r="I186" s="329"/>
      <c r="J186" s="329"/>
      <c r="L186" s="40">
        <f t="shared" si="27"/>
        <v>1</v>
      </c>
      <c r="M186" s="40">
        <f t="shared" si="27"/>
        <v>1</v>
      </c>
      <c r="N186" s="40">
        <f t="shared" si="27"/>
        <v>1</v>
      </c>
      <c r="O186" s="40">
        <f t="shared" si="27"/>
        <v>1</v>
      </c>
      <c r="P186" s="40">
        <f t="shared" si="27"/>
        <v>1</v>
      </c>
      <c r="Q186" s="40">
        <f t="shared" si="27"/>
        <v>1</v>
      </c>
      <c r="S186" s="206"/>
    </row>
    <row r="187" spans="1:19" hidden="1" outlineLevel="1" x14ac:dyDescent="0.2">
      <c r="D187" s="206"/>
      <c r="E187" s="329"/>
      <c r="F187" s="329"/>
      <c r="G187" s="329"/>
      <c r="H187" s="329"/>
      <c r="I187" s="329"/>
      <c r="J187" s="329"/>
      <c r="L187" s="40">
        <f t="shared" si="27"/>
        <v>1</v>
      </c>
      <c r="M187" s="40">
        <f t="shared" si="27"/>
        <v>1</v>
      </c>
      <c r="N187" s="40">
        <f t="shared" si="27"/>
        <v>1</v>
      </c>
      <c r="O187" s="40">
        <f t="shared" si="27"/>
        <v>1</v>
      </c>
      <c r="P187" s="40">
        <f t="shared" si="27"/>
        <v>1</v>
      </c>
      <c r="Q187" s="40">
        <f t="shared" si="27"/>
        <v>1</v>
      </c>
      <c r="S187" s="206"/>
    </row>
    <row r="188" spans="1:19" hidden="1" outlineLevel="1" x14ac:dyDescent="0.2">
      <c r="D188" s="206"/>
      <c r="E188" s="329"/>
      <c r="F188" s="329"/>
      <c r="G188" s="329"/>
      <c r="H188" s="329"/>
      <c r="I188" s="329"/>
      <c r="J188" s="329"/>
      <c r="L188" s="40">
        <f t="shared" si="27"/>
        <v>1</v>
      </c>
      <c r="M188" s="40">
        <f t="shared" si="27"/>
        <v>1</v>
      </c>
      <c r="N188" s="40">
        <f t="shared" si="27"/>
        <v>1</v>
      </c>
      <c r="O188" s="40">
        <f t="shared" si="27"/>
        <v>1</v>
      </c>
      <c r="P188" s="40">
        <f t="shared" si="27"/>
        <v>1</v>
      </c>
      <c r="Q188" s="40">
        <f t="shared" si="27"/>
        <v>1</v>
      </c>
      <c r="S188" s="206"/>
    </row>
    <row r="189" spans="1:19" hidden="1" outlineLevel="1" x14ac:dyDescent="0.2">
      <c r="D189" s="206"/>
      <c r="E189" s="329"/>
      <c r="F189" s="329"/>
      <c r="G189" s="329"/>
      <c r="H189" s="329"/>
      <c r="I189" s="329"/>
      <c r="J189" s="329"/>
      <c r="L189" s="40">
        <f t="shared" si="27"/>
        <v>1</v>
      </c>
      <c r="M189" s="40">
        <f t="shared" si="27"/>
        <v>1</v>
      </c>
      <c r="N189" s="40">
        <f t="shared" si="27"/>
        <v>1</v>
      </c>
      <c r="O189" s="40">
        <f t="shared" si="27"/>
        <v>1</v>
      </c>
      <c r="P189" s="40">
        <f t="shared" si="27"/>
        <v>1</v>
      </c>
      <c r="Q189" s="40">
        <f t="shared" si="27"/>
        <v>1</v>
      </c>
      <c r="S189" s="206"/>
    </row>
    <row r="190" spans="1:19" hidden="1" outlineLevel="1" x14ac:dyDescent="0.2">
      <c r="D190" s="206"/>
      <c r="E190" s="329"/>
      <c r="F190" s="329"/>
      <c r="G190" s="329"/>
      <c r="H190" s="329"/>
      <c r="I190" s="329"/>
      <c r="J190" s="329"/>
      <c r="L190" s="40">
        <f t="shared" si="27"/>
        <v>1</v>
      </c>
      <c r="M190" s="40">
        <f t="shared" si="27"/>
        <v>1</v>
      </c>
      <c r="N190" s="40">
        <f t="shared" si="27"/>
        <v>1</v>
      </c>
      <c r="O190" s="40">
        <f t="shared" si="27"/>
        <v>1</v>
      </c>
      <c r="P190" s="40">
        <f t="shared" si="27"/>
        <v>1</v>
      </c>
      <c r="Q190" s="40">
        <f t="shared" si="27"/>
        <v>1</v>
      </c>
      <c r="S190" s="206"/>
    </row>
    <row r="191" spans="1:19" hidden="1" outlineLevel="1" x14ac:dyDescent="0.2">
      <c r="D191" s="206"/>
      <c r="E191" s="329"/>
      <c r="F191" s="329"/>
      <c r="G191" s="329"/>
      <c r="H191" s="329"/>
      <c r="I191" s="329"/>
      <c r="J191" s="329"/>
      <c r="L191" s="40">
        <f t="shared" si="27"/>
        <v>1</v>
      </c>
      <c r="M191" s="40">
        <f t="shared" si="27"/>
        <v>1</v>
      </c>
      <c r="N191" s="40">
        <f t="shared" si="27"/>
        <v>1</v>
      </c>
      <c r="O191" s="40">
        <f t="shared" si="27"/>
        <v>1</v>
      </c>
      <c r="P191" s="40">
        <f t="shared" si="27"/>
        <v>1</v>
      </c>
      <c r="Q191" s="40">
        <f t="shared" si="27"/>
        <v>1</v>
      </c>
      <c r="S191" s="206"/>
    </row>
    <row r="192" spans="1:19" hidden="1" outlineLevel="1" x14ac:dyDescent="0.2">
      <c r="D192" s="206"/>
      <c r="E192" s="329"/>
      <c r="F192" s="329"/>
      <c r="G192" s="329"/>
      <c r="H192" s="329"/>
      <c r="I192" s="329"/>
      <c r="J192" s="329"/>
      <c r="L192" s="40">
        <f>IF(E192="",1,E192)</f>
        <v>1</v>
      </c>
      <c r="M192" s="40">
        <f t="shared" si="27"/>
        <v>1</v>
      </c>
      <c r="N192" s="40">
        <f t="shared" si="27"/>
        <v>1</v>
      </c>
      <c r="O192" s="40">
        <f t="shared" si="27"/>
        <v>1</v>
      </c>
      <c r="P192" s="40">
        <f t="shared" si="27"/>
        <v>1</v>
      </c>
      <c r="Q192" s="40">
        <f t="shared" si="27"/>
        <v>1</v>
      </c>
      <c r="S192" s="206"/>
    </row>
    <row r="193" spans="3:19" hidden="1" outlineLevel="1" x14ac:dyDescent="0.2">
      <c r="D193" s="20" t="s">
        <v>204</v>
      </c>
      <c r="E193" s="331">
        <f t="shared" ref="E193:J193" si="28">L183*L184*L185*L186*L192*L187*L188*L189*L190*L191</f>
        <v>1</v>
      </c>
      <c r="F193" s="331">
        <f t="shared" si="28"/>
        <v>1</v>
      </c>
      <c r="G193" s="331">
        <f t="shared" si="28"/>
        <v>1</v>
      </c>
      <c r="H193" s="331">
        <f t="shared" si="28"/>
        <v>1</v>
      </c>
      <c r="I193" s="331">
        <f t="shared" si="28"/>
        <v>1</v>
      </c>
      <c r="J193" s="331">
        <f t="shared" si="28"/>
        <v>1</v>
      </c>
    </row>
    <row r="194" spans="3:19" hidden="1" outlineLevel="1" x14ac:dyDescent="0.2">
      <c r="D194" s="4" t="s">
        <v>87</v>
      </c>
      <c r="E194" s="247">
        <f t="shared" ref="E194:J194" ca="1" si="29">IF(ISNUMBER(E180),E180*E193,"")</f>
        <v>0</v>
      </c>
      <c r="F194" s="247">
        <f t="shared" ca="1" si="29"/>
        <v>0</v>
      </c>
      <c r="G194" s="247">
        <f t="shared" ca="1" si="29"/>
        <v>0</v>
      </c>
      <c r="H194" s="247">
        <f t="shared" ca="1" si="29"/>
        <v>0</v>
      </c>
      <c r="I194" s="247">
        <f t="shared" ca="1" si="29"/>
        <v>0</v>
      </c>
      <c r="J194" s="247">
        <f t="shared" ca="1" si="29"/>
        <v>0</v>
      </c>
    </row>
    <row r="195" spans="3:19" hidden="1" outlineLevel="1" x14ac:dyDescent="0.2"/>
    <row r="196" spans="3:19" hidden="1" outlineLevel="1" x14ac:dyDescent="0.2">
      <c r="D196" s="54" t="str">
        <f>TxPhase1Tx</f>
        <v/>
      </c>
      <c r="E196" s="357"/>
      <c r="S196" s="31" t="s">
        <v>249</v>
      </c>
    </row>
    <row r="197" spans="3:19" hidden="1" outlineLevel="1" x14ac:dyDescent="0.2">
      <c r="D197" s="54" t="s">
        <v>88</v>
      </c>
      <c r="E197" s="48"/>
      <c r="F197" s="48"/>
      <c r="G197" s="48"/>
      <c r="H197" s="48"/>
      <c r="I197" s="48"/>
      <c r="J197" s="48"/>
      <c r="S197" s="41"/>
    </row>
    <row r="198" spans="3:19" hidden="1" outlineLevel="1" x14ac:dyDescent="0.2"/>
    <row r="199" spans="3:19" hidden="1" outlineLevel="1" x14ac:dyDescent="0.2">
      <c r="D199" s="82" t="str">
        <f>TXPhase2Tx</f>
        <v/>
      </c>
      <c r="E199" s="357"/>
      <c r="S199" s="31" t="s">
        <v>249</v>
      </c>
    </row>
    <row r="200" spans="3:19" hidden="1" outlineLevel="1" x14ac:dyDescent="0.2">
      <c r="D200" s="82" t="str">
        <f>IF(D199&lt;&gt;"","Patients electing treatment (%)","")</f>
        <v/>
      </c>
      <c r="E200" s="48"/>
      <c r="F200" s="48"/>
      <c r="G200" s="48"/>
      <c r="H200" s="48"/>
      <c r="I200" s="48"/>
      <c r="J200" s="48"/>
      <c r="S200" s="41"/>
    </row>
    <row r="201" spans="3:19" hidden="1" outlineLevel="1" x14ac:dyDescent="0.2"/>
    <row r="202" spans="3:19" hidden="1" outlineLevel="1" x14ac:dyDescent="0.2">
      <c r="C202" s="246">
        <f>IFERROR(VLOOKUP(E202,TxPhase2SourceCode,2,FALSE),0)</f>
        <v>1</v>
      </c>
      <c r="D202" s="54" t="s">
        <v>1152</v>
      </c>
      <c r="E202" s="227" t="s">
        <v>1153</v>
      </c>
    </row>
    <row r="203" spans="3:19" hidden="1" outlineLevel="1" x14ac:dyDescent="0.2"/>
    <row r="204" spans="3:19" hidden="1" outlineLevel="1" x14ac:dyDescent="0.2">
      <c r="D204" s="54" t="str">
        <f>IF(TxPhase1&lt;&gt;"",TxPhase1 &amp; " patients (#)","")</f>
        <v/>
      </c>
      <c r="E204" s="247">
        <f t="shared" ref="E204:J204" si="30">IF(TxPhase1&lt;&gt;"",E194*E197,0)</f>
        <v>0</v>
      </c>
      <c r="F204" s="247">
        <f t="shared" si="30"/>
        <v>0</v>
      </c>
      <c r="G204" s="247">
        <f t="shared" si="30"/>
        <v>0</v>
      </c>
      <c r="H204" s="247">
        <f t="shared" si="30"/>
        <v>0</v>
      </c>
      <c r="I204" s="247">
        <f t="shared" si="30"/>
        <v>0</v>
      </c>
      <c r="J204" s="247">
        <f t="shared" si="30"/>
        <v>0</v>
      </c>
    </row>
    <row r="205" spans="3:19" hidden="1" outlineLevel="1" x14ac:dyDescent="0.2">
      <c r="D205" s="54" t="str">
        <f>IF(TxPhase2&lt;&gt;"",TxPhase2 &amp; " patients (#)","")</f>
        <v/>
      </c>
      <c r="E205" s="247">
        <f t="shared" ref="E205:J205" si="31">IF(TxPhase2&lt;&gt;"",IF($C202=1,E204,IF($C202=2,E194,0))*E200,0)</f>
        <v>0</v>
      </c>
      <c r="F205" s="247">
        <f t="shared" si="31"/>
        <v>0</v>
      </c>
      <c r="G205" s="247">
        <f t="shared" si="31"/>
        <v>0</v>
      </c>
      <c r="H205" s="247">
        <f t="shared" si="31"/>
        <v>0</v>
      </c>
      <c r="I205" s="247">
        <f t="shared" si="31"/>
        <v>0</v>
      </c>
      <c r="J205" s="247">
        <f t="shared" si="31"/>
        <v>0</v>
      </c>
    </row>
    <row r="206" spans="3:19" hidden="1" outlineLevel="1" x14ac:dyDescent="0.2">
      <c r="D206" s="1"/>
      <c r="E206" s="1"/>
    </row>
    <row r="207" spans="3:19" hidden="1" outlineLevel="1" x14ac:dyDescent="0.2">
      <c r="C207" s="246" t="str">
        <f>IF(E207&lt;&gt;"",E207,"")</f>
        <v/>
      </c>
      <c r="D207" s="81" t="s">
        <v>743</v>
      </c>
      <c r="E207" s="227"/>
    </row>
    <row r="208" spans="3:19" hidden="1" outlineLevel="1" x14ac:dyDescent="0.2"/>
    <row r="209" spans="1:19" collapsed="1" x14ac:dyDescent="0.2"/>
    <row r="210" spans="1:19" ht="15.75" x14ac:dyDescent="0.2">
      <c r="C210" s="396">
        <v>6</v>
      </c>
      <c r="D210" s="72" t="str">
        <f>IF(E214&lt;&gt;"",CONCATENATE("Incident ",C210,": ",G214,L210),MsgNotUsed)</f>
        <v>** NOT USED **</v>
      </c>
      <c r="E210" s="116"/>
      <c r="F210" s="116"/>
      <c r="G210" s="116"/>
      <c r="H210" s="116"/>
      <c r="I210" s="118"/>
      <c r="J210" s="118"/>
      <c r="K210" s="266"/>
      <c r="L210" s="266" t="str">
        <f>IF(S214&lt;&gt;"",CONCATENATE(" (",S214,")"),"")</f>
        <v/>
      </c>
      <c r="M210" s="266"/>
      <c r="N210" s="266"/>
      <c r="O210" s="266"/>
      <c r="P210" s="266"/>
      <c r="Q210" s="266"/>
      <c r="R210" s="117"/>
      <c r="S210" s="117"/>
    </row>
    <row r="211" spans="1:19" hidden="1" outlineLevel="1" x14ac:dyDescent="0.2">
      <c r="A211" s="114"/>
      <c r="B211" s="114"/>
      <c r="C211" s="114"/>
      <c r="D211" s="260"/>
      <c r="E211" s="114"/>
      <c r="F211" s="114"/>
      <c r="G211" s="114"/>
      <c r="H211" s="114"/>
      <c r="I211" s="114"/>
      <c r="J211" s="114"/>
      <c r="K211" s="114"/>
      <c r="L211" s="114"/>
      <c r="M211" s="114"/>
      <c r="N211" s="114"/>
      <c r="O211" s="114"/>
      <c r="P211" s="114"/>
      <c r="Q211" s="114"/>
      <c r="R211" s="114"/>
      <c r="S211" s="114"/>
    </row>
    <row r="212" spans="1:19" hidden="1" outlineLevel="1" x14ac:dyDescent="0.2">
      <c r="A212" s="114"/>
      <c r="B212" s="114"/>
      <c r="C212" s="114"/>
      <c r="D212" t="s">
        <v>826</v>
      </c>
      <c r="E212" s="114"/>
      <c r="F212" s="114"/>
      <c r="G212" s="114"/>
      <c r="R212" s="114"/>
    </row>
    <row r="213" spans="1:19" hidden="1" outlineLevel="1" x14ac:dyDescent="0.2">
      <c r="A213" s="114"/>
      <c r="B213" s="114"/>
      <c r="C213" s="114"/>
      <c r="D213" s="260"/>
      <c r="E213" s="114"/>
      <c r="F213" s="114"/>
      <c r="G213" s="114"/>
      <c r="H213" s="114"/>
      <c r="I213" s="114"/>
      <c r="J213" s="114"/>
      <c r="R213" s="114"/>
      <c r="S213" s="31" t="s">
        <v>414</v>
      </c>
    </row>
    <row r="214" spans="1:19" hidden="1" outlineLevel="1" x14ac:dyDescent="0.2">
      <c r="A214" s="114"/>
      <c r="B214" s="246">
        <f>IF(E214&lt;&gt;"",MATCH(E214,EPISource,0)-1,0)</f>
        <v>0</v>
      </c>
      <c r="C214" s="246">
        <f ca="1">IF(G214&lt;&gt;"",MATCH(G214,OFFSET(References!$AE$7,0,B214,PxPopMaxCount),0),0)</f>
        <v>0</v>
      </c>
      <c r="D214" s="8" t="s">
        <v>110</v>
      </c>
      <c r="E214" s="230"/>
      <c r="F214" s="119"/>
      <c r="G214" s="580"/>
      <c r="H214" s="581"/>
      <c r="I214" s="581"/>
      <c r="J214" s="581"/>
      <c r="R214" s="114"/>
      <c r="S214" s="234"/>
    </row>
    <row r="215" spans="1:19" hidden="1" outlineLevel="1" x14ac:dyDescent="0.2">
      <c r="A215" s="114"/>
      <c r="B215" s="246">
        <f>INDEX(PxPopValid,,B214+1)</f>
        <v>0</v>
      </c>
      <c r="C215" s="246">
        <f ca="1">(B214*PxPopMaxCount)+C214</f>
        <v>0</v>
      </c>
      <c r="D215" s="260"/>
      <c r="E215" s="319">
        <v>1</v>
      </c>
      <c r="F215" s="319">
        <v>2</v>
      </c>
      <c r="G215" s="319">
        <v>3</v>
      </c>
      <c r="H215" s="319">
        <v>4</v>
      </c>
      <c r="I215" s="319">
        <v>5</v>
      </c>
      <c r="J215" s="319">
        <v>6</v>
      </c>
      <c r="R215" s="114"/>
    </row>
    <row r="216" spans="1:19" ht="15" hidden="1" customHeight="1" outlineLevel="1" x14ac:dyDescent="0.2">
      <c r="A216" s="114"/>
      <c r="B216" s="114"/>
      <c r="C216" s="114"/>
      <c r="D216" s="260"/>
      <c r="E216" s="582" t="s">
        <v>10</v>
      </c>
      <c r="F216" s="582"/>
      <c r="G216" s="582"/>
      <c r="H216" s="582"/>
      <c r="I216" s="582"/>
      <c r="J216" s="582"/>
      <c r="R216" s="114"/>
      <c r="S216" s="444" t="str">
        <f ca="1">IF(ISERROR($C215)=TRUE,MsgError &amp; VLOOKUP("BadPop",ErrorMessages,2,FALSE),IF(RIGHT(G214,12)="(Prevalence)",MsgError &amp; VLOOKUP("BadPrevPop",ErrorMessages,2,FALSE),""))</f>
        <v/>
      </c>
    </row>
    <row r="217" spans="1:19" hidden="1" outlineLevel="1" x14ac:dyDescent="0.2">
      <c r="A217" s="114"/>
      <c r="B217" s="114"/>
      <c r="C217" s="114"/>
      <c r="D217" s="260"/>
      <c r="E217" s="74">
        <f>FirstYear</f>
        <v>2026</v>
      </c>
      <c r="F217" s="74">
        <f>E217+1</f>
        <v>2027</v>
      </c>
      <c r="G217" s="74">
        <f>F217+1</f>
        <v>2028</v>
      </c>
      <c r="H217" s="74">
        <f>G217+1</f>
        <v>2029</v>
      </c>
      <c r="I217" s="74">
        <f>H217+1</f>
        <v>2030</v>
      </c>
      <c r="J217" s="74">
        <f>I217+1</f>
        <v>2031</v>
      </c>
      <c r="R217" s="114"/>
    </row>
    <row r="218" spans="1:19" ht="12.75" hidden="1" customHeight="1" outlineLevel="1" x14ac:dyDescent="0.2">
      <c r="D218" s="499" t="s">
        <v>332</v>
      </c>
      <c r="E218" s="120">
        <f t="shared" ref="E218:J218" ca="1" si="32">IF(AND(ISERROR($C215)&lt;&gt;TRUE,$G214&lt;&gt;""),INDEX(PxPopNumbers,$C215,E215),0)</f>
        <v>0</v>
      </c>
      <c r="F218" s="120">
        <f t="shared" ca="1" si="32"/>
        <v>0</v>
      </c>
      <c r="G218" s="120">
        <f t="shared" ca="1" si="32"/>
        <v>0</v>
      </c>
      <c r="H218" s="120">
        <f t="shared" ca="1" si="32"/>
        <v>0</v>
      </c>
      <c r="I218" s="120">
        <f t="shared" ca="1" si="32"/>
        <v>0</v>
      </c>
      <c r="J218" s="120">
        <f t="shared" ca="1" si="32"/>
        <v>0</v>
      </c>
      <c r="R218" s="260"/>
    </row>
    <row r="219" spans="1:19" ht="12.75" hidden="1" customHeight="1" outlineLevel="1" x14ac:dyDescent="0.2"/>
    <row r="220" spans="1:19" ht="12.75" hidden="1" customHeight="1" outlineLevel="1" x14ac:dyDescent="0.2">
      <c r="D220" s="498" t="s">
        <v>196</v>
      </c>
      <c r="S220" s="31" t="s">
        <v>249</v>
      </c>
    </row>
    <row r="221" spans="1:19" hidden="1" outlineLevel="1" x14ac:dyDescent="0.2">
      <c r="D221" s="206"/>
      <c r="E221" s="329"/>
      <c r="F221" s="329"/>
      <c r="G221" s="329"/>
      <c r="H221" s="329"/>
      <c r="I221" s="329"/>
      <c r="J221" s="329"/>
      <c r="L221" s="40">
        <f t="shared" ref="L221:L229" si="33">IF(E221="",1,E221)</f>
        <v>1</v>
      </c>
      <c r="M221" s="40">
        <f t="shared" ref="M221:M230" si="34">IF(F221="",1,F221)</f>
        <v>1</v>
      </c>
      <c r="N221" s="40">
        <f t="shared" ref="N221:N230" si="35">IF(G221="",1,G221)</f>
        <v>1</v>
      </c>
      <c r="O221" s="40">
        <f t="shared" ref="O221:O230" si="36">IF(H221="",1,H221)</f>
        <v>1</v>
      </c>
      <c r="P221" s="40">
        <f t="shared" ref="P221:P230" si="37">IF(I221="",1,I221)</f>
        <v>1</v>
      </c>
      <c r="Q221" s="40">
        <f t="shared" ref="Q221:Q230" si="38">IF(J221="",1,J221)</f>
        <v>1</v>
      </c>
      <c r="S221" s="206"/>
    </row>
    <row r="222" spans="1:19" hidden="1" outlineLevel="1" x14ac:dyDescent="0.2">
      <c r="D222" s="206"/>
      <c r="E222" s="329"/>
      <c r="F222" s="329"/>
      <c r="G222" s="329"/>
      <c r="H222" s="329"/>
      <c r="I222" s="329"/>
      <c r="J222" s="329"/>
      <c r="L222" s="40">
        <f t="shared" si="33"/>
        <v>1</v>
      </c>
      <c r="M222" s="40">
        <f t="shared" si="34"/>
        <v>1</v>
      </c>
      <c r="N222" s="40">
        <f t="shared" si="35"/>
        <v>1</v>
      </c>
      <c r="O222" s="40">
        <f t="shared" si="36"/>
        <v>1</v>
      </c>
      <c r="P222" s="40">
        <f t="shared" si="37"/>
        <v>1</v>
      </c>
      <c r="Q222" s="40">
        <f t="shared" si="38"/>
        <v>1</v>
      </c>
      <c r="S222" s="206"/>
    </row>
    <row r="223" spans="1:19" hidden="1" outlineLevel="1" x14ac:dyDescent="0.2">
      <c r="D223" s="206"/>
      <c r="E223" s="329"/>
      <c r="F223" s="329"/>
      <c r="G223" s="329"/>
      <c r="H223" s="329"/>
      <c r="I223" s="329"/>
      <c r="J223" s="329"/>
      <c r="L223" s="40">
        <f t="shared" si="33"/>
        <v>1</v>
      </c>
      <c r="M223" s="40">
        <f t="shared" si="34"/>
        <v>1</v>
      </c>
      <c r="N223" s="40">
        <f t="shared" si="35"/>
        <v>1</v>
      </c>
      <c r="O223" s="40">
        <f t="shared" si="36"/>
        <v>1</v>
      </c>
      <c r="P223" s="40">
        <f t="shared" si="37"/>
        <v>1</v>
      </c>
      <c r="Q223" s="40">
        <f t="shared" si="38"/>
        <v>1</v>
      </c>
      <c r="S223" s="206"/>
    </row>
    <row r="224" spans="1:19" hidden="1" outlineLevel="1" x14ac:dyDescent="0.2">
      <c r="D224" s="206"/>
      <c r="E224" s="329"/>
      <c r="F224" s="329"/>
      <c r="G224" s="329"/>
      <c r="H224" s="329"/>
      <c r="I224" s="329"/>
      <c r="J224" s="329"/>
      <c r="L224" s="40">
        <f t="shared" si="33"/>
        <v>1</v>
      </c>
      <c r="M224" s="40">
        <f t="shared" si="34"/>
        <v>1</v>
      </c>
      <c r="N224" s="40">
        <f t="shared" si="35"/>
        <v>1</v>
      </c>
      <c r="O224" s="40">
        <f t="shared" si="36"/>
        <v>1</v>
      </c>
      <c r="P224" s="40">
        <f t="shared" si="37"/>
        <v>1</v>
      </c>
      <c r="Q224" s="40">
        <f t="shared" si="38"/>
        <v>1</v>
      </c>
      <c r="S224" s="206"/>
    </row>
    <row r="225" spans="3:19" hidden="1" outlineLevel="1" x14ac:dyDescent="0.2">
      <c r="D225" s="206"/>
      <c r="E225" s="329"/>
      <c r="F225" s="329"/>
      <c r="G225" s="329"/>
      <c r="H225" s="329"/>
      <c r="I225" s="329"/>
      <c r="J225" s="329"/>
      <c r="L225" s="40">
        <f t="shared" si="33"/>
        <v>1</v>
      </c>
      <c r="M225" s="40">
        <f t="shared" si="34"/>
        <v>1</v>
      </c>
      <c r="N225" s="40">
        <f t="shared" si="35"/>
        <v>1</v>
      </c>
      <c r="O225" s="40">
        <f t="shared" si="36"/>
        <v>1</v>
      </c>
      <c r="P225" s="40">
        <f t="shared" si="37"/>
        <v>1</v>
      </c>
      <c r="Q225" s="40">
        <f t="shared" si="38"/>
        <v>1</v>
      </c>
      <c r="S225" s="206"/>
    </row>
    <row r="226" spans="3:19" hidden="1" outlineLevel="1" x14ac:dyDescent="0.2">
      <c r="D226" s="206"/>
      <c r="E226" s="329"/>
      <c r="F226" s="329"/>
      <c r="G226" s="329"/>
      <c r="H226" s="329"/>
      <c r="I226" s="329"/>
      <c r="J226" s="329"/>
      <c r="L226" s="40">
        <f t="shared" si="33"/>
        <v>1</v>
      </c>
      <c r="M226" s="40">
        <f t="shared" si="34"/>
        <v>1</v>
      </c>
      <c r="N226" s="40">
        <f t="shared" si="35"/>
        <v>1</v>
      </c>
      <c r="O226" s="40">
        <f t="shared" si="36"/>
        <v>1</v>
      </c>
      <c r="P226" s="40">
        <f t="shared" si="37"/>
        <v>1</v>
      </c>
      <c r="Q226" s="40">
        <f t="shared" si="38"/>
        <v>1</v>
      </c>
      <c r="S226" s="206"/>
    </row>
    <row r="227" spans="3:19" hidden="1" outlineLevel="1" x14ac:dyDescent="0.2">
      <c r="D227" s="206"/>
      <c r="E227" s="329"/>
      <c r="F227" s="329"/>
      <c r="G227" s="329"/>
      <c r="H227" s="329"/>
      <c r="I227" s="329"/>
      <c r="J227" s="329"/>
      <c r="L227" s="40">
        <f t="shared" si="33"/>
        <v>1</v>
      </c>
      <c r="M227" s="40">
        <f t="shared" si="34"/>
        <v>1</v>
      </c>
      <c r="N227" s="40">
        <f t="shared" si="35"/>
        <v>1</v>
      </c>
      <c r="O227" s="40">
        <f t="shared" si="36"/>
        <v>1</v>
      </c>
      <c r="P227" s="40">
        <f t="shared" si="37"/>
        <v>1</v>
      </c>
      <c r="Q227" s="40">
        <f t="shared" si="38"/>
        <v>1</v>
      </c>
      <c r="S227" s="206"/>
    </row>
    <row r="228" spans="3:19" hidden="1" outlineLevel="1" x14ac:dyDescent="0.2">
      <c r="D228" s="206"/>
      <c r="E228" s="329"/>
      <c r="F228" s="329"/>
      <c r="G228" s="329"/>
      <c r="H228" s="329"/>
      <c r="I228" s="329"/>
      <c r="J228" s="329"/>
      <c r="L228" s="40">
        <f t="shared" si="33"/>
        <v>1</v>
      </c>
      <c r="M228" s="40">
        <f t="shared" si="34"/>
        <v>1</v>
      </c>
      <c r="N228" s="40">
        <f t="shared" si="35"/>
        <v>1</v>
      </c>
      <c r="O228" s="40">
        <f t="shared" si="36"/>
        <v>1</v>
      </c>
      <c r="P228" s="40">
        <f t="shared" si="37"/>
        <v>1</v>
      </c>
      <c r="Q228" s="40">
        <f t="shared" si="38"/>
        <v>1</v>
      </c>
      <c r="S228" s="206"/>
    </row>
    <row r="229" spans="3:19" hidden="1" outlineLevel="1" x14ac:dyDescent="0.2">
      <c r="D229" s="206"/>
      <c r="E229" s="329"/>
      <c r="F229" s="329"/>
      <c r="G229" s="329"/>
      <c r="H229" s="329"/>
      <c r="I229" s="329"/>
      <c r="J229" s="329"/>
      <c r="L229" s="40">
        <f t="shared" si="33"/>
        <v>1</v>
      </c>
      <c r="M229" s="40">
        <f t="shared" si="34"/>
        <v>1</v>
      </c>
      <c r="N229" s="40">
        <f t="shared" si="35"/>
        <v>1</v>
      </c>
      <c r="O229" s="40">
        <f t="shared" si="36"/>
        <v>1</v>
      </c>
      <c r="P229" s="40">
        <f t="shared" si="37"/>
        <v>1</v>
      </c>
      <c r="Q229" s="40">
        <f t="shared" si="38"/>
        <v>1</v>
      </c>
      <c r="S229" s="206"/>
    </row>
    <row r="230" spans="3:19" hidden="1" outlineLevel="1" x14ac:dyDescent="0.2">
      <c r="D230" s="206"/>
      <c r="E230" s="329"/>
      <c r="F230" s="329"/>
      <c r="G230" s="329"/>
      <c r="H230" s="329"/>
      <c r="I230" s="329"/>
      <c r="J230" s="329"/>
      <c r="L230" s="40">
        <f>IF(E230="",1,E230)</f>
        <v>1</v>
      </c>
      <c r="M230" s="40">
        <f t="shared" si="34"/>
        <v>1</v>
      </c>
      <c r="N230" s="40">
        <f t="shared" si="35"/>
        <v>1</v>
      </c>
      <c r="O230" s="40">
        <f t="shared" si="36"/>
        <v>1</v>
      </c>
      <c r="P230" s="40">
        <f t="shared" si="37"/>
        <v>1</v>
      </c>
      <c r="Q230" s="40">
        <f t="shared" si="38"/>
        <v>1</v>
      </c>
      <c r="S230" s="206"/>
    </row>
    <row r="231" spans="3:19" hidden="1" outlineLevel="1" x14ac:dyDescent="0.2">
      <c r="D231" s="20" t="s">
        <v>204</v>
      </c>
      <c r="E231" s="331">
        <f t="shared" ref="E231:J231" si="39">L221*L222*L223*L224*L230*L225*L226*L227*L228*L229</f>
        <v>1</v>
      </c>
      <c r="F231" s="331">
        <f t="shared" si="39"/>
        <v>1</v>
      </c>
      <c r="G231" s="331">
        <f t="shared" si="39"/>
        <v>1</v>
      </c>
      <c r="H231" s="331">
        <f t="shared" si="39"/>
        <v>1</v>
      </c>
      <c r="I231" s="331">
        <f t="shared" si="39"/>
        <v>1</v>
      </c>
      <c r="J231" s="331">
        <f t="shared" si="39"/>
        <v>1</v>
      </c>
    </row>
    <row r="232" spans="3:19" hidden="1" outlineLevel="1" x14ac:dyDescent="0.2">
      <c r="D232" s="4" t="s">
        <v>87</v>
      </c>
      <c r="E232" s="247">
        <f t="shared" ref="E232:J232" ca="1" si="40">IF(ISNUMBER(E218),E218*E231,"")</f>
        <v>0</v>
      </c>
      <c r="F232" s="247">
        <f t="shared" ca="1" si="40"/>
        <v>0</v>
      </c>
      <c r="G232" s="247">
        <f t="shared" ca="1" si="40"/>
        <v>0</v>
      </c>
      <c r="H232" s="247">
        <f t="shared" ca="1" si="40"/>
        <v>0</v>
      </c>
      <c r="I232" s="247">
        <f t="shared" ca="1" si="40"/>
        <v>0</v>
      </c>
      <c r="J232" s="247">
        <f t="shared" ca="1" si="40"/>
        <v>0</v>
      </c>
    </row>
    <row r="233" spans="3:19" hidden="1" outlineLevel="1" x14ac:dyDescent="0.2"/>
    <row r="234" spans="3:19" hidden="1" outlineLevel="1" x14ac:dyDescent="0.2">
      <c r="D234" s="54" t="str">
        <f>TxPhase1Tx</f>
        <v/>
      </c>
      <c r="E234" s="357"/>
      <c r="S234" s="31" t="s">
        <v>249</v>
      </c>
    </row>
    <row r="235" spans="3:19" hidden="1" outlineLevel="1" x14ac:dyDescent="0.2">
      <c r="D235" s="54" t="s">
        <v>88</v>
      </c>
      <c r="E235" s="48"/>
      <c r="F235" s="48"/>
      <c r="G235" s="48"/>
      <c r="H235" s="48"/>
      <c r="I235" s="48"/>
      <c r="J235" s="48"/>
      <c r="S235" s="41"/>
    </row>
    <row r="236" spans="3:19" hidden="1" outlineLevel="1" x14ac:dyDescent="0.2"/>
    <row r="237" spans="3:19" hidden="1" outlineLevel="1" x14ac:dyDescent="0.2">
      <c r="D237" s="82" t="str">
        <f>TXPhase2Tx</f>
        <v/>
      </c>
      <c r="E237" s="357"/>
      <c r="S237" s="31" t="s">
        <v>249</v>
      </c>
    </row>
    <row r="238" spans="3:19" hidden="1" outlineLevel="1" x14ac:dyDescent="0.2">
      <c r="D238" s="82" t="str">
        <f>IF(D237&lt;&gt;"","Patients electing treatment (%)","")</f>
        <v/>
      </c>
      <c r="E238" s="48"/>
      <c r="F238" s="48"/>
      <c r="G238" s="48"/>
      <c r="H238" s="48"/>
      <c r="I238" s="48"/>
      <c r="J238" s="48"/>
      <c r="S238" s="41"/>
    </row>
    <row r="239" spans="3:19" hidden="1" outlineLevel="1" x14ac:dyDescent="0.2"/>
    <row r="240" spans="3:19" hidden="1" outlineLevel="1" x14ac:dyDescent="0.2">
      <c r="C240" s="246">
        <f>IFERROR(VLOOKUP(E240,TxPhase2SourceCode,2,FALSE),0)</f>
        <v>1</v>
      </c>
      <c r="D240" s="54" t="s">
        <v>1152</v>
      </c>
      <c r="E240" s="227" t="s">
        <v>1153</v>
      </c>
    </row>
    <row r="241" spans="1:19" hidden="1" outlineLevel="1" x14ac:dyDescent="0.2"/>
    <row r="242" spans="1:19" hidden="1" outlineLevel="1" x14ac:dyDescent="0.2">
      <c r="D242" s="54" t="str">
        <f>TxPhase1Px</f>
        <v/>
      </c>
      <c r="E242" s="247">
        <f t="shared" ref="E242:J242" si="41">IF(TxPhase1&lt;&gt;"",E232*E235,0)</f>
        <v>0</v>
      </c>
      <c r="F242" s="247">
        <f t="shared" si="41"/>
        <v>0</v>
      </c>
      <c r="G242" s="247">
        <f t="shared" si="41"/>
        <v>0</v>
      </c>
      <c r="H242" s="247">
        <f t="shared" si="41"/>
        <v>0</v>
      </c>
      <c r="I242" s="247">
        <f t="shared" si="41"/>
        <v>0</v>
      </c>
      <c r="J242" s="247">
        <f t="shared" si="41"/>
        <v>0</v>
      </c>
    </row>
    <row r="243" spans="1:19" hidden="1" outlineLevel="1" x14ac:dyDescent="0.2">
      <c r="D243" s="54" t="str">
        <f>TxPhase2Px</f>
        <v/>
      </c>
      <c r="E243" s="247">
        <f t="shared" ref="E243:J243" si="42">IF(TxPhase2&lt;&gt;"",IF($C240=1,E242,IF($C240=2,E232,0))*E238,0)</f>
        <v>0</v>
      </c>
      <c r="F243" s="247">
        <f t="shared" si="42"/>
        <v>0</v>
      </c>
      <c r="G243" s="247">
        <f t="shared" si="42"/>
        <v>0</v>
      </c>
      <c r="H243" s="247">
        <f t="shared" si="42"/>
        <v>0</v>
      </c>
      <c r="I243" s="247">
        <f t="shared" si="42"/>
        <v>0</v>
      </c>
      <c r="J243" s="247">
        <f t="shared" si="42"/>
        <v>0</v>
      </c>
    </row>
    <row r="244" spans="1:19" hidden="1" outlineLevel="1" x14ac:dyDescent="0.2">
      <c r="D244" s="1"/>
      <c r="E244" s="1"/>
    </row>
    <row r="245" spans="1:19" hidden="1" outlineLevel="1" x14ac:dyDescent="0.2">
      <c r="C245" s="246" t="str">
        <f>IF(E245&lt;&gt;"",E245,"")</f>
        <v/>
      </c>
      <c r="D245" s="81" t="s">
        <v>743</v>
      </c>
      <c r="E245" s="227"/>
    </row>
    <row r="246" spans="1:19" hidden="1" outlineLevel="1" x14ac:dyDescent="0.2"/>
    <row r="247" spans="1:19" collapsed="1" x14ac:dyDescent="0.2"/>
    <row r="248" spans="1:19" ht="15.75" x14ac:dyDescent="0.2">
      <c r="C248" s="396">
        <v>7</v>
      </c>
      <c r="D248" s="72" t="str">
        <f>IF(E252&lt;&gt;"",CONCATENATE("Incident ",C248,": ",G252,L248),MsgNotUsed)</f>
        <v>** NOT USED **</v>
      </c>
      <c r="E248" s="116"/>
      <c r="F248" s="116"/>
      <c r="G248" s="116"/>
      <c r="H248" s="116"/>
      <c r="I248" s="118"/>
      <c r="J248" s="118"/>
      <c r="K248" s="266"/>
      <c r="L248" s="266" t="str">
        <f>IF(S252&lt;&gt;"",CONCATENATE(" (",S252,")"),"")</f>
        <v/>
      </c>
      <c r="M248" s="266"/>
      <c r="N248" s="266"/>
      <c r="O248" s="266"/>
      <c r="P248" s="266"/>
      <c r="Q248" s="266"/>
      <c r="R248" s="117"/>
      <c r="S248" s="117"/>
    </row>
    <row r="249" spans="1:19" hidden="1" outlineLevel="1" x14ac:dyDescent="0.2">
      <c r="A249" s="114"/>
      <c r="B249" s="114"/>
      <c r="C249" s="114"/>
      <c r="D249" s="260"/>
      <c r="E249" s="114"/>
      <c r="F249" s="114"/>
      <c r="G249" s="114"/>
      <c r="H249" s="114"/>
      <c r="I249" s="114"/>
      <c r="J249" s="114"/>
      <c r="K249" s="114"/>
      <c r="L249" s="114"/>
      <c r="M249" s="114"/>
      <c r="N249" s="114"/>
      <c r="O249" s="114"/>
      <c r="P249" s="114"/>
      <c r="Q249" s="114"/>
      <c r="R249" s="114"/>
      <c r="S249" s="114"/>
    </row>
    <row r="250" spans="1:19" hidden="1" outlineLevel="1" x14ac:dyDescent="0.2">
      <c r="A250" s="114"/>
      <c r="B250" s="114"/>
      <c r="C250" s="114"/>
      <c r="D250" t="s">
        <v>826</v>
      </c>
      <c r="E250" s="114"/>
      <c r="F250" s="114"/>
      <c r="G250" s="114"/>
      <c r="R250" s="114"/>
    </row>
    <row r="251" spans="1:19" hidden="1" outlineLevel="1" x14ac:dyDescent="0.2">
      <c r="A251" s="114"/>
      <c r="B251" s="114"/>
      <c r="C251" s="114"/>
      <c r="D251" s="260"/>
      <c r="E251" s="114"/>
      <c r="F251" s="114"/>
      <c r="G251" s="114"/>
      <c r="H251" s="114"/>
      <c r="I251" s="114"/>
      <c r="J251" s="114"/>
      <c r="R251" s="114"/>
      <c r="S251" s="31" t="s">
        <v>414</v>
      </c>
    </row>
    <row r="252" spans="1:19" hidden="1" outlineLevel="1" x14ac:dyDescent="0.2">
      <c r="A252" s="114"/>
      <c r="B252" s="246">
        <f>IF(E252&lt;&gt;"",MATCH(E252,EPISource,0)-1,0)</f>
        <v>0</v>
      </c>
      <c r="C252" s="246">
        <f ca="1">IF(G252&lt;&gt;"",MATCH(G252,OFFSET(References!$AE$7,0,B252,PxPopMaxCount),0),0)</f>
        <v>0</v>
      </c>
      <c r="D252" s="8" t="s">
        <v>110</v>
      </c>
      <c r="E252" s="230"/>
      <c r="F252" s="119"/>
      <c r="G252" s="580"/>
      <c r="H252" s="581"/>
      <c r="I252" s="581"/>
      <c r="J252" s="581"/>
      <c r="R252" s="114"/>
      <c r="S252" s="234"/>
    </row>
    <row r="253" spans="1:19" hidden="1" outlineLevel="1" x14ac:dyDescent="0.2">
      <c r="A253" s="114"/>
      <c r="B253" s="246">
        <f>INDEX(PxPopValid,,B252+1)</f>
        <v>0</v>
      </c>
      <c r="C253" s="246">
        <f ca="1">(B252*PxPopMaxCount)+C252</f>
        <v>0</v>
      </c>
      <c r="D253" s="260"/>
      <c r="E253" s="319">
        <v>1</v>
      </c>
      <c r="F253" s="319">
        <v>2</v>
      </c>
      <c r="G253" s="319">
        <v>3</v>
      </c>
      <c r="H253" s="319">
        <v>4</v>
      </c>
      <c r="I253" s="319">
        <v>5</v>
      </c>
      <c r="J253" s="319">
        <v>6</v>
      </c>
      <c r="R253" s="114"/>
    </row>
    <row r="254" spans="1:19" ht="15" hidden="1" customHeight="1" outlineLevel="1" x14ac:dyDescent="0.2">
      <c r="A254" s="114"/>
      <c r="B254" s="114"/>
      <c r="C254" s="114"/>
      <c r="D254" s="260"/>
      <c r="E254" s="582" t="s">
        <v>10</v>
      </c>
      <c r="F254" s="582"/>
      <c r="G254" s="582"/>
      <c r="H254" s="582"/>
      <c r="I254" s="582"/>
      <c r="J254" s="582"/>
      <c r="R254" s="114"/>
      <c r="S254" s="444" t="str">
        <f ca="1">IF(ISERROR($C253)=TRUE,MsgError &amp; VLOOKUP("BadPop",ErrorMessages,2,FALSE),IF(RIGHT(G252,12)="(Prevalence)",MsgError &amp; VLOOKUP("BadPrevPop",ErrorMessages,2,FALSE),""))</f>
        <v/>
      </c>
    </row>
    <row r="255" spans="1:19" hidden="1" outlineLevel="1" x14ac:dyDescent="0.2">
      <c r="A255" s="114"/>
      <c r="B255" s="114"/>
      <c r="C255" s="114"/>
      <c r="D255" s="260"/>
      <c r="E255" s="74">
        <f>FirstYear</f>
        <v>2026</v>
      </c>
      <c r="F255" s="74">
        <f>E255+1</f>
        <v>2027</v>
      </c>
      <c r="G255" s="74">
        <f>F255+1</f>
        <v>2028</v>
      </c>
      <c r="H255" s="74">
        <f>G255+1</f>
        <v>2029</v>
      </c>
      <c r="I255" s="74">
        <f>H255+1</f>
        <v>2030</v>
      </c>
      <c r="J255" s="74">
        <f>I255+1</f>
        <v>2031</v>
      </c>
      <c r="R255" s="114"/>
    </row>
    <row r="256" spans="1:19" ht="12.75" hidden="1" customHeight="1" outlineLevel="1" x14ac:dyDescent="0.2">
      <c r="D256" s="499" t="s">
        <v>332</v>
      </c>
      <c r="E256" s="120">
        <f t="shared" ref="E256:J256" ca="1" si="43">IF(AND(ISERROR($C253)&lt;&gt;TRUE,$G252&lt;&gt;""),INDEX(PxPopNumbers,$C253,E253),0)</f>
        <v>0</v>
      </c>
      <c r="F256" s="120">
        <f t="shared" ca="1" si="43"/>
        <v>0</v>
      </c>
      <c r="G256" s="120">
        <f t="shared" ca="1" si="43"/>
        <v>0</v>
      </c>
      <c r="H256" s="120">
        <f t="shared" ca="1" si="43"/>
        <v>0</v>
      </c>
      <c r="I256" s="120">
        <f t="shared" ca="1" si="43"/>
        <v>0</v>
      </c>
      <c r="J256" s="120">
        <f t="shared" ca="1" si="43"/>
        <v>0</v>
      </c>
      <c r="R256" s="260"/>
    </row>
    <row r="257" spans="4:19" ht="12.75" hidden="1" customHeight="1" outlineLevel="1" x14ac:dyDescent="0.2"/>
    <row r="258" spans="4:19" ht="12.75" hidden="1" customHeight="1" outlineLevel="1" x14ac:dyDescent="0.2">
      <c r="D258" s="498" t="s">
        <v>196</v>
      </c>
      <c r="S258" s="31" t="s">
        <v>249</v>
      </c>
    </row>
    <row r="259" spans="4:19" hidden="1" outlineLevel="1" x14ac:dyDescent="0.2">
      <c r="D259" s="206"/>
      <c r="E259" s="329"/>
      <c r="F259" s="329"/>
      <c r="G259" s="329"/>
      <c r="H259" s="329"/>
      <c r="I259" s="329"/>
      <c r="J259" s="329"/>
      <c r="L259" s="40">
        <f t="shared" ref="L259:L267" si="44">IF(E259="",1,E259)</f>
        <v>1</v>
      </c>
      <c r="M259" s="40">
        <f t="shared" ref="M259:M268" si="45">IF(F259="",1,F259)</f>
        <v>1</v>
      </c>
      <c r="N259" s="40">
        <f t="shared" ref="N259:N268" si="46">IF(G259="",1,G259)</f>
        <v>1</v>
      </c>
      <c r="O259" s="40">
        <f t="shared" ref="O259:O268" si="47">IF(H259="",1,H259)</f>
        <v>1</v>
      </c>
      <c r="P259" s="40">
        <f t="shared" ref="P259:P268" si="48">IF(I259="",1,I259)</f>
        <v>1</v>
      </c>
      <c r="Q259" s="40">
        <f t="shared" ref="Q259:Q268" si="49">IF(J259="",1,J259)</f>
        <v>1</v>
      </c>
      <c r="S259" s="206"/>
    </row>
    <row r="260" spans="4:19" hidden="1" outlineLevel="1" x14ac:dyDescent="0.2">
      <c r="D260" s="206"/>
      <c r="E260" s="329"/>
      <c r="F260" s="329"/>
      <c r="G260" s="329"/>
      <c r="H260" s="329"/>
      <c r="I260" s="329"/>
      <c r="J260" s="329"/>
      <c r="L260" s="40">
        <f t="shared" si="44"/>
        <v>1</v>
      </c>
      <c r="M260" s="40">
        <f t="shared" si="45"/>
        <v>1</v>
      </c>
      <c r="N260" s="40">
        <f t="shared" si="46"/>
        <v>1</v>
      </c>
      <c r="O260" s="40">
        <f t="shared" si="47"/>
        <v>1</v>
      </c>
      <c r="P260" s="40">
        <f t="shared" si="48"/>
        <v>1</v>
      </c>
      <c r="Q260" s="40">
        <f t="shared" si="49"/>
        <v>1</v>
      </c>
      <c r="S260" s="206"/>
    </row>
    <row r="261" spans="4:19" hidden="1" outlineLevel="1" x14ac:dyDescent="0.2">
      <c r="D261" s="206"/>
      <c r="E261" s="329"/>
      <c r="F261" s="329"/>
      <c r="G261" s="329"/>
      <c r="H261" s="329"/>
      <c r="I261" s="329"/>
      <c r="J261" s="329"/>
      <c r="L261" s="40">
        <f t="shared" si="44"/>
        <v>1</v>
      </c>
      <c r="M261" s="40">
        <f t="shared" si="45"/>
        <v>1</v>
      </c>
      <c r="N261" s="40">
        <f t="shared" si="46"/>
        <v>1</v>
      </c>
      <c r="O261" s="40">
        <f t="shared" si="47"/>
        <v>1</v>
      </c>
      <c r="P261" s="40">
        <f t="shared" si="48"/>
        <v>1</v>
      </c>
      <c r="Q261" s="40">
        <f t="shared" si="49"/>
        <v>1</v>
      </c>
      <c r="S261" s="206"/>
    </row>
    <row r="262" spans="4:19" hidden="1" outlineLevel="1" x14ac:dyDescent="0.2">
      <c r="D262" s="206"/>
      <c r="E262" s="329"/>
      <c r="F262" s="329"/>
      <c r="G262" s="329"/>
      <c r="H262" s="329"/>
      <c r="I262" s="329"/>
      <c r="J262" s="329"/>
      <c r="L262" s="40">
        <f t="shared" si="44"/>
        <v>1</v>
      </c>
      <c r="M262" s="40">
        <f t="shared" si="45"/>
        <v>1</v>
      </c>
      <c r="N262" s="40">
        <f t="shared" si="46"/>
        <v>1</v>
      </c>
      <c r="O262" s="40">
        <f t="shared" si="47"/>
        <v>1</v>
      </c>
      <c r="P262" s="40">
        <f t="shared" si="48"/>
        <v>1</v>
      </c>
      <c r="Q262" s="40">
        <f t="shared" si="49"/>
        <v>1</v>
      </c>
      <c r="S262" s="206"/>
    </row>
    <row r="263" spans="4:19" hidden="1" outlineLevel="1" x14ac:dyDescent="0.2">
      <c r="D263" s="206"/>
      <c r="E263" s="329"/>
      <c r="F263" s="329"/>
      <c r="G263" s="329"/>
      <c r="H263" s="329"/>
      <c r="I263" s="329"/>
      <c r="J263" s="329"/>
      <c r="L263" s="40">
        <f t="shared" si="44"/>
        <v>1</v>
      </c>
      <c r="M263" s="40">
        <f t="shared" si="45"/>
        <v>1</v>
      </c>
      <c r="N263" s="40">
        <f t="shared" si="46"/>
        <v>1</v>
      </c>
      <c r="O263" s="40">
        <f t="shared" si="47"/>
        <v>1</v>
      </c>
      <c r="P263" s="40">
        <f t="shared" si="48"/>
        <v>1</v>
      </c>
      <c r="Q263" s="40">
        <f t="shared" si="49"/>
        <v>1</v>
      </c>
      <c r="S263" s="206"/>
    </row>
    <row r="264" spans="4:19" hidden="1" outlineLevel="1" x14ac:dyDescent="0.2">
      <c r="D264" s="206"/>
      <c r="E264" s="329"/>
      <c r="F264" s="329"/>
      <c r="G264" s="329"/>
      <c r="H264" s="329"/>
      <c r="I264" s="329"/>
      <c r="J264" s="329"/>
      <c r="L264" s="40">
        <f t="shared" si="44"/>
        <v>1</v>
      </c>
      <c r="M264" s="40">
        <f t="shared" si="45"/>
        <v>1</v>
      </c>
      <c r="N264" s="40">
        <f t="shared" si="46"/>
        <v>1</v>
      </c>
      <c r="O264" s="40">
        <f t="shared" si="47"/>
        <v>1</v>
      </c>
      <c r="P264" s="40">
        <f t="shared" si="48"/>
        <v>1</v>
      </c>
      <c r="Q264" s="40">
        <f t="shared" si="49"/>
        <v>1</v>
      </c>
      <c r="S264" s="206"/>
    </row>
    <row r="265" spans="4:19" hidden="1" outlineLevel="1" x14ac:dyDescent="0.2">
      <c r="D265" s="206"/>
      <c r="E265" s="329"/>
      <c r="F265" s="329"/>
      <c r="G265" s="329"/>
      <c r="H265" s="329"/>
      <c r="I265" s="329"/>
      <c r="J265" s="329"/>
      <c r="L265" s="40">
        <f t="shared" si="44"/>
        <v>1</v>
      </c>
      <c r="M265" s="40">
        <f t="shared" si="45"/>
        <v>1</v>
      </c>
      <c r="N265" s="40">
        <f t="shared" si="46"/>
        <v>1</v>
      </c>
      <c r="O265" s="40">
        <f t="shared" si="47"/>
        <v>1</v>
      </c>
      <c r="P265" s="40">
        <f t="shared" si="48"/>
        <v>1</v>
      </c>
      <c r="Q265" s="40">
        <f t="shared" si="49"/>
        <v>1</v>
      </c>
      <c r="S265" s="206"/>
    </row>
    <row r="266" spans="4:19" hidden="1" outlineLevel="1" x14ac:dyDescent="0.2">
      <c r="D266" s="206"/>
      <c r="E266" s="329"/>
      <c r="F266" s="329"/>
      <c r="G266" s="329"/>
      <c r="H266" s="329"/>
      <c r="I266" s="329"/>
      <c r="J266" s="329"/>
      <c r="L266" s="40">
        <f t="shared" si="44"/>
        <v>1</v>
      </c>
      <c r="M266" s="40">
        <f t="shared" si="45"/>
        <v>1</v>
      </c>
      <c r="N266" s="40">
        <f t="shared" si="46"/>
        <v>1</v>
      </c>
      <c r="O266" s="40">
        <f t="shared" si="47"/>
        <v>1</v>
      </c>
      <c r="P266" s="40">
        <f t="shared" si="48"/>
        <v>1</v>
      </c>
      <c r="Q266" s="40">
        <f t="shared" si="49"/>
        <v>1</v>
      </c>
      <c r="S266" s="206"/>
    </row>
    <row r="267" spans="4:19" hidden="1" outlineLevel="1" x14ac:dyDescent="0.2">
      <c r="D267" s="206"/>
      <c r="E267" s="329"/>
      <c r="F267" s="329"/>
      <c r="G267" s="329"/>
      <c r="H267" s="329"/>
      <c r="I267" s="329"/>
      <c r="J267" s="329"/>
      <c r="L267" s="40">
        <f t="shared" si="44"/>
        <v>1</v>
      </c>
      <c r="M267" s="40">
        <f t="shared" si="45"/>
        <v>1</v>
      </c>
      <c r="N267" s="40">
        <f t="shared" si="46"/>
        <v>1</v>
      </c>
      <c r="O267" s="40">
        <f t="shared" si="47"/>
        <v>1</v>
      </c>
      <c r="P267" s="40">
        <f t="shared" si="48"/>
        <v>1</v>
      </c>
      <c r="Q267" s="40">
        <f t="shared" si="49"/>
        <v>1</v>
      </c>
      <c r="S267" s="206"/>
    </row>
    <row r="268" spans="4:19" hidden="1" outlineLevel="1" x14ac:dyDescent="0.2">
      <c r="D268" s="206"/>
      <c r="E268" s="329"/>
      <c r="F268" s="329"/>
      <c r="G268" s="329"/>
      <c r="H268" s="329"/>
      <c r="I268" s="329"/>
      <c r="J268" s="329"/>
      <c r="L268" s="40">
        <f>IF(E268="",1,E268)</f>
        <v>1</v>
      </c>
      <c r="M268" s="40">
        <f t="shared" si="45"/>
        <v>1</v>
      </c>
      <c r="N268" s="40">
        <f t="shared" si="46"/>
        <v>1</v>
      </c>
      <c r="O268" s="40">
        <f t="shared" si="47"/>
        <v>1</v>
      </c>
      <c r="P268" s="40">
        <f t="shared" si="48"/>
        <v>1</v>
      </c>
      <c r="Q268" s="40">
        <f t="shared" si="49"/>
        <v>1</v>
      </c>
      <c r="S268" s="206"/>
    </row>
    <row r="269" spans="4:19" hidden="1" outlineLevel="1" x14ac:dyDescent="0.2">
      <c r="D269" s="20" t="s">
        <v>204</v>
      </c>
      <c r="E269" s="331">
        <f t="shared" ref="E269:J269" si="50">L259*L260*L261*L262*L268*L263*L264*L265*L266*L267</f>
        <v>1</v>
      </c>
      <c r="F269" s="331">
        <f t="shared" si="50"/>
        <v>1</v>
      </c>
      <c r="G269" s="331">
        <f t="shared" si="50"/>
        <v>1</v>
      </c>
      <c r="H269" s="331">
        <f t="shared" si="50"/>
        <v>1</v>
      </c>
      <c r="I269" s="331">
        <f t="shared" si="50"/>
        <v>1</v>
      </c>
      <c r="J269" s="331">
        <f t="shared" si="50"/>
        <v>1</v>
      </c>
    </row>
    <row r="270" spans="4:19" hidden="1" outlineLevel="1" x14ac:dyDescent="0.2">
      <c r="D270" s="4" t="s">
        <v>87</v>
      </c>
      <c r="E270" s="247">
        <f t="shared" ref="E270:J270" ca="1" si="51">IF(ISNUMBER(E256),E256*E269,"")</f>
        <v>0</v>
      </c>
      <c r="F270" s="247">
        <f t="shared" ca="1" si="51"/>
        <v>0</v>
      </c>
      <c r="G270" s="247">
        <f t="shared" ca="1" si="51"/>
        <v>0</v>
      </c>
      <c r="H270" s="247">
        <f t="shared" ca="1" si="51"/>
        <v>0</v>
      </c>
      <c r="I270" s="247">
        <f t="shared" ca="1" si="51"/>
        <v>0</v>
      </c>
      <c r="J270" s="247">
        <f t="shared" ca="1" si="51"/>
        <v>0</v>
      </c>
    </row>
    <row r="271" spans="4:19" hidden="1" outlineLevel="1" x14ac:dyDescent="0.2"/>
    <row r="272" spans="4:19" hidden="1" outlineLevel="1" x14ac:dyDescent="0.2">
      <c r="D272" s="54" t="str">
        <f>TxPhase1Tx</f>
        <v/>
      </c>
      <c r="E272" s="357"/>
      <c r="S272" s="31" t="s">
        <v>249</v>
      </c>
    </row>
    <row r="273" spans="1:19" hidden="1" outlineLevel="1" x14ac:dyDescent="0.2">
      <c r="D273" s="54" t="s">
        <v>88</v>
      </c>
      <c r="E273" s="48"/>
      <c r="F273" s="48"/>
      <c r="G273" s="48"/>
      <c r="H273" s="48"/>
      <c r="I273" s="48"/>
      <c r="J273" s="48"/>
      <c r="S273" s="41"/>
    </row>
    <row r="274" spans="1:19" hidden="1" outlineLevel="1" x14ac:dyDescent="0.2"/>
    <row r="275" spans="1:19" hidden="1" outlineLevel="1" x14ac:dyDescent="0.2">
      <c r="D275" s="82" t="str">
        <f>TXPhase2Tx</f>
        <v/>
      </c>
      <c r="E275" s="357"/>
      <c r="S275" s="31" t="s">
        <v>249</v>
      </c>
    </row>
    <row r="276" spans="1:19" hidden="1" outlineLevel="1" x14ac:dyDescent="0.2">
      <c r="D276" s="82" t="str">
        <f>IF(D275&lt;&gt;"","Patients electing treatment (%)","")</f>
        <v/>
      </c>
      <c r="E276" s="48"/>
      <c r="F276" s="48"/>
      <c r="G276" s="48"/>
      <c r="H276" s="48"/>
      <c r="I276" s="48"/>
      <c r="J276" s="48"/>
      <c r="S276" s="41"/>
    </row>
    <row r="277" spans="1:19" hidden="1" outlineLevel="1" x14ac:dyDescent="0.2"/>
    <row r="278" spans="1:19" hidden="1" outlineLevel="1" x14ac:dyDescent="0.2">
      <c r="C278" s="246">
        <f>IFERROR(VLOOKUP(E278,TxPhase2SourceCode,2,FALSE),0)</f>
        <v>1</v>
      </c>
      <c r="D278" s="54" t="s">
        <v>1152</v>
      </c>
      <c r="E278" s="227" t="s">
        <v>1153</v>
      </c>
    </row>
    <row r="279" spans="1:19" hidden="1" outlineLevel="1" x14ac:dyDescent="0.2"/>
    <row r="280" spans="1:19" hidden="1" outlineLevel="1" x14ac:dyDescent="0.2">
      <c r="D280" s="54" t="str">
        <f>IF(TxPhase1&lt;&gt;"",TxPhase1 &amp; " patients (#)","")</f>
        <v/>
      </c>
      <c r="E280" s="247">
        <f t="shared" ref="E280:J280" si="52">IF(TxPhase1&lt;&gt;"",E270*E273,0)</f>
        <v>0</v>
      </c>
      <c r="F280" s="247">
        <f t="shared" si="52"/>
        <v>0</v>
      </c>
      <c r="G280" s="247">
        <f t="shared" si="52"/>
        <v>0</v>
      </c>
      <c r="H280" s="247">
        <f t="shared" si="52"/>
        <v>0</v>
      </c>
      <c r="I280" s="247">
        <f t="shared" si="52"/>
        <v>0</v>
      </c>
      <c r="J280" s="247">
        <f t="shared" si="52"/>
        <v>0</v>
      </c>
    </row>
    <row r="281" spans="1:19" hidden="1" outlineLevel="1" x14ac:dyDescent="0.2">
      <c r="D281" s="54" t="str">
        <f>IF(TxPhase2&lt;&gt;"",TxPhase2 &amp; " patients (#)","")</f>
        <v/>
      </c>
      <c r="E281" s="247">
        <f t="shared" ref="E281:J281" si="53">IF(TxPhase2&lt;&gt;"",IF($C278=1,E280,IF($C278=2,E270,0))*E276,0)</f>
        <v>0</v>
      </c>
      <c r="F281" s="247">
        <f t="shared" si="53"/>
        <v>0</v>
      </c>
      <c r="G281" s="247">
        <f t="shared" si="53"/>
        <v>0</v>
      </c>
      <c r="H281" s="247">
        <f t="shared" si="53"/>
        <v>0</v>
      </c>
      <c r="I281" s="247">
        <f t="shared" si="53"/>
        <v>0</v>
      </c>
      <c r="J281" s="247">
        <f t="shared" si="53"/>
        <v>0</v>
      </c>
    </row>
    <row r="282" spans="1:19" hidden="1" outlineLevel="1" x14ac:dyDescent="0.2">
      <c r="D282" s="1"/>
      <c r="E282" s="1"/>
    </row>
    <row r="283" spans="1:19" hidden="1" outlineLevel="1" x14ac:dyDescent="0.2">
      <c r="C283" s="246" t="str">
        <f>IF(E283&lt;&gt;"",E283,"")</f>
        <v/>
      </c>
      <c r="D283" s="81" t="s">
        <v>743</v>
      </c>
      <c r="E283" s="227"/>
    </row>
    <row r="284" spans="1:19" hidden="1" outlineLevel="1" x14ac:dyDescent="0.2"/>
    <row r="285" spans="1:19" collapsed="1" x14ac:dyDescent="0.2"/>
    <row r="286" spans="1:19" ht="15.75" x14ac:dyDescent="0.2">
      <c r="C286" s="396">
        <v>8</v>
      </c>
      <c r="D286" s="72" t="str">
        <f>IF(E290&lt;&gt;"",CONCATENATE("Incident ",C286,": ",G290,L286),MsgNotUsed)</f>
        <v>** NOT USED **</v>
      </c>
      <c r="E286" s="116"/>
      <c r="F286" s="116"/>
      <c r="G286" s="116"/>
      <c r="H286" s="116"/>
      <c r="I286" s="118"/>
      <c r="J286" s="118"/>
      <c r="K286" s="266"/>
      <c r="L286" s="266" t="str">
        <f>IF(S290&lt;&gt;"",CONCATENATE(" (",S290,")"),"")</f>
        <v/>
      </c>
      <c r="M286" s="266"/>
      <c r="N286" s="266"/>
      <c r="O286" s="266"/>
      <c r="P286" s="266"/>
      <c r="Q286" s="266"/>
      <c r="R286" s="117"/>
      <c r="S286" s="117"/>
    </row>
    <row r="287" spans="1:19" hidden="1" outlineLevel="1" x14ac:dyDescent="0.2">
      <c r="A287" s="114"/>
      <c r="B287" s="114"/>
      <c r="C287" s="114"/>
      <c r="D287" s="260"/>
      <c r="E287" s="114"/>
      <c r="F287" s="114"/>
      <c r="G287" s="114"/>
      <c r="H287" s="114"/>
      <c r="I287" s="114"/>
      <c r="J287" s="114"/>
      <c r="K287" s="114"/>
      <c r="L287" s="114"/>
      <c r="M287" s="114"/>
      <c r="N287" s="114"/>
      <c r="O287" s="114"/>
      <c r="P287" s="114"/>
      <c r="Q287" s="114"/>
      <c r="R287" s="114"/>
      <c r="S287" s="114"/>
    </row>
    <row r="288" spans="1:19" hidden="1" outlineLevel="1" x14ac:dyDescent="0.2">
      <c r="A288" s="114"/>
      <c r="B288" s="114"/>
      <c r="C288" s="114"/>
      <c r="D288" t="s">
        <v>826</v>
      </c>
      <c r="E288" s="114"/>
      <c r="F288" s="114"/>
      <c r="G288" s="114"/>
      <c r="R288" s="114"/>
    </row>
    <row r="289" spans="1:19" hidden="1" outlineLevel="1" x14ac:dyDescent="0.2">
      <c r="A289" s="114"/>
      <c r="B289" s="114"/>
      <c r="C289" s="114"/>
      <c r="D289" s="260"/>
      <c r="E289" s="114"/>
      <c r="F289" s="114"/>
      <c r="G289" s="114"/>
      <c r="H289" s="114"/>
      <c r="I289" s="114"/>
      <c r="J289" s="114"/>
      <c r="R289" s="114"/>
      <c r="S289" s="31" t="s">
        <v>414</v>
      </c>
    </row>
    <row r="290" spans="1:19" hidden="1" outlineLevel="1" x14ac:dyDescent="0.2">
      <c r="A290" s="114"/>
      <c r="B290" s="246">
        <f>IF(E290&lt;&gt;"",MATCH(E290,EPISource,0)-1,0)</f>
        <v>0</v>
      </c>
      <c r="C290" s="246">
        <f ca="1">IF(G290&lt;&gt;"",MATCH(G290,OFFSET(References!$AE$7,0,B290,PxPopMaxCount),0),0)</f>
        <v>0</v>
      </c>
      <c r="D290" s="8" t="s">
        <v>110</v>
      </c>
      <c r="E290" s="230"/>
      <c r="F290" s="119"/>
      <c r="G290" s="580"/>
      <c r="H290" s="581"/>
      <c r="I290" s="581"/>
      <c r="J290" s="581"/>
      <c r="R290" s="114"/>
      <c r="S290" s="234"/>
    </row>
    <row r="291" spans="1:19" hidden="1" outlineLevel="1" x14ac:dyDescent="0.2">
      <c r="A291" s="114"/>
      <c r="B291" s="246">
        <f>INDEX(PxPopValid,,B290+1)</f>
        <v>0</v>
      </c>
      <c r="C291" s="246">
        <f ca="1">(B290*PxPopMaxCount)+C290</f>
        <v>0</v>
      </c>
      <c r="D291" s="260"/>
      <c r="E291" s="319">
        <v>1</v>
      </c>
      <c r="F291" s="319">
        <v>2</v>
      </c>
      <c r="G291" s="319">
        <v>3</v>
      </c>
      <c r="H291" s="319">
        <v>4</v>
      </c>
      <c r="I291" s="319">
        <v>5</v>
      </c>
      <c r="J291" s="319">
        <v>6</v>
      </c>
      <c r="R291" s="114"/>
    </row>
    <row r="292" spans="1:19" ht="15" hidden="1" customHeight="1" outlineLevel="1" x14ac:dyDescent="0.2">
      <c r="A292" s="114"/>
      <c r="B292" s="114"/>
      <c r="C292" s="114"/>
      <c r="D292" s="260"/>
      <c r="E292" s="582" t="s">
        <v>10</v>
      </c>
      <c r="F292" s="582"/>
      <c r="G292" s="582"/>
      <c r="H292" s="582"/>
      <c r="I292" s="582"/>
      <c r="J292" s="582"/>
      <c r="R292" s="114"/>
      <c r="S292" s="444" t="str">
        <f ca="1">IF(ISERROR($C291)=TRUE,MsgError &amp; VLOOKUP("BadPop",ErrorMessages,2,FALSE),IF(RIGHT(G290,12)="(Prevalence)",MsgError &amp; VLOOKUP("BadPrevPop",ErrorMessages,2,FALSE),""))</f>
        <v/>
      </c>
    </row>
    <row r="293" spans="1:19" hidden="1" outlineLevel="1" x14ac:dyDescent="0.2">
      <c r="A293" s="114"/>
      <c r="B293" s="114"/>
      <c r="C293" s="114"/>
      <c r="D293" s="260"/>
      <c r="E293" s="74">
        <f>FirstYear</f>
        <v>2026</v>
      </c>
      <c r="F293" s="74">
        <f>E293+1</f>
        <v>2027</v>
      </c>
      <c r="G293" s="74">
        <f>F293+1</f>
        <v>2028</v>
      </c>
      <c r="H293" s="74">
        <f>G293+1</f>
        <v>2029</v>
      </c>
      <c r="I293" s="74">
        <f>H293+1</f>
        <v>2030</v>
      </c>
      <c r="J293" s="74">
        <f>I293+1</f>
        <v>2031</v>
      </c>
      <c r="R293" s="114"/>
    </row>
    <row r="294" spans="1:19" ht="12.75" hidden="1" customHeight="1" outlineLevel="1" x14ac:dyDescent="0.2">
      <c r="D294" s="499" t="s">
        <v>332</v>
      </c>
      <c r="E294" s="120">
        <f t="shared" ref="E294:J294" ca="1" si="54">IF(AND(ISERROR($C291)&lt;&gt;TRUE,$G290&lt;&gt;""),INDEX(PxPopNumbers,$C291,E291),0)</f>
        <v>0</v>
      </c>
      <c r="F294" s="120">
        <f t="shared" ca="1" si="54"/>
        <v>0</v>
      </c>
      <c r="G294" s="120">
        <f t="shared" ca="1" si="54"/>
        <v>0</v>
      </c>
      <c r="H294" s="120">
        <f t="shared" ca="1" si="54"/>
        <v>0</v>
      </c>
      <c r="I294" s="120">
        <f t="shared" ca="1" si="54"/>
        <v>0</v>
      </c>
      <c r="J294" s="120">
        <f t="shared" ca="1" si="54"/>
        <v>0</v>
      </c>
      <c r="R294" s="260"/>
    </row>
    <row r="295" spans="1:19" ht="12.75" hidden="1" customHeight="1" outlineLevel="1" x14ac:dyDescent="0.2"/>
    <row r="296" spans="1:19" ht="12.75" hidden="1" customHeight="1" outlineLevel="1" x14ac:dyDescent="0.2">
      <c r="D296" s="498" t="s">
        <v>196</v>
      </c>
      <c r="S296" s="31" t="s">
        <v>249</v>
      </c>
    </row>
    <row r="297" spans="1:19" hidden="1" outlineLevel="1" x14ac:dyDescent="0.2">
      <c r="D297" s="206"/>
      <c r="E297" s="329"/>
      <c r="F297" s="329"/>
      <c r="G297" s="329"/>
      <c r="H297" s="329"/>
      <c r="I297" s="329"/>
      <c r="J297" s="329"/>
      <c r="L297" s="40">
        <f t="shared" ref="L297:L305" si="55">IF(E297="",1,E297)</f>
        <v>1</v>
      </c>
      <c r="M297" s="40">
        <f t="shared" ref="M297:M306" si="56">IF(F297="",1,F297)</f>
        <v>1</v>
      </c>
      <c r="N297" s="40">
        <f t="shared" ref="N297:N306" si="57">IF(G297="",1,G297)</f>
        <v>1</v>
      </c>
      <c r="O297" s="40">
        <f t="shared" ref="O297:O306" si="58">IF(H297="",1,H297)</f>
        <v>1</v>
      </c>
      <c r="P297" s="40">
        <f t="shared" ref="P297:P306" si="59">IF(I297="",1,I297)</f>
        <v>1</v>
      </c>
      <c r="Q297" s="40">
        <f t="shared" ref="Q297:Q306" si="60">IF(J297="",1,J297)</f>
        <v>1</v>
      </c>
      <c r="S297" s="206"/>
    </row>
    <row r="298" spans="1:19" hidden="1" outlineLevel="1" x14ac:dyDescent="0.2">
      <c r="D298" s="206"/>
      <c r="E298" s="329"/>
      <c r="F298" s="329"/>
      <c r="G298" s="329"/>
      <c r="H298" s="329"/>
      <c r="I298" s="329"/>
      <c r="J298" s="329"/>
      <c r="L298" s="40">
        <f t="shared" si="55"/>
        <v>1</v>
      </c>
      <c r="M298" s="40">
        <f t="shared" si="56"/>
        <v>1</v>
      </c>
      <c r="N298" s="40">
        <f t="shared" si="57"/>
        <v>1</v>
      </c>
      <c r="O298" s="40">
        <f t="shared" si="58"/>
        <v>1</v>
      </c>
      <c r="P298" s="40">
        <f t="shared" si="59"/>
        <v>1</v>
      </c>
      <c r="Q298" s="40">
        <f t="shared" si="60"/>
        <v>1</v>
      </c>
      <c r="S298" s="206"/>
    </row>
    <row r="299" spans="1:19" hidden="1" outlineLevel="1" x14ac:dyDescent="0.2">
      <c r="D299" s="206"/>
      <c r="E299" s="329"/>
      <c r="F299" s="329"/>
      <c r="G299" s="329"/>
      <c r="H299" s="329"/>
      <c r="I299" s="329"/>
      <c r="J299" s="329"/>
      <c r="L299" s="40">
        <f t="shared" si="55"/>
        <v>1</v>
      </c>
      <c r="M299" s="40">
        <f t="shared" si="56"/>
        <v>1</v>
      </c>
      <c r="N299" s="40">
        <f t="shared" si="57"/>
        <v>1</v>
      </c>
      <c r="O299" s="40">
        <f t="shared" si="58"/>
        <v>1</v>
      </c>
      <c r="P299" s="40">
        <f t="shared" si="59"/>
        <v>1</v>
      </c>
      <c r="Q299" s="40">
        <f t="shared" si="60"/>
        <v>1</v>
      </c>
      <c r="S299" s="206"/>
    </row>
    <row r="300" spans="1:19" hidden="1" outlineLevel="1" x14ac:dyDescent="0.2">
      <c r="D300" s="206"/>
      <c r="E300" s="329"/>
      <c r="F300" s="329"/>
      <c r="G300" s="329"/>
      <c r="H300" s="329"/>
      <c r="I300" s="329"/>
      <c r="J300" s="329"/>
      <c r="L300" s="40">
        <f t="shared" si="55"/>
        <v>1</v>
      </c>
      <c r="M300" s="40">
        <f t="shared" si="56"/>
        <v>1</v>
      </c>
      <c r="N300" s="40">
        <f t="shared" si="57"/>
        <v>1</v>
      </c>
      <c r="O300" s="40">
        <f t="shared" si="58"/>
        <v>1</v>
      </c>
      <c r="P300" s="40">
        <f t="shared" si="59"/>
        <v>1</v>
      </c>
      <c r="Q300" s="40">
        <f t="shared" si="60"/>
        <v>1</v>
      </c>
      <c r="S300" s="206"/>
    </row>
    <row r="301" spans="1:19" hidden="1" outlineLevel="1" x14ac:dyDescent="0.2">
      <c r="D301" s="206"/>
      <c r="E301" s="329"/>
      <c r="F301" s="329"/>
      <c r="G301" s="329"/>
      <c r="H301" s="329"/>
      <c r="I301" s="329"/>
      <c r="J301" s="329"/>
      <c r="L301" s="40">
        <f t="shared" si="55"/>
        <v>1</v>
      </c>
      <c r="M301" s="40">
        <f t="shared" si="56"/>
        <v>1</v>
      </c>
      <c r="N301" s="40">
        <f t="shared" si="57"/>
        <v>1</v>
      </c>
      <c r="O301" s="40">
        <f t="shared" si="58"/>
        <v>1</v>
      </c>
      <c r="P301" s="40">
        <f t="shared" si="59"/>
        <v>1</v>
      </c>
      <c r="Q301" s="40">
        <f t="shared" si="60"/>
        <v>1</v>
      </c>
      <c r="S301" s="206"/>
    </row>
    <row r="302" spans="1:19" hidden="1" outlineLevel="1" x14ac:dyDescent="0.2">
      <c r="D302" s="206"/>
      <c r="E302" s="329"/>
      <c r="F302" s="329"/>
      <c r="G302" s="329"/>
      <c r="H302" s="329"/>
      <c r="I302" s="329"/>
      <c r="J302" s="329"/>
      <c r="L302" s="40">
        <f t="shared" si="55"/>
        <v>1</v>
      </c>
      <c r="M302" s="40">
        <f t="shared" si="56"/>
        <v>1</v>
      </c>
      <c r="N302" s="40">
        <f t="shared" si="57"/>
        <v>1</v>
      </c>
      <c r="O302" s="40">
        <f t="shared" si="58"/>
        <v>1</v>
      </c>
      <c r="P302" s="40">
        <f t="shared" si="59"/>
        <v>1</v>
      </c>
      <c r="Q302" s="40">
        <f t="shared" si="60"/>
        <v>1</v>
      </c>
      <c r="S302" s="206"/>
    </row>
    <row r="303" spans="1:19" hidden="1" outlineLevel="1" x14ac:dyDescent="0.2">
      <c r="D303" s="206"/>
      <c r="E303" s="329"/>
      <c r="F303" s="329"/>
      <c r="G303" s="329"/>
      <c r="H303" s="329"/>
      <c r="I303" s="329"/>
      <c r="J303" s="329"/>
      <c r="L303" s="40">
        <f t="shared" si="55"/>
        <v>1</v>
      </c>
      <c r="M303" s="40">
        <f t="shared" si="56"/>
        <v>1</v>
      </c>
      <c r="N303" s="40">
        <f t="shared" si="57"/>
        <v>1</v>
      </c>
      <c r="O303" s="40">
        <f t="shared" si="58"/>
        <v>1</v>
      </c>
      <c r="P303" s="40">
        <f t="shared" si="59"/>
        <v>1</v>
      </c>
      <c r="Q303" s="40">
        <f t="shared" si="60"/>
        <v>1</v>
      </c>
      <c r="S303" s="206"/>
    </row>
    <row r="304" spans="1:19" hidden="1" outlineLevel="1" x14ac:dyDescent="0.2">
      <c r="D304" s="206"/>
      <c r="E304" s="329"/>
      <c r="F304" s="329"/>
      <c r="G304" s="329"/>
      <c r="H304" s="329"/>
      <c r="I304" s="329"/>
      <c r="J304" s="329"/>
      <c r="L304" s="40">
        <f t="shared" si="55"/>
        <v>1</v>
      </c>
      <c r="M304" s="40">
        <f t="shared" si="56"/>
        <v>1</v>
      </c>
      <c r="N304" s="40">
        <f t="shared" si="57"/>
        <v>1</v>
      </c>
      <c r="O304" s="40">
        <f t="shared" si="58"/>
        <v>1</v>
      </c>
      <c r="P304" s="40">
        <f t="shared" si="59"/>
        <v>1</v>
      </c>
      <c r="Q304" s="40">
        <f t="shared" si="60"/>
        <v>1</v>
      </c>
      <c r="S304" s="206"/>
    </row>
    <row r="305" spans="3:19" hidden="1" outlineLevel="1" x14ac:dyDescent="0.2">
      <c r="D305" s="206"/>
      <c r="E305" s="329"/>
      <c r="F305" s="329"/>
      <c r="G305" s="329"/>
      <c r="H305" s="329"/>
      <c r="I305" s="329"/>
      <c r="J305" s="329"/>
      <c r="L305" s="40">
        <f t="shared" si="55"/>
        <v>1</v>
      </c>
      <c r="M305" s="40">
        <f t="shared" si="56"/>
        <v>1</v>
      </c>
      <c r="N305" s="40">
        <f t="shared" si="57"/>
        <v>1</v>
      </c>
      <c r="O305" s="40">
        <f t="shared" si="58"/>
        <v>1</v>
      </c>
      <c r="P305" s="40">
        <f t="shared" si="59"/>
        <v>1</v>
      </c>
      <c r="Q305" s="40">
        <f t="shared" si="60"/>
        <v>1</v>
      </c>
      <c r="S305" s="206"/>
    </row>
    <row r="306" spans="3:19" hidden="1" outlineLevel="1" x14ac:dyDescent="0.2">
      <c r="D306" s="206"/>
      <c r="E306" s="329"/>
      <c r="F306" s="329"/>
      <c r="G306" s="329"/>
      <c r="H306" s="329"/>
      <c r="I306" s="329"/>
      <c r="J306" s="329"/>
      <c r="L306" s="40">
        <f>IF(E306="",1,E306)</f>
        <v>1</v>
      </c>
      <c r="M306" s="40">
        <f t="shared" si="56"/>
        <v>1</v>
      </c>
      <c r="N306" s="40">
        <f t="shared" si="57"/>
        <v>1</v>
      </c>
      <c r="O306" s="40">
        <f t="shared" si="58"/>
        <v>1</v>
      </c>
      <c r="P306" s="40">
        <f t="shared" si="59"/>
        <v>1</v>
      </c>
      <c r="Q306" s="40">
        <f t="shared" si="60"/>
        <v>1</v>
      </c>
      <c r="S306" s="206"/>
    </row>
    <row r="307" spans="3:19" hidden="1" outlineLevel="1" x14ac:dyDescent="0.2">
      <c r="D307" s="20" t="s">
        <v>204</v>
      </c>
      <c r="E307" s="331">
        <f t="shared" ref="E307:J307" si="61">L297*L298*L299*L300*L306*L301*L302*L303*L304*L305</f>
        <v>1</v>
      </c>
      <c r="F307" s="331">
        <f t="shared" si="61"/>
        <v>1</v>
      </c>
      <c r="G307" s="331">
        <f t="shared" si="61"/>
        <v>1</v>
      </c>
      <c r="H307" s="331">
        <f t="shared" si="61"/>
        <v>1</v>
      </c>
      <c r="I307" s="331">
        <f t="shared" si="61"/>
        <v>1</v>
      </c>
      <c r="J307" s="331">
        <f t="shared" si="61"/>
        <v>1</v>
      </c>
    </row>
    <row r="308" spans="3:19" hidden="1" outlineLevel="1" x14ac:dyDescent="0.2">
      <c r="D308" s="4" t="s">
        <v>87</v>
      </c>
      <c r="E308" s="247">
        <f t="shared" ref="E308:J308" ca="1" si="62">IF(ISNUMBER(E294),E294*E307,"")</f>
        <v>0</v>
      </c>
      <c r="F308" s="247">
        <f t="shared" ca="1" si="62"/>
        <v>0</v>
      </c>
      <c r="G308" s="247">
        <f t="shared" ca="1" si="62"/>
        <v>0</v>
      </c>
      <c r="H308" s="247">
        <f t="shared" ca="1" si="62"/>
        <v>0</v>
      </c>
      <c r="I308" s="247">
        <f t="shared" ca="1" si="62"/>
        <v>0</v>
      </c>
      <c r="J308" s="247">
        <f t="shared" ca="1" si="62"/>
        <v>0</v>
      </c>
    </row>
    <row r="309" spans="3:19" hidden="1" outlineLevel="1" x14ac:dyDescent="0.2"/>
    <row r="310" spans="3:19" hidden="1" outlineLevel="1" x14ac:dyDescent="0.2">
      <c r="D310" s="54" t="str">
        <f>TxPhase1Tx</f>
        <v/>
      </c>
      <c r="E310" s="357"/>
      <c r="S310" s="31" t="s">
        <v>249</v>
      </c>
    </row>
    <row r="311" spans="3:19" hidden="1" outlineLevel="1" x14ac:dyDescent="0.2">
      <c r="D311" s="54" t="s">
        <v>88</v>
      </c>
      <c r="E311" s="48"/>
      <c r="F311" s="48"/>
      <c r="G311" s="48"/>
      <c r="H311" s="48"/>
      <c r="I311" s="48"/>
      <c r="J311" s="48"/>
      <c r="S311" s="41"/>
    </row>
    <row r="312" spans="3:19" hidden="1" outlineLevel="1" x14ac:dyDescent="0.2"/>
    <row r="313" spans="3:19" hidden="1" outlineLevel="1" x14ac:dyDescent="0.2">
      <c r="D313" s="82" t="str">
        <f>TXPhase2Tx</f>
        <v/>
      </c>
      <c r="E313" s="357"/>
      <c r="S313" s="31" t="s">
        <v>249</v>
      </c>
    </row>
    <row r="314" spans="3:19" hidden="1" outlineLevel="1" x14ac:dyDescent="0.2">
      <c r="D314" s="82" t="str">
        <f>IF(D313&lt;&gt;"","Patients electing treatment (%)","")</f>
        <v/>
      </c>
      <c r="E314" s="48"/>
      <c r="F314" s="48"/>
      <c r="G314" s="48"/>
      <c r="H314" s="48"/>
      <c r="I314" s="48"/>
      <c r="J314" s="48"/>
      <c r="S314" s="41"/>
    </row>
    <row r="315" spans="3:19" hidden="1" outlineLevel="1" x14ac:dyDescent="0.2"/>
    <row r="316" spans="3:19" hidden="1" outlineLevel="1" x14ac:dyDescent="0.2">
      <c r="C316" s="246">
        <f>IFERROR(VLOOKUP(E316,TxPhase2SourceCode,2,FALSE),0)</f>
        <v>1</v>
      </c>
      <c r="D316" s="54" t="s">
        <v>1152</v>
      </c>
      <c r="E316" s="227" t="s">
        <v>1153</v>
      </c>
    </row>
    <row r="317" spans="3:19" hidden="1" outlineLevel="1" x14ac:dyDescent="0.2"/>
    <row r="318" spans="3:19" hidden="1" outlineLevel="1" x14ac:dyDescent="0.2">
      <c r="D318" s="54" t="str">
        <f>TxPhase1Px</f>
        <v/>
      </c>
      <c r="E318" s="247">
        <f t="shared" ref="E318:J318" si="63">IF(TxPhase1&lt;&gt;"",E308*E311,0)</f>
        <v>0</v>
      </c>
      <c r="F318" s="247">
        <f t="shared" si="63"/>
        <v>0</v>
      </c>
      <c r="G318" s="247">
        <f t="shared" si="63"/>
        <v>0</v>
      </c>
      <c r="H318" s="247">
        <f t="shared" si="63"/>
        <v>0</v>
      </c>
      <c r="I318" s="247">
        <f t="shared" si="63"/>
        <v>0</v>
      </c>
      <c r="J318" s="247">
        <f t="shared" si="63"/>
        <v>0</v>
      </c>
    </row>
    <row r="319" spans="3:19" hidden="1" outlineLevel="1" x14ac:dyDescent="0.2">
      <c r="D319" s="54" t="str">
        <f>TxPhase2Px</f>
        <v/>
      </c>
      <c r="E319" s="247">
        <f t="shared" ref="E319:J319" si="64">IF(TxPhase2&lt;&gt;"",IF($C316=1,E318,IF($C316=2,E308,0))*E314,0)</f>
        <v>0</v>
      </c>
      <c r="F319" s="247">
        <f t="shared" si="64"/>
        <v>0</v>
      </c>
      <c r="G319" s="247">
        <f t="shared" si="64"/>
        <v>0</v>
      </c>
      <c r="H319" s="247">
        <f t="shared" si="64"/>
        <v>0</v>
      </c>
      <c r="I319" s="247">
        <f t="shared" si="64"/>
        <v>0</v>
      </c>
      <c r="J319" s="247">
        <f t="shared" si="64"/>
        <v>0</v>
      </c>
    </row>
    <row r="320" spans="3:19" hidden="1" outlineLevel="1" x14ac:dyDescent="0.2">
      <c r="D320" s="1"/>
      <c r="E320" s="1"/>
    </row>
    <row r="321" spans="1:19" hidden="1" outlineLevel="1" x14ac:dyDescent="0.2">
      <c r="C321" s="246" t="str">
        <f>IF(E321&lt;&gt;"",E321,"")</f>
        <v/>
      </c>
      <c r="D321" s="81" t="s">
        <v>743</v>
      </c>
      <c r="E321" s="227"/>
    </row>
    <row r="322" spans="1:19" hidden="1" outlineLevel="1" x14ac:dyDescent="0.2"/>
    <row r="323" spans="1:19" collapsed="1" x14ac:dyDescent="0.2"/>
    <row r="324" spans="1:19" ht="15.75" x14ac:dyDescent="0.2">
      <c r="C324" s="396">
        <v>9</v>
      </c>
      <c r="D324" s="72" t="str">
        <f>IF(E328&lt;&gt;"",CONCATENATE("Incident ",C324,": ",G328,L324),MsgNotUsed)</f>
        <v>** NOT USED **</v>
      </c>
      <c r="E324" s="116"/>
      <c r="F324" s="116"/>
      <c r="G324" s="116"/>
      <c r="H324" s="116"/>
      <c r="I324" s="118"/>
      <c r="J324" s="118"/>
      <c r="K324" s="266"/>
      <c r="L324" s="266" t="str">
        <f>IF(S328&lt;&gt;"",CONCATENATE(" (",S328,")"),"")</f>
        <v/>
      </c>
      <c r="M324" s="266"/>
      <c r="N324" s="266"/>
      <c r="O324" s="266"/>
      <c r="P324" s="266"/>
      <c r="Q324" s="266"/>
      <c r="R324" s="117"/>
      <c r="S324" s="117"/>
    </row>
    <row r="325" spans="1:19" hidden="1" outlineLevel="1" x14ac:dyDescent="0.2">
      <c r="A325" s="114"/>
      <c r="B325" s="114"/>
      <c r="C325" s="114"/>
      <c r="D325" s="260"/>
      <c r="E325" s="114"/>
      <c r="F325" s="114"/>
      <c r="G325" s="114"/>
      <c r="H325" s="114"/>
      <c r="I325" s="114"/>
      <c r="J325" s="114"/>
      <c r="K325" s="114"/>
      <c r="L325" s="114"/>
      <c r="M325" s="114"/>
      <c r="N325" s="114"/>
      <c r="O325" s="114"/>
      <c r="P325" s="114"/>
      <c r="Q325" s="114"/>
      <c r="R325" s="114"/>
      <c r="S325" s="114"/>
    </row>
    <row r="326" spans="1:19" hidden="1" outlineLevel="1" x14ac:dyDescent="0.2">
      <c r="A326" s="114"/>
      <c r="B326" s="114"/>
      <c r="C326" s="114"/>
      <c r="D326" t="s">
        <v>826</v>
      </c>
      <c r="E326" s="114"/>
      <c r="F326" s="114"/>
      <c r="G326" s="114"/>
      <c r="R326" s="114"/>
    </row>
    <row r="327" spans="1:19" hidden="1" outlineLevel="1" x14ac:dyDescent="0.2">
      <c r="A327" s="114"/>
      <c r="B327" s="114"/>
      <c r="C327" s="114"/>
      <c r="D327" s="260"/>
      <c r="E327" s="114"/>
      <c r="F327" s="114"/>
      <c r="G327" s="114"/>
      <c r="H327" s="114"/>
      <c r="I327" s="114"/>
      <c r="J327" s="114"/>
      <c r="R327" s="114"/>
      <c r="S327" s="31" t="s">
        <v>414</v>
      </c>
    </row>
    <row r="328" spans="1:19" hidden="1" outlineLevel="1" x14ac:dyDescent="0.2">
      <c r="A328" s="114"/>
      <c r="B328" s="246">
        <f>IF(E328&lt;&gt;"",MATCH(E328,EPISource,0)-1,0)</f>
        <v>0</v>
      </c>
      <c r="C328" s="246">
        <f ca="1">IF(G328&lt;&gt;"",MATCH(G328,OFFSET(References!$AE$7,0,B328,PxPopMaxCount),0),0)</f>
        <v>0</v>
      </c>
      <c r="D328" s="8" t="s">
        <v>110</v>
      </c>
      <c r="E328" s="230"/>
      <c r="F328" s="119"/>
      <c r="G328" s="580"/>
      <c r="H328" s="581"/>
      <c r="I328" s="581"/>
      <c r="J328" s="581"/>
      <c r="R328" s="114"/>
      <c r="S328" s="234"/>
    </row>
    <row r="329" spans="1:19" hidden="1" outlineLevel="1" x14ac:dyDescent="0.2">
      <c r="A329" s="114"/>
      <c r="B329" s="246">
        <f>INDEX(PxPopValid,,B328+1)</f>
        <v>0</v>
      </c>
      <c r="C329" s="246">
        <f ca="1">(B328*PxPopMaxCount)+C328</f>
        <v>0</v>
      </c>
      <c r="D329" s="260"/>
      <c r="E329" s="319">
        <v>1</v>
      </c>
      <c r="F329" s="319">
        <v>2</v>
      </c>
      <c r="G329" s="319">
        <v>3</v>
      </c>
      <c r="H329" s="319">
        <v>4</v>
      </c>
      <c r="I329" s="319">
        <v>5</v>
      </c>
      <c r="J329" s="319">
        <v>6</v>
      </c>
      <c r="R329" s="114"/>
    </row>
    <row r="330" spans="1:19" ht="15" hidden="1" customHeight="1" outlineLevel="1" x14ac:dyDescent="0.2">
      <c r="A330" s="114"/>
      <c r="B330" s="114"/>
      <c r="C330" s="114"/>
      <c r="D330" s="260"/>
      <c r="E330" s="582" t="s">
        <v>10</v>
      </c>
      <c r="F330" s="582"/>
      <c r="G330" s="582"/>
      <c r="H330" s="582"/>
      <c r="I330" s="582"/>
      <c r="J330" s="582"/>
      <c r="R330" s="114"/>
      <c r="S330" s="444" t="str">
        <f ca="1">IF(ISERROR($C329)=TRUE,MsgError &amp; VLOOKUP("BadPop",ErrorMessages,2,FALSE),IF(RIGHT(G328,12)="(Prevalence)",MsgError &amp; VLOOKUP("BadPrevPop",ErrorMessages,2,FALSE),""))</f>
        <v/>
      </c>
    </row>
    <row r="331" spans="1:19" hidden="1" outlineLevel="1" x14ac:dyDescent="0.2">
      <c r="A331" s="114"/>
      <c r="B331" s="114"/>
      <c r="C331" s="114"/>
      <c r="D331" s="260"/>
      <c r="E331" s="74">
        <f>FirstYear</f>
        <v>2026</v>
      </c>
      <c r="F331" s="74">
        <f>E331+1</f>
        <v>2027</v>
      </c>
      <c r="G331" s="74">
        <f>F331+1</f>
        <v>2028</v>
      </c>
      <c r="H331" s="74">
        <f>G331+1</f>
        <v>2029</v>
      </c>
      <c r="I331" s="74">
        <f>H331+1</f>
        <v>2030</v>
      </c>
      <c r="J331" s="74">
        <f>I331+1</f>
        <v>2031</v>
      </c>
      <c r="R331" s="114"/>
    </row>
    <row r="332" spans="1:19" ht="12.75" hidden="1" customHeight="1" outlineLevel="1" x14ac:dyDescent="0.2">
      <c r="D332" s="499" t="s">
        <v>332</v>
      </c>
      <c r="E332" s="120">
        <f t="shared" ref="E332:J332" ca="1" si="65">IF(AND(ISERROR($C329)&lt;&gt;TRUE,$G328&lt;&gt;""),INDEX(PxPopNumbers,$C329,E329),0)</f>
        <v>0</v>
      </c>
      <c r="F332" s="120">
        <f t="shared" ca="1" si="65"/>
        <v>0</v>
      </c>
      <c r="G332" s="120">
        <f t="shared" ca="1" si="65"/>
        <v>0</v>
      </c>
      <c r="H332" s="120">
        <f t="shared" ca="1" si="65"/>
        <v>0</v>
      </c>
      <c r="I332" s="120">
        <f t="shared" ca="1" si="65"/>
        <v>0</v>
      </c>
      <c r="J332" s="120">
        <f t="shared" ca="1" si="65"/>
        <v>0</v>
      </c>
      <c r="R332" s="260"/>
    </row>
    <row r="333" spans="1:19" ht="12.75" hidden="1" customHeight="1" outlineLevel="1" x14ac:dyDescent="0.2"/>
    <row r="334" spans="1:19" ht="12.75" hidden="1" customHeight="1" outlineLevel="1" x14ac:dyDescent="0.2">
      <c r="D334" s="498" t="s">
        <v>196</v>
      </c>
      <c r="S334" s="31" t="s">
        <v>249</v>
      </c>
    </row>
    <row r="335" spans="1:19" hidden="1" outlineLevel="1" x14ac:dyDescent="0.2">
      <c r="D335" s="206"/>
      <c r="E335" s="329"/>
      <c r="F335" s="329"/>
      <c r="G335" s="329"/>
      <c r="H335" s="329"/>
      <c r="I335" s="329"/>
      <c r="J335" s="329"/>
      <c r="L335" s="40">
        <f t="shared" ref="L335:L343" si="66">IF(E335="",1,E335)</f>
        <v>1</v>
      </c>
      <c r="M335" s="40">
        <f t="shared" ref="M335:M344" si="67">IF(F335="",1,F335)</f>
        <v>1</v>
      </c>
      <c r="N335" s="40">
        <f t="shared" ref="N335:N344" si="68">IF(G335="",1,G335)</f>
        <v>1</v>
      </c>
      <c r="O335" s="40">
        <f t="shared" ref="O335:O344" si="69">IF(H335="",1,H335)</f>
        <v>1</v>
      </c>
      <c r="P335" s="40">
        <f t="shared" ref="P335:P344" si="70">IF(I335="",1,I335)</f>
        <v>1</v>
      </c>
      <c r="Q335" s="40">
        <f t="shared" ref="Q335:Q344" si="71">IF(J335="",1,J335)</f>
        <v>1</v>
      </c>
      <c r="S335" s="206"/>
    </row>
    <row r="336" spans="1:19" hidden="1" outlineLevel="1" x14ac:dyDescent="0.2">
      <c r="D336" s="206"/>
      <c r="E336" s="329"/>
      <c r="F336" s="329"/>
      <c r="G336" s="329"/>
      <c r="H336" s="329"/>
      <c r="I336" s="329"/>
      <c r="J336" s="329"/>
      <c r="L336" s="40">
        <f t="shared" si="66"/>
        <v>1</v>
      </c>
      <c r="M336" s="40">
        <f t="shared" si="67"/>
        <v>1</v>
      </c>
      <c r="N336" s="40">
        <f t="shared" si="68"/>
        <v>1</v>
      </c>
      <c r="O336" s="40">
        <f t="shared" si="69"/>
        <v>1</v>
      </c>
      <c r="P336" s="40">
        <f t="shared" si="70"/>
        <v>1</v>
      </c>
      <c r="Q336" s="40">
        <f t="shared" si="71"/>
        <v>1</v>
      </c>
      <c r="S336" s="206"/>
    </row>
    <row r="337" spans="4:19" hidden="1" outlineLevel="1" x14ac:dyDescent="0.2">
      <c r="D337" s="206"/>
      <c r="E337" s="329"/>
      <c r="F337" s="329"/>
      <c r="G337" s="329"/>
      <c r="H337" s="329"/>
      <c r="I337" s="329"/>
      <c r="J337" s="329"/>
      <c r="L337" s="40">
        <f t="shared" si="66"/>
        <v>1</v>
      </c>
      <c r="M337" s="40">
        <f t="shared" si="67"/>
        <v>1</v>
      </c>
      <c r="N337" s="40">
        <f t="shared" si="68"/>
        <v>1</v>
      </c>
      <c r="O337" s="40">
        <f t="shared" si="69"/>
        <v>1</v>
      </c>
      <c r="P337" s="40">
        <f t="shared" si="70"/>
        <v>1</v>
      </c>
      <c r="Q337" s="40">
        <f t="shared" si="71"/>
        <v>1</v>
      </c>
      <c r="S337" s="206"/>
    </row>
    <row r="338" spans="4:19" hidden="1" outlineLevel="1" x14ac:dyDescent="0.2">
      <c r="D338" s="206"/>
      <c r="E338" s="329"/>
      <c r="F338" s="329"/>
      <c r="G338" s="329"/>
      <c r="H338" s="329"/>
      <c r="I338" s="329"/>
      <c r="J338" s="329"/>
      <c r="L338" s="40">
        <f t="shared" si="66"/>
        <v>1</v>
      </c>
      <c r="M338" s="40">
        <f t="shared" si="67"/>
        <v>1</v>
      </c>
      <c r="N338" s="40">
        <f t="shared" si="68"/>
        <v>1</v>
      </c>
      <c r="O338" s="40">
        <f t="shared" si="69"/>
        <v>1</v>
      </c>
      <c r="P338" s="40">
        <f t="shared" si="70"/>
        <v>1</v>
      </c>
      <c r="Q338" s="40">
        <f t="shared" si="71"/>
        <v>1</v>
      </c>
      <c r="S338" s="206"/>
    </row>
    <row r="339" spans="4:19" hidden="1" outlineLevel="1" x14ac:dyDescent="0.2">
      <c r="D339" s="206"/>
      <c r="E339" s="329"/>
      <c r="F339" s="329"/>
      <c r="G339" s="329"/>
      <c r="H339" s="329"/>
      <c r="I339" s="329"/>
      <c r="J339" s="329"/>
      <c r="L339" s="40">
        <f t="shared" si="66"/>
        <v>1</v>
      </c>
      <c r="M339" s="40">
        <f t="shared" si="67"/>
        <v>1</v>
      </c>
      <c r="N339" s="40">
        <f t="shared" si="68"/>
        <v>1</v>
      </c>
      <c r="O339" s="40">
        <f t="shared" si="69"/>
        <v>1</v>
      </c>
      <c r="P339" s="40">
        <f t="shared" si="70"/>
        <v>1</v>
      </c>
      <c r="Q339" s="40">
        <f t="shared" si="71"/>
        <v>1</v>
      </c>
      <c r="S339" s="206"/>
    </row>
    <row r="340" spans="4:19" hidden="1" outlineLevel="1" x14ac:dyDescent="0.2">
      <c r="D340" s="206"/>
      <c r="E340" s="329"/>
      <c r="F340" s="329"/>
      <c r="G340" s="329"/>
      <c r="H340" s="329"/>
      <c r="I340" s="329"/>
      <c r="J340" s="329"/>
      <c r="L340" s="40">
        <f t="shared" si="66"/>
        <v>1</v>
      </c>
      <c r="M340" s="40">
        <f t="shared" si="67"/>
        <v>1</v>
      </c>
      <c r="N340" s="40">
        <f t="shared" si="68"/>
        <v>1</v>
      </c>
      <c r="O340" s="40">
        <f t="shared" si="69"/>
        <v>1</v>
      </c>
      <c r="P340" s="40">
        <f t="shared" si="70"/>
        <v>1</v>
      </c>
      <c r="Q340" s="40">
        <f t="shared" si="71"/>
        <v>1</v>
      </c>
      <c r="S340" s="206"/>
    </row>
    <row r="341" spans="4:19" hidden="1" outlineLevel="1" x14ac:dyDescent="0.2">
      <c r="D341" s="206"/>
      <c r="E341" s="329"/>
      <c r="F341" s="329"/>
      <c r="G341" s="329"/>
      <c r="H341" s="329"/>
      <c r="I341" s="329"/>
      <c r="J341" s="329"/>
      <c r="L341" s="40">
        <f t="shared" si="66"/>
        <v>1</v>
      </c>
      <c r="M341" s="40">
        <f t="shared" si="67"/>
        <v>1</v>
      </c>
      <c r="N341" s="40">
        <f t="shared" si="68"/>
        <v>1</v>
      </c>
      <c r="O341" s="40">
        <f t="shared" si="69"/>
        <v>1</v>
      </c>
      <c r="P341" s="40">
        <f t="shared" si="70"/>
        <v>1</v>
      </c>
      <c r="Q341" s="40">
        <f t="shared" si="71"/>
        <v>1</v>
      </c>
      <c r="S341" s="206"/>
    </row>
    <row r="342" spans="4:19" hidden="1" outlineLevel="1" x14ac:dyDescent="0.2">
      <c r="D342" s="206"/>
      <c r="E342" s="329"/>
      <c r="F342" s="329"/>
      <c r="G342" s="329"/>
      <c r="H342" s="329"/>
      <c r="I342" s="329"/>
      <c r="J342" s="329"/>
      <c r="L342" s="40">
        <f t="shared" si="66"/>
        <v>1</v>
      </c>
      <c r="M342" s="40">
        <f t="shared" si="67"/>
        <v>1</v>
      </c>
      <c r="N342" s="40">
        <f t="shared" si="68"/>
        <v>1</v>
      </c>
      <c r="O342" s="40">
        <f t="shared" si="69"/>
        <v>1</v>
      </c>
      <c r="P342" s="40">
        <f t="shared" si="70"/>
        <v>1</v>
      </c>
      <c r="Q342" s="40">
        <f t="shared" si="71"/>
        <v>1</v>
      </c>
      <c r="S342" s="206"/>
    </row>
    <row r="343" spans="4:19" hidden="1" outlineLevel="1" x14ac:dyDescent="0.2">
      <c r="D343" s="206"/>
      <c r="E343" s="329"/>
      <c r="F343" s="329"/>
      <c r="G343" s="329"/>
      <c r="H343" s="329"/>
      <c r="I343" s="329"/>
      <c r="J343" s="329"/>
      <c r="L343" s="40">
        <f t="shared" si="66"/>
        <v>1</v>
      </c>
      <c r="M343" s="40">
        <f t="shared" si="67"/>
        <v>1</v>
      </c>
      <c r="N343" s="40">
        <f t="shared" si="68"/>
        <v>1</v>
      </c>
      <c r="O343" s="40">
        <f t="shared" si="69"/>
        <v>1</v>
      </c>
      <c r="P343" s="40">
        <f t="shared" si="70"/>
        <v>1</v>
      </c>
      <c r="Q343" s="40">
        <f t="shared" si="71"/>
        <v>1</v>
      </c>
      <c r="S343" s="206"/>
    </row>
    <row r="344" spans="4:19" hidden="1" outlineLevel="1" x14ac:dyDescent="0.2">
      <c r="D344" s="206"/>
      <c r="E344" s="329"/>
      <c r="F344" s="329"/>
      <c r="G344" s="329"/>
      <c r="H344" s="329"/>
      <c r="I344" s="329"/>
      <c r="J344" s="329"/>
      <c r="L344" s="40">
        <f>IF(E344="",1,E344)</f>
        <v>1</v>
      </c>
      <c r="M344" s="40">
        <f t="shared" si="67"/>
        <v>1</v>
      </c>
      <c r="N344" s="40">
        <f t="shared" si="68"/>
        <v>1</v>
      </c>
      <c r="O344" s="40">
        <f t="shared" si="69"/>
        <v>1</v>
      </c>
      <c r="P344" s="40">
        <f t="shared" si="70"/>
        <v>1</v>
      </c>
      <c r="Q344" s="40">
        <f t="shared" si="71"/>
        <v>1</v>
      </c>
      <c r="S344" s="206"/>
    </row>
    <row r="345" spans="4:19" hidden="1" outlineLevel="1" x14ac:dyDescent="0.2">
      <c r="D345" s="20" t="s">
        <v>204</v>
      </c>
      <c r="E345" s="331">
        <f t="shared" ref="E345:J345" si="72">L335*L336*L337*L338*L344*L339*L340*L341*L342*L343</f>
        <v>1</v>
      </c>
      <c r="F345" s="331">
        <f t="shared" si="72"/>
        <v>1</v>
      </c>
      <c r="G345" s="331">
        <f t="shared" si="72"/>
        <v>1</v>
      </c>
      <c r="H345" s="331">
        <f t="shared" si="72"/>
        <v>1</v>
      </c>
      <c r="I345" s="331">
        <f t="shared" si="72"/>
        <v>1</v>
      </c>
      <c r="J345" s="331">
        <f t="shared" si="72"/>
        <v>1</v>
      </c>
    </row>
    <row r="346" spans="4:19" hidden="1" outlineLevel="1" x14ac:dyDescent="0.2">
      <c r="D346" s="4" t="s">
        <v>87</v>
      </c>
      <c r="E346" s="247">
        <f t="shared" ref="E346:J346" ca="1" si="73">IF(ISNUMBER(E332),E332*E345,"")</f>
        <v>0</v>
      </c>
      <c r="F346" s="247">
        <f t="shared" ca="1" si="73"/>
        <v>0</v>
      </c>
      <c r="G346" s="247">
        <f t="shared" ca="1" si="73"/>
        <v>0</v>
      </c>
      <c r="H346" s="247">
        <f t="shared" ca="1" si="73"/>
        <v>0</v>
      </c>
      <c r="I346" s="247">
        <f t="shared" ca="1" si="73"/>
        <v>0</v>
      </c>
      <c r="J346" s="247">
        <f t="shared" ca="1" si="73"/>
        <v>0</v>
      </c>
    </row>
    <row r="347" spans="4:19" hidden="1" outlineLevel="1" x14ac:dyDescent="0.2"/>
    <row r="348" spans="4:19" hidden="1" outlineLevel="1" x14ac:dyDescent="0.2">
      <c r="D348" s="54" t="str">
        <f>TxPhase1Tx</f>
        <v/>
      </c>
      <c r="E348" s="357"/>
      <c r="S348" s="31" t="s">
        <v>249</v>
      </c>
    </row>
    <row r="349" spans="4:19" hidden="1" outlineLevel="1" x14ac:dyDescent="0.2">
      <c r="D349" s="54" t="s">
        <v>88</v>
      </c>
      <c r="E349" s="48"/>
      <c r="F349" s="48"/>
      <c r="G349" s="48"/>
      <c r="H349" s="48"/>
      <c r="I349" s="48"/>
      <c r="J349" s="48"/>
      <c r="S349" s="41"/>
    </row>
    <row r="350" spans="4:19" hidden="1" outlineLevel="1" x14ac:dyDescent="0.2"/>
    <row r="351" spans="4:19" hidden="1" outlineLevel="1" x14ac:dyDescent="0.2">
      <c r="D351" s="82" t="str">
        <f>TXPhase2Tx</f>
        <v/>
      </c>
      <c r="E351" s="357"/>
      <c r="S351" s="31" t="s">
        <v>249</v>
      </c>
    </row>
    <row r="352" spans="4:19" hidden="1" outlineLevel="1" x14ac:dyDescent="0.2">
      <c r="D352" s="82" t="str">
        <f>IF(D351&lt;&gt;"","Patients electing treatment (%)","")</f>
        <v/>
      </c>
      <c r="E352" s="48"/>
      <c r="F352" s="48"/>
      <c r="G352" s="48"/>
      <c r="H352" s="48"/>
      <c r="I352" s="48"/>
      <c r="J352" s="48"/>
      <c r="S352" s="41"/>
    </row>
    <row r="353" spans="1:19" hidden="1" outlineLevel="1" x14ac:dyDescent="0.2"/>
    <row r="354" spans="1:19" hidden="1" outlineLevel="1" x14ac:dyDescent="0.2">
      <c r="C354" s="246">
        <f>IFERROR(VLOOKUP(E354,TxPhase2SourceCode,2,FALSE),0)</f>
        <v>1</v>
      </c>
      <c r="D354" s="54" t="s">
        <v>1152</v>
      </c>
      <c r="E354" s="227" t="s">
        <v>1153</v>
      </c>
    </row>
    <row r="355" spans="1:19" hidden="1" outlineLevel="1" x14ac:dyDescent="0.2"/>
    <row r="356" spans="1:19" hidden="1" outlineLevel="1" x14ac:dyDescent="0.2">
      <c r="D356" s="54" t="str">
        <f>TxPhase1Px</f>
        <v/>
      </c>
      <c r="E356" s="247">
        <f t="shared" ref="E356:J356" si="74">IF(TxPhase1&lt;&gt;"",E346*E349,0)</f>
        <v>0</v>
      </c>
      <c r="F356" s="247">
        <f t="shared" si="74"/>
        <v>0</v>
      </c>
      <c r="G356" s="247">
        <f t="shared" si="74"/>
        <v>0</v>
      </c>
      <c r="H356" s="247">
        <f t="shared" si="74"/>
        <v>0</v>
      </c>
      <c r="I356" s="247">
        <f t="shared" si="74"/>
        <v>0</v>
      </c>
      <c r="J356" s="247">
        <f t="shared" si="74"/>
        <v>0</v>
      </c>
    </row>
    <row r="357" spans="1:19" hidden="1" outlineLevel="1" x14ac:dyDescent="0.2">
      <c r="D357" s="54" t="str">
        <f>TxPhase2Px</f>
        <v/>
      </c>
      <c r="E357" s="247">
        <f t="shared" ref="E357:J357" si="75">IF(TxPhase2&lt;&gt;"",IF($C354=1,E356,IF($C354=2,E346,0))*E352,0)</f>
        <v>0</v>
      </c>
      <c r="F357" s="247">
        <f t="shared" si="75"/>
        <v>0</v>
      </c>
      <c r="G357" s="247">
        <f t="shared" si="75"/>
        <v>0</v>
      </c>
      <c r="H357" s="247">
        <f t="shared" si="75"/>
        <v>0</v>
      </c>
      <c r="I357" s="247">
        <f t="shared" si="75"/>
        <v>0</v>
      </c>
      <c r="J357" s="247">
        <f t="shared" si="75"/>
        <v>0</v>
      </c>
    </row>
    <row r="358" spans="1:19" hidden="1" outlineLevel="1" x14ac:dyDescent="0.2">
      <c r="D358" s="1"/>
      <c r="E358" s="1"/>
    </row>
    <row r="359" spans="1:19" hidden="1" outlineLevel="1" x14ac:dyDescent="0.2">
      <c r="C359" s="246" t="str">
        <f>IF(E359&lt;&gt;"",E359,"")</f>
        <v/>
      </c>
      <c r="D359" s="81" t="s">
        <v>743</v>
      </c>
      <c r="E359" s="227"/>
    </row>
    <row r="360" spans="1:19" hidden="1" outlineLevel="1" x14ac:dyDescent="0.2"/>
    <row r="361" spans="1:19" collapsed="1" x14ac:dyDescent="0.2"/>
    <row r="362" spans="1:19" ht="15.75" x14ac:dyDescent="0.2">
      <c r="C362" s="396">
        <v>10</v>
      </c>
      <c r="D362" s="72" t="str">
        <f>IF(E366&lt;&gt;"",CONCATENATE("Incident ",C362,": ",G366,L362),MsgNotUsed)</f>
        <v>** NOT USED **</v>
      </c>
      <c r="E362" s="116"/>
      <c r="F362" s="116"/>
      <c r="G362" s="116"/>
      <c r="H362" s="116"/>
      <c r="I362" s="118"/>
      <c r="J362" s="118"/>
      <c r="K362" s="266"/>
      <c r="L362" s="266" t="str">
        <f>IF(S366&lt;&gt;"",CONCATENATE(" (",S366,")"),"")</f>
        <v/>
      </c>
      <c r="M362" s="266"/>
      <c r="N362" s="266"/>
      <c r="O362" s="266"/>
      <c r="P362" s="266"/>
      <c r="Q362" s="266"/>
      <c r="R362" s="117"/>
      <c r="S362" s="117"/>
    </row>
    <row r="363" spans="1:19" hidden="1" outlineLevel="1" x14ac:dyDescent="0.2">
      <c r="A363" s="114"/>
      <c r="B363" s="114"/>
      <c r="C363" s="114"/>
      <c r="D363" s="260"/>
      <c r="E363" s="114"/>
      <c r="F363" s="114"/>
      <c r="G363" s="114"/>
      <c r="H363" s="114"/>
      <c r="I363" s="114"/>
      <c r="J363" s="114"/>
      <c r="K363" s="114"/>
      <c r="L363" s="114"/>
      <c r="M363" s="114"/>
      <c r="N363" s="114"/>
      <c r="O363" s="114"/>
      <c r="P363" s="114"/>
      <c r="Q363" s="114"/>
      <c r="R363" s="114"/>
      <c r="S363" s="114"/>
    </row>
    <row r="364" spans="1:19" hidden="1" outlineLevel="1" x14ac:dyDescent="0.2">
      <c r="A364" s="114"/>
      <c r="B364" s="114"/>
      <c r="C364" s="114"/>
      <c r="D364" t="s">
        <v>826</v>
      </c>
      <c r="E364" s="114"/>
      <c r="F364" s="114"/>
      <c r="G364" s="114"/>
      <c r="R364" s="114"/>
    </row>
    <row r="365" spans="1:19" hidden="1" outlineLevel="1" x14ac:dyDescent="0.2">
      <c r="A365" s="114"/>
      <c r="B365" s="114"/>
      <c r="C365" s="114"/>
      <c r="D365" s="260"/>
      <c r="E365" s="114"/>
      <c r="F365" s="114"/>
      <c r="G365" s="114"/>
      <c r="H365" s="114"/>
      <c r="I365" s="114"/>
      <c r="J365" s="114"/>
      <c r="R365" s="114"/>
      <c r="S365" s="31" t="s">
        <v>414</v>
      </c>
    </row>
    <row r="366" spans="1:19" hidden="1" outlineLevel="1" x14ac:dyDescent="0.2">
      <c r="A366" s="114"/>
      <c r="B366" s="246">
        <f>IF(E366&lt;&gt;"",MATCH(E366,EPISource,0)-1,0)</f>
        <v>0</v>
      </c>
      <c r="C366" s="246">
        <f ca="1">IF(G366&lt;&gt;"",MATCH(G366,OFFSET(References!$AE$7,0,B366,PxPopMaxCount),0),0)</f>
        <v>0</v>
      </c>
      <c r="D366" s="8" t="s">
        <v>110</v>
      </c>
      <c r="E366" s="230"/>
      <c r="F366" s="119"/>
      <c r="G366" s="580"/>
      <c r="H366" s="581"/>
      <c r="I366" s="581"/>
      <c r="J366" s="581"/>
      <c r="R366" s="114"/>
      <c r="S366" s="234"/>
    </row>
    <row r="367" spans="1:19" hidden="1" outlineLevel="1" x14ac:dyDescent="0.2">
      <c r="A367" s="114"/>
      <c r="B367" s="246">
        <f>INDEX(PxPopValid,,B366+1)</f>
        <v>0</v>
      </c>
      <c r="C367" s="246">
        <f ca="1">(B366*PxPopMaxCount)+C366</f>
        <v>0</v>
      </c>
      <c r="D367" s="260"/>
      <c r="E367" s="319">
        <v>1</v>
      </c>
      <c r="F367" s="319">
        <v>2</v>
      </c>
      <c r="G367" s="319">
        <v>3</v>
      </c>
      <c r="H367" s="319">
        <v>4</v>
      </c>
      <c r="I367" s="319">
        <v>5</v>
      </c>
      <c r="J367" s="319">
        <v>6</v>
      </c>
      <c r="R367" s="114"/>
    </row>
    <row r="368" spans="1:19" ht="15" hidden="1" customHeight="1" outlineLevel="1" x14ac:dyDescent="0.2">
      <c r="A368" s="114"/>
      <c r="B368" s="114"/>
      <c r="C368" s="114"/>
      <c r="D368" s="260"/>
      <c r="E368" s="582" t="s">
        <v>10</v>
      </c>
      <c r="F368" s="582"/>
      <c r="G368" s="582"/>
      <c r="H368" s="582"/>
      <c r="I368" s="582"/>
      <c r="J368" s="582"/>
      <c r="R368" s="114"/>
      <c r="S368" s="444" t="str">
        <f ca="1">IF(ISERROR($C367)=TRUE,MsgError &amp; VLOOKUP("BadPop",ErrorMessages,2,FALSE),IF(RIGHT(G366,12)="(Prevalence)",MsgError &amp; VLOOKUP("BadPrevPop",ErrorMessages,2,FALSE),""))</f>
        <v/>
      </c>
    </row>
    <row r="369" spans="1:19" hidden="1" outlineLevel="1" x14ac:dyDescent="0.2">
      <c r="A369" s="114"/>
      <c r="B369" s="114"/>
      <c r="C369" s="114"/>
      <c r="D369" s="260"/>
      <c r="E369" s="74">
        <f>FirstYear</f>
        <v>2026</v>
      </c>
      <c r="F369" s="74">
        <f>E369+1</f>
        <v>2027</v>
      </c>
      <c r="G369" s="74">
        <f>F369+1</f>
        <v>2028</v>
      </c>
      <c r="H369" s="74">
        <f>G369+1</f>
        <v>2029</v>
      </c>
      <c r="I369" s="74">
        <f>H369+1</f>
        <v>2030</v>
      </c>
      <c r="J369" s="74">
        <f>I369+1</f>
        <v>2031</v>
      </c>
      <c r="R369" s="114"/>
    </row>
    <row r="370" spans="1:19" ht="12.75" hidden="1" customHeight="1" outlineLevel="1" x14ac:dyDescent="0.2">
      <c r="D370" s="499" t="s">
        <v>332</v>
      </c>
      <c r="E370" s="120">
        <f t="shared" ref="E370:J370" ca="1" si="76">IF(AND(ISERROR($C367)&lt;&gt;TRUE,$G366&lt;&gt;""),INDEX(PxPopNumbers,$C367,E367),0)</f>
        <v>0</v>
      </c>
      <c r="F370" s="120">
        <f t="shared" ca="1" si="76"/>
        <v>0</v>
      </c>
      <c r="G370" s="120">
        <f t="shared" ca="1" si="76"/>
        <v>0</v>
      </c>
      <c r="H370" s="120">
        <f t="shared" ca="1" si="76"/>
        <v>0</v>
      </c>
      <c r="I370" s="120">
        <f t="shared" ca="1" si="76"/>
        <v>0</v>
      </c>
      <c r="J370" s="120">
        <f t="shared" ca="1" si="76"/>
        <v>0</v>
      </c>
      <c r="R370" s="260"/>
    </row>
    <row r="371" spans="1:19" ht="12.75" hidden="1" customHeight="1" outlineLevel="1" x14ac:dyDescent="0.2"/>
    <row r="372" spans="1:19" ht="12.75" hidden="1" customHeight="1" outlineLevel="1" x14ac:dyDescent="0.2">
      <c r="D372" s="498" t="s">
        <v>196</v>
      </c>
      <c r="S372" s="31" t="s">
        <v>249</v>
      </c>
    </row>
    <row r="373" spans="1:19" hidden="1" outlineLevel="1" x14ac:dyDescent="0.2">
      <c r="D373" s="206"/>
      <c r="E373" s="329"/>
      <c r="F373" s="329"/>
      <c r="G373" s="329"/>
      <c r="H373" s="329"/>
      <c r="I373" s="329"/>
      <c r="J373" s="329"/>
      <c r="L373" s="40">
        <f t="shared" ref="L373:L381" si="77">IF(E373="",1,E373)</f>
        <v>1</v>
      </c>
      <c r="M373" s="40">
        <f t="shared" ref="M373:M382" si="78">IF(F373="",1,F373)</f>
        <v>1</v>
      </c>
      <c r="N373" s="40">
        <f t="shared" ref="N373:N382" si="79">IF(G373="",1,G373)</f>
        <v>1</v>
      </c>
      <c r="O373" s="40">
        <f t="shared" ref="O373:O382" si="80">IF(H373="",1,H373)</f>
        <v>1</v>
      </c>
      <c r="P373" s="40">
        <f t="shared" ref="P373:P382" si="81">IF(I373="",1,I373)</f>
        <v>1</v>
      </c>
      <c r="Q373" s="40">
        <f t="shared" ref="Q373:Q382" si="82">IF(J373="",1,J373)</f>
        <v>1</v>
      </c>
      <c r="S373" s="206"/>
    </row>
    <row r="374" spans="1:19" hidden="1" outlineLevel="1" x14ac:dyDescent="0.2">
      <c r="D374" s="206"/>
      <c r="E374" s="329"/>
      <c r="F374" s="329"/>
      <c r="G374" s="329"/>
      <c r="H374" s="329"/>
      <c r="I374" s="329"/>
      <c r="J374" s="329"/>
      <c r="L374" s="40">
        <f t="shared" si="77"/>
        <v>1</v>
      </c>
      <c r="M374" s="40">
        <f t="shared" si="78"/>
        <v>1</v>
      </c>
      <c r="N374" s="40">
        <f t="shared" si="79"/>
        <v>1</v>
      </c>
      <c r="O374" s="40">
        <f t="shared" si="80"/>
        <v>1</v>
      </c>
      <c r="P374" s="40">
        <f t="shared" si="81"/>
        <v>1</v>
      </c>
      <c r="Q374" s="40">
        <f t="shared" si="82"/>
        <v>1</v>
      </c>
      <c r="S374" s="206"/>
    </row>
    <row r="375" spans="1:19" hidden="1" outlineLevel="1" x14ac:dyDescent="0.2">
      <c r="D375" s="206"/>
      <c r="E375" s="329"/>
      <c r="F375" s="329"/>
      <c r="G375" s="329"/>
      <c r="H375" s="329"/>
      <c r="I375" s="329"/>
      <c r="J375" s="329"/>
      <c r="L375" s="40">
        <f t="shared" si="77"/>
        <v>1</v>
      </c>
      <c r="M375" s="40">
        <f t="shared" si="78"/>
        <v>1</v>
      </c>
      <c r="N375" s="40">
        <f t="shared" si="79"/>
        <v>1</v>
      </c>
      <c r="O375" s="40">
        <f t="shared" si="80"/>
        <v>1</v>
      </c>
      <c r="P375" s="40">
        <f t="shared" si="81"/>
        <v>1</v>
      </c>
      <c r="Q375" s="40">
        <f t="shared" si="82"/>
        <v>1</v>
      </c>
      <c r="S375" s="206"/>
    </row>
    <row r="376" spans="1:19" hidden="1" outlineLevel="1" x14ac:dyDescent="0.2">
      <c r="D376" s="206"/>
      <c r="E376" s="329"/>
      <c r="F376" s="329"/>
      <c r="G376" s="329"/>
      <c r="H376" s="329"/>
      <c r="I376" s="329"/>
      <c r="J376" s="329"/>
      <c r="L376" s="40">
        <f t="shared" si="77"/>
        <v>1</v>
      </c>
      <c r="M376" s="40">
        <f t="shared" si="78"/>
        <v>1</v>
      </c>
      <c r="N376" s="40">
        <f t="shared" si="79"/>
        <v>1</v>
      </c>
      <c r="O376" s="40">
        <f t="shared" si="80"/>
        <v>1</v>
      </c>
      <c r="P376" s="40">
        <f t="shared" si="81"/>
        <v>1</v>
      </c>
      <c r="Q376" s="40">
        <f t="shared" si="82"/>
        <v>1</v>
      </c>
      <c r="S376" s="206"/>
    </row>
    <row r="377" spans="1:19" hidden="1" outlineLevel="1" x14ac:dyDescent="0.2">
      <c r="D377" s="206"/>
      <c r="E377" s="329"/>
      <c r="F377" s="329"/>
      <c r="G377" s="329"/>
      <c r="H377" s="329"/>
      <c r="I377" s="329"/>
      <c r="J377" s="329"/>
      <c r="L377" s="40">
        <f t="shared" si="77"/>
        <v>1</v>
      </c>
      <c r="M377" s="40">
        <f t="shared" si="78"/>
        <v>1</v>
      </c>
      <c r="N377" s="40">
        <f t="shared" si="79"/>
        <v>1</v>
      </c>
      <c r="O377" s="40">
        <f t="shared" si="80"/>
        <v>1</v>
      </c>
      <c r="P377" s="40">
        <f t="shared" si="81"/>
        <v>1</v>
      </c>
      <c r="Q377" s="40">
        <f t="shared" si="82"/>
        <v>1</v>
      </c>
      <c r="S377" s="206"/>
    </row>
    <row r="378" spans="1:19" hidden="1" outlineLevel="1" x14ac:dyDescent="0.2">
      <c r="D378" s="206"/>
      <c r="E378" s="329"/>
      <c r="F378" s="329"/>
      <c r="G378" s="329"/>
      <c r="H378" s="329"/>
      <c r="I378" s="329"/>
      <c r="J378" s="329"/>
      <c r="L378" s="40">
        <f t="shared" si="77"/>
        <v>1</v>
      </c>
      <c r="M378" s="40">
        <f t="shared" si="78"/>
        <v>1</v>
      </c>
      <c r="N378" s="40">
        <f t="shared" si="79"/>
        <v>1</v>
      </c>
      <c r="O378" s="40">
        <f t="shared" si="80"/>
        <v>1</v>
      </c>
      <c r="P378" s="40">
        <f t="shared" si="81"/>
        <v>1</v>
      </c>
      <c r="Q378" s="40">
        <f t="shared" si="82"/>
        <v>1</v>
      </c>
      <c r="S378" s="206"/>
    </row>
    <row r="379" spans="1:19" hidden="1" outlineLevel="1" x14ac:dyDescent="0.2">
      <c r="D379" s="206"/>
      <c r="E379" s="329"/>
      <c r="F379" s="329"/>
      <c r="G379" s="329"/>
      <c r="H379" s="329"/>
      <c r="I379" s="329"/>
      <c r="J379" s="329"/>
      <c r="L379" s="40">
        <f t="shared" si="77"/>
        <v>1</v>
      </c>
      <c r="M379" s="40">
        <f t="shared" si="78"/>
        <v>1</v>
      </c>
      <c r="N379" s="40">
        <f t="shared" si="79"/>
        <v>1</v>
      </c>
      <c r="O379" s="40">
        <f t="shared" si="80"/>
        <v>1</v>
      </c>
      <c r="P379" s="40">
        <f t="shared" si="81"/>
        <v>1</v>
      </c>
      <c r="Q379" s="40">
        <f t="shared" si="82"/>
        <v>1</v>
      </c>
      <c r="S379" s="206"/>
    </row>
    <row r="380" spans="1:19" hidden="1" outlineLevel="1" x14ac:dyDescent="0.2">
      <c r="D380" s="206"/>
      <c r="E380" s="329"/>
      <c r="F380" s="329"/>
      <c r="G380" s="329"/>
      <c r="H380" s="329"/>
      <c r="I380" s="329"/>
      <c r="J380" s="329"/>
      <c r="L380" s="40">
        <f t="shared" si="77"/>
        <v>1</v>
      </c>
      <c r="M380" s="40">
        <f t="shared" si="78"/>
        <v>1</v>
      </c>
      <c r="N380" s="40">
        <f t="shared" si="79"/>
        <v>1</v>
      </c>
      <c r="O380" s="40">
        <f t="shared" si="80"/>
        <v>1</v>
      </c>
      <c r="P380" s="40">
        <f t="shared" si="81"/>
        <v>1</v>
      </c>
      <c r="Q380" s="40">
        <f t="shared" si="82"/>
        <v>1</v>
      </c>
      <c r="S380" s="206"/>
    </row>
    <row r="381" spans="1:19" hidden="1" outlineLevel="1" x14ac:dyDescent="0.2">
      <c r="D381" s="206"/>
      <c r="E381" s="329"/>
      <c r="F381" s="329"/>
      <c r="G381" s="329"/>
      <c r="H381" s="329"/>
      <c r="I381" s="329"/>
      <c r="J381" s="329"/>
      <c r="L381" s="40">
        <f t="shared" si="77"/>
        <v>1</v>
      </c>
      <c r="M381" s="40">
        <f t="shared" si="78"/>
        <v>1</v>
      </c>
      <c r="N381" s="40">
        <f t="shared" si="79"/>
        <v>1</v>
      </c>
      <c r="O381" s="40">
        <f t="shared" si="80"/>
        <v>1</v>
      </c>
      <c r="P381" s="40">
        <f t="shared" si="81"/>
        <v>1</v>
      </c>
      <c r="Q381" s="40">
        <f t="shared" si="82"/>
        <v>1</v>
      </c>
      <c r="S381" s="206"/>
    </row>
    <row r="382" spans="1:19" hidden="1" outlineLevel="1" x14ac:dyDescent="0.2">
      <c r="D382" s="206"/>
      <c r="E382" s="329"/>
      <c r="F382" s="329"/>
      <c r="G382" s="329"/>
      <c r="H382" s="329"/>
      <c r="I382" s="329"/>
      <c r="J382" s="329"/>
      <c r="L382" s="40">
        <f>IF(E382="",1,E382)</f>
        <v>1</v>
      </c>
      <c r="M382" s="40">
        <f t="shared" si="78"/>
        <v>1</v>
      </c>
      <c r="N382" s="40">
        <f t="shared" si="79"/>
        <v>1</v>
      </c>
      <c r="O382" s="40">
        <f t="shared" si="80"/>
        <v>1</v>
      </c>
      <c r="P382" s="40">
        <f t="shared" si="81"/>
        <v>1</v>
      </c>
      <c r="Q382" s="40">
        <f t="shared" si="82"/>
        <v>1</v>
      </c>
      <c r="S382" s="206"/>
    </row>
    <row r="383" spans="1:19" hidden="1" outlineLevel="1" x14ac:dyDescent="0.2">
      <c r="D383" s="20" t="s">
        <v>204</v>
      </c>
      <c r="E383" s="331">
        <f t="shared" ref="E383:J383" si="83">L373*L374*L375*L376*L382*L377*L378*L379*L380*L381</f>
        <v>1</v>
      </c>
      <c r="F383" s="331">
        <f t="shared" si="83"/>
        <v>1</v>
      </c>
      <c r="G383" s="331">
        <f t="shared" si="83"/>
        <v>1</v>
      </c>
      <c r="H383" s="331">
        <f t="shared" si="83"/>
        <v>1</v>
      </c>
      <c r="I383" s="331">
        <f t="shared" si="83"/>
        <v>1</v>
      </c>
      <c r="J383" s="331">
        <f t="shared" si="83"/>
        <v>1</v>
      </c>
    </row>
    <row r="384" spans="1:19" hidden="1" outlineLevel="1" x14ac:dyDescent="0.2">
      <c r="D384" s="4" t="s">
        <v>87</v>
      </c>
      <c r="E384" s="247">
        <f t="shared" ref="E384:J384" ca="1" si="84">IF(ISNUMBER(E370),E370*E383,"")</f>
        <v>0</v>
      </c>
      <c r="F384" s="247">
        <f t="shared" ca="1" si="84"/>
        <v>0</v>
      </c>
      <c r="G384" s="247">
        <f t="shared" ca="1" si="84"/>
        <v>0</v>
      </c>
      <c r="H384" s="247">
        <f t="shared" ca="1" si="84"/>
        <v>0</v>
      </c>
      <c r="I384" s="247">
        <f t="shared" ca="1" si="84"/>
        <v>0</v>
      </c>
      <c r="J384" s="247">
        <f t="shared" ca="1" si="84"/>
        <v>0</v>
      </c>
    </row>
    <row r="385" spans="3:19" hidden="1" outlineLevel="1" x14ac:dyDescent="0.2"/>
    <row r="386" spans="3:19" hidden="1" outlineLevel="1" x14ac:dyDescent="0.2">
      <c r="D386" s="54" t="str">
        <f>TxPhase1Tx</f>
        <v/>
      </c>
      <c r="E386" s="357"/>
      <c r="S386" s="31" t="s">
        <v>249</v>
      </c>
    </row>
    <row r="387" spans="3:19" hidden="1" outlineLevel="1" x14ac:dyDescent="0.2">
      <c r="D387" s="54" t="s">
        <v>88</v>
      </c>
      <c r="E387" s="48"/>
      <c r="F387" s="48"/>
      <c r="G387" s="48"/>
      <c r="H387" s="48"/>
      <c r="I387" s="48"/>
      <c r="J387" s="48"/>
      <c r="S387" s="41"/>
    </row>
    <row r="388" spans="3:19" hidden="1" outlineLevel="1" x14ac:dyDescent="0.2"/>
    <row r="389" spans="3:19" hidden="1" outlineLevel="1" x14ac:dyDescent="0.2">
      <c r="D389" s="82" t="str">
        <f>TXPhase2Tx</f>
        <v/>
      </c>
      <c r="E389" s="357"/>
      <c r="S389" s="31" t="s">
        <v>249</v>
      </c>
    </row>
    <row r="390" spans="3:19" hidden="1" outlineLevel="1" x14ac:dyDescent="0.2">
      <c r="D390" s="82" t="str">
        <f>IF(D389&lt;&gt;"","Patients electing treatment (%)","")</f>
        <v/>
      </c>
      <c r="E390" s="48"/>
      <c r="F390" s="48"/>
      <c r="G390" s="48"/>
      <c r="H390" s="48"/>
      <c r="I390" s="48"/>
      <c r="J390" s="48"/>
      <c r="S390" s="41"/>
    </row>
    <row r="391" spans="3:19" hidden="1" outlineLevel="1" x14ac:dyDescent="0.2"/>
    <row r="392" spans="3:19" hidden="1" outlineLevel="1" x14ac:dyDescent="0.2">
      <c r="C392" s="246">
        <f>IFERROR(VLOOKUP(E392,TxPhase2SourceCode,2,FALSE),0)</f>
        <v>1</v>
      </c>
      <c r="D392" s="54" t="s">
        <v>1152</v>
      </c>
      <c r="E392" s="227" t="s">
        <v>1153</v>
      </c>
    </row>
    <row r="393" spans="3:19" hidden="1" outlineLevel="1" x14ac:dyDescent="0.2"/>
    <row r="394" spans="3:19" hidden="1" outlineLevel="1" x14ac:dyDescent="0.2">
      <c r="D394" s="54" t="str">
        <f>TxPhase1Px</f>
        <v/>
      </c>
      <c r="E394" s="247">
        <f t="shared" ref="E394:J394" si="85">IF(TxPhase1&lt;&gt;"",E384*E387,0)</f>
        <v>0</v>
      </c>
      <c r="F394" s="247">
        <f t="shared" si="85"/>
        <v>0</v>
      </c>
      <c r="G394" s="247">
        <f t="shared" si="85"/>
        <v>0</v>
      </c>
      <c r="H394" s="247">
        <f t="shared" si="85"/>
        <v>0</v>
      </c>
      <c r="I394" s="247">
        <f t="shared" si="85"/>
        <v>0</v>
      </c>
      <c r="J394" s="247">
        <f t="shared" si="85"/>
        <v>0</v>
      </c>
    </row>
    <row r="395" spans="3:19" hidden="1" outlineLevel="1" x14ac:dyDescent="0.2">
      <c r="D395" s="54" t="str">
        <f>TxPhase2Px</f>
        <v/>
      </c>
      <c r="E395" s="247">
        <f t="shared" ref="E395:J395" si="86">IF(TxPhase2&lt;&gt;"",IF($C392=1,E394,IF($C392=2,E384,0))*E390,0)</f>
        <v>0</v>
      </c>
      <c r="F395" s="247">
        <f t="shared" si="86"/>
        <v>0</v>
      </c>
      <c r="G395" s="247">
        <f t="shared" si="86"/>
        <v>0</v>
      </c>
      <c r="H395" s="247">
        <f t="shared" si="86"/>
        <v>0</v>
      </c>
      <c r="I395" s="247">
        <f t="shared" si="86"/>
        <v>0</v>
      </c>
      <c r="J395" s="247">
        <f t="shared" si="86"/>
        <v>0</v>
      </c>
    </row>
    <row r="396" spans="3:19" hidden="1" outlineLevel="1" x14ac:dyDescent="0.2">
      <c r="D396" s="1"/>
      <c r="E396" s="1"/>
    </row>
    <row r="397" spans="3:19" hidden="1" outlineLevel="1" x14ac:dyDescent="0.2">
      <c r="C397" s="246" t="str">
        <f>IF(E397&lt;&gt;"",E397,"")</f>
        <v/>
      </c>
      <c r="D397" s="81" t="s">
        <v>743</v>
      </c>
      <c r="E397" s="227"/>
    </row>
    <row r="398" spans="3:19" hidden="1" outlineLevel="1" x14ac:dyDescent="0.2"/>
    <row r="399" spans="3:19" collapsed="1" x14ac:dyDescent="0.2"/>
    <row r="400" spans="3:19" ht="15.75" x14ac:dyDescent="0.2">
      <c r="D400" s="111" t="s">
        <v>27</v>
      </c>
      <c r="E400" s="112"/>
      <c r="F400" s="112"/>
      <c r="G400" s="112"/>
      <c r="H400" s="112"/>
      <c r="I400" s="112"/>
      <c r="J400" s="112"/>
      <c r="K400" s="266"/>
      <c r="L400" s="266"/>
      <c r="M400" s="266"/>
      <c r="N400" s="266"/>
      <c r="O400" s="266"/>
      <c r="P400" s="266"/>
      <c r="Q400" s="266"/>
      <c r="R400" s="117"/>
      <c r="S400" s="21"/>
    </row>
    <row r="401" spans="4:19" x14ac:dyDescent="0.2"/>
    <row r="402" spans="4:19" x14ac:dyDescent="0.2">
      <c r="D402" t="s">
        <v>825</v>
      </c>
    </row>
    <row r="403" spans="4:19" x14ac:dyDescent="0.2">
      <c r="D403" t="s">
        <v>210</v>
      </c>
    </row>
    <row r="404" spans="4:19" x14ac:dyDescent="0.2"/>
    <row r="405" spans="4:19" ht="15" x14ac:dyDescent="0.2">
      <c r="D405" s="122" t="s">
        <v>843</v>
      </c>
      <c r="E405" s="112"/>
      <c r="F405" s="112"/>
      <c r="G405" s="112"/>
      <c r="H405" s="112"/>
      <c r="I405" s="112"/>
      <c r="J405" s="112"/>
      <c r="K405" s="266" t="str">
        <f t="shared" ref="K405:Q405" si="87">IF(R409&lt;&gt;"",CONCATENATE(" (",R409,")"),"")</f>
        <v/>
      </c>
      <c r="L405" s="266" t="str">
        <f t="shared" si="87"/>
        <v/>
      </c>
      <c r="M405" s="266" t="str">
        <f t="shared" si="87"/>
        <v/>
      </c>
      <c r="N405" s="266" t="str">
        <f t="shared" si="87"/>
        <v/>
      </c>
      <c r="O405" s="266" t="str">
        <f t="shared" si="87"/>
        <v/>
      </c>
      <c r="P405" s="266" t="str">
        <f t="shared" si="87"/>
        <v/>
      </c>
      <c r="Q405" s="266" t="str">
        <f t="shared" si="87"/>
        <v/>
      </c>
      <c r="R405" s="117"/>
      <c r="S405" s="112"/>
    </row>
    <row r="406" spans="4:19" x14ac:dyDescent="0.2"/>
    <row r="407" spans="4:19" x14ac:dyDescent="0.2">
      <c r="D407" s="260"/>
    </row>
    <row r="408" spans="4:19" ht="15" x14ac:dyDescent="0.2">
      <c r="D408" s="122" t="s">
        <v>844</v>
      </c>
      <c r="E408" s="112"/>
      <c r="F408" s="112"/>
      <c r="G408" s="112"/>
      <c r="H408" s="112"/>
      <c r="I408" s="112"/>
      <c r="J408" s="112"/>
      <c r="K408" s="266" t="str">
        <f t="shared" ref="K408:Q408" si="88">IF(R412&lt;&gt;"",CONCATENATE(" (",R412,")"),"")</f>
        <v/>
      </c>
      <c r="L408" s="266" t="str">
        <f t="shared" si="88"/>
        <v/>
      </c>
      <c r="M408" s="266" t="str">
        <f t="shared" si="88"/>
        <v/>
      </c>
      <c r="N408" s="266" t="str">
        <f t="shared" si="88"/>
        <v/>
      </c>
      <c r="O408" s="266" t="str">
        <f t="shared" si="88"/>
        <v/>
      </c>
      <c r="P408" s="266" t="str">
        <f t="shared" si="88"/>
        <v/>
      </c>
      <c r="Q408" s="266" t="str">
        <f t="shared" si="88"/>
        <v/>
      </c>
      <c r="R408" s="117"/>
      <c r="S408" s="112"/>
    </row>
    <row r="409" spans="4:19" x14ac:dyDescent="0.2"/>
    <row r="410" spans="4:19" x14ac:dyDescent="0.2">
      <c r="D410" s="260"/>
    </row>
    <row r="411" spans="4:19" ht="15" x14ac:dyDescent="0.2">
      <c r="D411" s="122" t="s">
        <v>845</v>
      </c>
      <c r="E411" s="112"/>
      <c r="F411" s="112"/>
      <c r="G411" s="112"/>
      <c r="H411" s="112"/>
      <c r="I411" s="112"/>
      <c r="J411" s="112"/>
      <c r="K411" s="266" t="str">
        <f t="shared" ref="K411:Q411" si="89">IF(R415&lt;&gt;"",CONCATENATE(" (",R415,")"),"")</f>
        <v/>
      </c>
      <c r="L411" s="266" t="str">
        <f t="shared" si="89"/>
        <v/>
      </c>
      <c r="M411" s="266" t="str">
        <f t="shared" si="89"/>
        <v/>
      </c>
      <c r="N411" s="266" t="str">
        <f t="shared" si="89"/>
        <v/>
      </c>
      <c r="O411" s="266" t="str">
        <f t="shared" si="89"/>
        <v/>
      </c>
      <c r="P411" s="266" t="str">
        <f t="shared" si="89"/>
        <v/>
      </c>
      <c r="Q411" s="266" t="str">
        <f t="shared" si="89"/>
        <v/>
      </c>
      <c r="R411" s="117"/>
      <c r="S411" s="112"/>
    </row>
  </sheetData>
  <mergeCells count="21">
    <mergeCell ref="G328:J328"/>
    <mergeCell ref="E26:J26"/>
    <mergeCell ref="G214:J214"/>
    <mergeCell ref="E216:J216"/>
    <mergeCell ref="E140:J140"/>
    <mergeCell ref="G366:J366"/>
    <mergeCell ref="G290:J290"/>
    <mergeCell ref="E330:J330"/>
    <mergeCell ref="E368:J368"/>
    <mergeCell ref="I1:J1"/>
    <mergeCell ref="G24:J24"/>
    <mergeCell ref="E178:J178"/>
    <mergeCell ref="G62:J62"/>
    <mergeCell ref="E64:J64"/>
    <mergeCell ref="G100:J100"/>
    <mergeCell ref="E102:J102"/>
    <mergeCell ref="G138:J138"/>
    <mergeCell ref="G176:J176"/>
    <mergeCell ref="G252:J252"/>
    <mergeCell ref="E254:J254"/>
    <mergeCell ref="E292:J292"/>
  </mergeCells>
  <conditionalFormatting sqref="D47 D48:J48 S48 E50 D53:J53">
    <cfRule type="expression" dxfId="488" priority="263">
      <formula>TxPhase2=""</formula>
    </cfRule>
  </conditionalFormatting>
  <conditionalFormatting sqref="D50">
    <cfRule type="expression" dxfId="487" priority="57">
      <formula>$D$53=""</formula>
    </cfRule>
  </conditionalFormatting>
  <conditionalFormatting sqref="D53">
    <cfRule type="expression" dxfId="486" priority="262">
      <formula>$D$53=""</formula>
    </cfRule>
  </conditionalFormatting>
  <conditionalFormatting sqref="D85 D86:J86 S86 E88 D91:J91">
    <cfRule type="expression" dxfId="485" priority="261">
      <formula>TxPhase2=""</formula>
    </cfRule>
  </conditionalFormatting>
  <conditionalFormatting sqref="D85:D86">
    <cfRule type="expression" dxfId="484" priority="153">
      <formula>TPCont=0</formula>
    </cfRule>
  </conditionalFormatting>
  <conditionalFormatting sqref="D88">
    <cfRule type="expression" dxfId="483" priority="55">
      <formula>$D$53=""</formula>
    </cfRule>
  </conditionalFormatting>
  <conditionalFormatting sqref="D91">
    <cfRule type="expression" dxfId="482" priority="126">
      <formula>$D$53=""</formula>
    </cfRule>
  </conditionalFormatting>
  <conditionalFormatting sqref="D123 D124:J124 S124 E126 D129:J129">
    <cfRule type="expression" dxfId="481" priority="259">
      <formula>TxPhase2=""</formula>
    </cfRule>
  </conditionalFormatting>
  <conditionalFormatting sqref="D123:D124">
    <cfRule type="expression" dxfId="480" priority="151">
      <formula>TPCont=0</formula>
    </cfRule>
  </conditionalFormatting>
  <conditionalFormatting sqref="D126">
    <cfRule type="expression" dxfId="479" priority="53">
      <formula>$D$53=""</formula>
    </cfRule>
  </conditionalFormatting>
  <conditionalFormatting sqref="D129">
    <cfRule type="expression" dxfId="478" priority="125">
      <formula>$D$53=""</formula>
    </cfRule>
  </conditionalFormatting>
  <conditionalFormatting sqref="D161 D162:J162 S162 E164 D167:J167">
    <cfRule type="expression" dxfId="477" priority="257">
      <formula>TxPhase2=""</formula>
    </cfRule>
  </conditionalFormatting>
  <conditionalFormatting sqref="D161:D162">
    <cfRule type="expression" dxfId="476" priority="149">
      <formula>TPCont=0</formula>
    </cfRule>
  </conditionalFormatting>
  <conditionalFormatting sqref="D164">
    <cfRule type="expression" dxfId="475" priority="51">
      <formula>$D$53=""</formula>
    </cfRule>
  </conditionalFormatting>
  <conditionalFormatting sqref="D167">
    <cfRule type="expression" dxfId="474" priority="124">
      <formula>$D$53=""</formula>
    </cfRule>
  </conditionalFormatting>
  <conditionalFormatting sqref="D199 D200:J200 S200 E202 D205:J205">
    <cfRule type="expression" dxfId="473" priority="255">
      <formula>TxPhase2=""</formula>
    </cfRule>
  </conditionalFormatting>
  <conditionalFormatting sqref="D199:D200">
    <cfRule type="expression" dxfId="472" priority="147">
      <formula>TPCont=0</formula>
    </cfRule>
  </conditionalFormatting>
  <conditionalFormatting sqref="D202">
    <cfRule type="expression" dxfId="471" priority="49">
      <formula>$D$53=""</formula>
    </cfRule>
  </conditionalFormatting>
  <conditionalFormatting sqref="D205">
    <cfRule type="expression" dxfId="470" priority="146">
      <formula>$D$53=""</formula>
    </cfRule>
  </conditionalFormatting>
  <conditionalFormatting sqref="D237 D238:J238 S238 E240 D243:J243">
    <cfRule type="expression" dxfId="469" priority="241">
      <formula>TxPhase2=""</formula>
    </cfRule>
  </conditionalFormatting>
  <conditionalFormatting sqref="D237:D238">
    <cfRule type="expression" dxfId="468" priority="145">
      <formula>TPCont=0</formula>
    </cfRule>
  </conditionalFormatting>
  <conditionalFormatting sqref="D240">
    <cfRule type="expression" dxfId="467" priority="47">
      <formula>$D$53=""</formula>
    </cfRule>
  </conditionalFormatting>
  <conditionalFormatting sqref="D243">
    <cfRule type="expression" dxfId="466" priority="123">
      <formula>$D$53=""</formula>
    </cfRule>
  </conditionalFormatting>
  <conditionalFormatting sqref="D275 D276:J276 S276 E278 D281:J281">
    <cfRule type="expression" dxfId="465" priority="227">
      <formula>TxPhase2=""</formula>
    </cfRule>
  </conditionalFormatting>
  <conditionalFormatting sqref="D275:D276">
    <cfRule type="expression" dxfId="464" priority="143">
      <formula>TPCont=0</formula>
    </cfRule>
  </conditionalFormatting>
  <conditionalFormatting sqref="D278">
    <cfRule type="expression" dxfId="463" priority="45">
      <formula>$D$53=""</formula>
    </cfRule>
  </conditionalFormatting>
  <conditionalFormatting sqref="D281">
    <cfRule type="expression" dxfId="462" priority="142">
      <formula>$D$53=""</formula>
    </cfRule>
  </conditionalFormatting>
  <conditionalFormatting sqref="D313 D314:J314 S314 E316 D319:J319">
    <cfRule type="expression" dxfId="461" priority="213">
      <formula>TxPhase2=""</formula>
    </cfRule>
  </conditionalFormatting>
  <conditionalFormatting sqref="D313:D314">
    <cfRule type="expression" dxfId="460" priority="141">
      <formula>TPCont=0</formula>
    </cfRule>
  </conditionalFormatting>
  <conditionalFormatting sqref="D316">
    <cfRule type="expression" dxfId="459" priority="43">
      <formula>$D$53=""</formula>
    </cfRule>
  </conditionalFormatting>
  <conditionalFormatting sqref="D319">
    <cfRule type="expression" dxfId="458" priority="122">
      <formula>$D$53=""</formula>
    </cfRule>
  </conditionalFormatting>
  <conditionalFormatting sqref="D351 D352:J352 S352 E354 D357:J357">
    <cfRule type="expression" dxfId="457" priority="199">
      <formula>TxPhase2=""</formula>
    </cfRule>
  </conditionalFormatting>
  <conditionalFormatting sqref="D351:D352">
    <cfRule type="expression" dxfId="456" priority="139">
      <formula>TPCont=0</formula>
    </cfRule>
  </conditionalFormatting>
  <conditionalFormatting sqref="D354">
    <cfRule type="expression" dxfId="455" priority="41">
      <formula>$D$53=""</formula>
    </cfRule>
  </conditionalFormatting>
  <conditionalFormatting sqref="D357">
    <cfRule type="expression" dxfId="454" priority="121">
      <formula>$D$53=""</formula>
    </cfRule>
  </conditionalFormatting>
  <conditionalFormatting sqref="D389 D390:J390 S390 E392 D395:J395">
    <cfRule type="expression" dxfId="453" priority="185">
      <formula>TxPhase2=""</formula>
    </cfRule>
  </conditionalFormatting>
  <conditionalFormatting sqref="D389:D390">
    <cfRule type="expression" dxfId="452" priority="137">
      <formula>TPCont=0</formula>
    </cfRule>
  </conditionalFormatting>
  <conditionalFormatting sqref="D392">
    <cfRule type="expression" dxfId="451" priority="39">
      <formula>$D$53=""</formula>
    </cfRule>
  </conditionalFormatting>
  <conditionalFormatting sqref="D395">
    <cfRule type="expression" dxfId="450" priority="120">
      <formula>$D$53=""</formula>
    </cfRule>
  </conditionalFormatting>
  <conditionalFormatting sqref="D15:J15">
    <cfRule type="expression" dxfId="449" priority="697">
      <formula>#REF!=""</formula>
    </cfRule>
  </conditionalFormatting>
  <conditionalFormatting sqref="E24 G24 S24 E28:J28 D31:J40 S31:S40 E45:J45 S45 E48:J48 S48 E50 E55">
    <cfRule type="expression" dxfId="448" priority="20">
      <formula>PxIncident&lt;&gt;1</formula>
    </cfRule>
  </conditionalFormatting>
  <conditionalFormatting sqref="E62 G62 S62 D69:J78 S69:S78 E83:J83 S83 E86:J86 S86 E88 E93">
    <cfRule type="expression" dxfId="447" priority="18">
      <formula>PxIncident&lt;&gt;1</formula>
    </cfRule>
  </conditionalFormatting>
  <conditionalFormatting sqref="E100 G100 S100 D107:J116 S107:S116 E121:J121 S121 E124:J124 S124 E126 E131">
    <cfRule type="expression" dxfId="446" priority="16">
      <formula>PxIncident&lt;&gt;1</formula>
    </cfRule>
  </conditionalFormatting>
  <conditionalFormatting sqref="E138 G138 S138 D145:J154 S145:S154 E159:J159 S159 E162:J162 S162 E164 E169">
    <cfRule type="expression" dxfId="445" priority="14">
      <formula>PxIncident&lt;&gt;1</formula>
    </cfRule>
  </conditionalFormatting>
  <conditionalFormatting sqref="E176 G176 S176 D183:J192 S183:S192 E197:J197 S197 E200:J200 S200 E202 E207">
    <cfRule type="expression" dxfId="444" priority="12">
      <formula>PxIncident&lt;&gt;1</formula>
    </cfRule>
  </conditionalFormatting>
  <conditionalFormatting sqref="E214 G214 S214 D221:J230 S221:S230 E235:J235 S235 E238:J238 S238 E240 E245">
    <cfRule type="expression" dxfId="443" priority="10">
      <formula>PxIncident&lt;&gt;1</formula>
    </cfRule>
  </conditionalFormatting>
  <conditionalFormatting sqref="E252 G252 S252 D259:J268 S259:S268 E273:J273 S273 E276:J276 S276 E278 E283">
    <cfRule type="expression" dxfId="442" priority="8">
      <formula>PxIncident&lt;&gt;1</formula>
    </cfRule>
  </conditionalFormatting>
  <conditionalFormatting sqref="E290 G290 S290 D297:J306 S297:S306 E311:J311 S311 E314:J314 S314 E316 E321">
    <cfRule type="expression" dxfId="441" priority="6">
      <formula>PxIncident&lt;&gt;1</formula>
    </cfRule>
  </conditionalFormatting>
  <conditionalFormatting sqref="E328 G328 S328 D335:J344 S335:S344 E349:J349 S349 E352:J352 S352 E354 E359">
    <cfRule type="expression" dxfId="440" priority="4">
      <formula>PxIncident&lt;&gt;1</formula>
    </cfRule>
  </conditionalFormatting>
  <conditionalFormatting sqref="E366 G366 S366 D373:J382 S373:S382 E387:J387 S387 E390:J390 S390 E392 E397">
    <cfRule type="expression" dxfId="439" priority="2">
      <formula>PxIncident&lt;&gt;1</formula>
    </cfRule>
  </conditionalFormatting>
  <conditionalFormatting sqref="E31:J40 S31:S40">
    <cfRule type="expression" dxfId="438" priority="308">
      <formula>$D31=""</formula>
    </cfRule>
  </conditionalFormatting>
  <conditionalFormatting sqref="E66:J66">
    <cfRule type="expression" dxfId="437" priority="78">
      <formula>PxIncident&lt;&gt;1</formula>
    </cfRule>
  </conditionalFormatting>
  <conditionalFormatting sqref="E69:J78 S69:S78">
    <cfRule type="expression" dxfId="436" priority="297">
      <formula>$D69=""</formula>
    </cfRule>
  </conditionalFormatting>
  <conditionalFormatting sqref="E104:J104">
    <cfRule type="expression" dxfId="435" priority="77">
      <formula>PxIncident&lt;&gt;1</formula>
    </cfRule>
  </conditionalFormatting>
  <conditionalFormatting sqref="E107:J116 S107:S116">
    <cfRule type="expression" dxfId="434" priority="286">
      <formula>$D107=""</formula>
    </cfRule>
  </conditionalFormatting>
  <conditionalFormatting sqref="E142:J142">
    <cfRule type="expression" dxfId="433" priority="76">
      <formula>PxIncident&lt;&gt;1</formula>
    </cfRule>
  </conditionalFormatting>
  <conditionalFormatting sqref="E145:J154 S145:S154">
    <cfRule type="expression" dxfId="432" priority="275">
      <formula>$D145=""</formula>
    </cfRule>
  </conditionalFormatting>
  <conditionalFormatting sqref="E180:J180">
    <cfRule type="expression" dxfId="431" priority="75">
      <formula>PxIncident&lt;&gt;1</formula>
    </cfRule>
  </conditionalFormatting>
  <conditionalFormatting sqref="E183:J192 S183:S192">
    <cfRule type="expression" dxfId="430" priority="264">
      <formula>$D183=""</formula>
    </cfRule>
  </conditionalFormatting>
  <conditionalFormatting sqref="E218:J218">
    <cfRule type="expression" dxfId="429" priority="74">
      <formula>PxIncident&lt;&gt;1</formula>
    </cfRule>
  </conditionalFormatting>
  <conditionalFormatting sqref="E221:J230 S221:S230">
    <cfRule type="expression" dxfId="428" priority="252">
      <formula>$D221=""</formula>
    </cfRule>
  </conditionalFormatting>
  <conditionalFormatting sqref="E256:J256">
    <cfRule type="expression" dxfId="427" priority="73">
      <formula>PxIncident&lt;&gt;1</formula>
    </cfRule>
  </conditionalFormatting>
  <conditionalFormatting sqref="E259:J268 S259:S268">
    <cfRule type="expression" dxfId="426" priority="238">
      <formula>$D259=""</formula>
    </cfRule>
  </conditionalFormatting>
  <conditionalFormatting sqref="E294:J294">
    <cfRule type="expression" dxfId="425" priority="72">
      <formula>PxIncident&lt;&gt;1</formula>
    </cfRule>
  </conditionalFormatting>
  <conditionalFormatting sqref="E297:J306 S297:S306">
    <cfRule type="expression" dxfId="424" priority="224">
      <formula>$D297=""</formula>
    </cfRule>
  </conditionalFormatting>
  <conditionalFormatting sqref="E332:J332">
    <cfRule type="expression" dxfId="423" priority="71">
      <formula>PxIncident&lt;&gt;1</formula>
    </cfRule>
  </conditionalFormatting>
  <conditionalFormatting sqref="E335:J344 S335:S344">
    <cfRule type="expression" dxfId="422" priority="210">
      <formula>$D335=""</formula>
    </cfRule>
  </conditionalFormatting>
  <conditionalFormatting sqref="E370:J370">
    <cfRule type="expression" dxfId="421" priority="70">
      <formula>PxIncident&lt;&gt;1</formula>
    </cfRule>
  </conditionalFormatting>
  <conditionalFormatting sqref="E373:J382 S373:S382">
    <cfRule type="expression" dxfId="420" priority="196">
      <formula>$D373=""</formula>
    </cfRule>
  </conditionalFormatting>
  <conditionalFormatting sqref="F167:J167">
    <cfRule type="expression" dxfId="419" priority="35">
      <formula>$D$53=""</formula>
    </cfRule>
  </conditionalFormatting>
  <conditionalFormatting sqref="S24">
    <cfRule type="expression" dxfId="418" priority="183">
      <formula>G24=""</formula>
    </cfRule>
  </conditionalFormatting>
  <conditionalFormatting sqref="S26">
    <cfRule type="notContainsBlanks" dxfId="417" priority="97">
      <formula>LEN(TRIM(S26))&gt;0</formula>
    </cfRule>
  </conditionalFormatting>
  <conditionalFormatting sqref="S62">
    <cfRule type="expression" dxfId="416" priority="181">
      <formula>G62=""</formula>
    </cfRule>
  </conditionalFormatting>
  <conditionalFormatting sqref="S64">
    <cfRule type="notContainsBlanks" dxfId="415" priority="66">
      <formula>LEN(TRIM(S64))&gt;0</formula>
    </cfRule>
  </conditionalFormatting>
  <conditionalFormatting sqref="S100">
    <cfRule type="expression" dxfId="414" priority="179">
      <formula>G100=""</formula>
    </cfRule>
  </conditionalFormatting>
  <conditionalFormatting sqref="S102">
    <cfRule type="notContainsBlanks" dxfId="413" priority="28">
      <formula>LEN(TRIM(S102))&gt;0</formula>
    </cfRule>
  </conditionalFormatting>
  <conditionalFormatting sqref="S138">
    <cfRule type="expression" dxfId="412" priority="177">
      <formula>G138=""</formula>
    </cfRule>
  </conditionalFormatting>
  <conditionalFormatting sqref="S140">
    <cfRule type="notContainsBlanks" dxfId="411" priority="27">
      <formula>LEN(TRIM(S140))&gt;0</formula>
    </cfRule>
  </conditionalFormatting>
  <conditionalFormatting sqref="S176">
    <cfRule type="expression" dxfId="410" priority="175">
      <formula>G176=""</formula>
    </cfRule>
  </conditionalFormatting>
  <conditionalFormatting sqref="S178">
    <cfRule type="notContainsBlanks" dxfId="409" priority="26">
      <formula>LEN(TRIM(S178))&gt;0</formula>
    </cfRule>
  </conditionalFormatting>
  <conditionalFormatting sqref="S214">
    <cfRule type="expression" dxfId="408" priority="173">
      <formula>G214=""</formula>
    </cfRule>
  </conditionalFormatting>
  <conditionalFormatting sqref="S216">
    <cfRule type="notContainsBlanks" dxfId="407" priority="25">
      <formula>LEN(TRIM(S216))&gt;0</formula>
    </cfRule>
  </conditionalFormatting>
  <conditionalFormatting sqref="S252">
    <cfRule type="expression" dxfId="406" priority="171">
      <formula>G252=""</formula>
    </cfRule>
  </conditionalFormatting>
  <conditionalFormatting sqref="S254">
    <cfRule type="notContainsBlanks" dxfId="405" priority="24">
      <formula>LEN(TRIM(S254))&gt;0</formula>
    </cfRule>
  </conditionalFormatting>
  <conditionalFormatting sqref="S290">
    <cfRule type="expression" dxfId="404" priority="169">
      <formula>G290=""</formula>
    </cfRule>
  </conditionalFormatting>
  <conditionalFormatting sqref="S292">
    <cfRule type="notContainsBlanks" dxfId="403" priority="23">
      <formula>LEN(TRIM(S292))&gt;0</formula>
    </cfRule>
  </conditionalFormatting>
  <conditionalFormatting sqref="S328">
    <cfRule type="expression" dxfId="402" priority="167">
      <formula>G328=""</formula>
    </cfRule>
  </conditionalFormatting>
  <conditionalFormatting sqref="S330">
    <cfRule type="notContainsBlanks" dxfId="401" priority="22">
      <formula>LEN(TRIM(S330))&gt;0</formula>
    </cfRule>
  </conditionalFormatting>
  <conditionalFormatting sqref="S366">
    <cfRule type="expression" dxfId="400" priority="165">
      <formula>G366=""</formula>
    </cfRule>
  </conditionalFormatting>
  <conditionalFormatting sqref="S368">
    <cfRule type="notContainsBlanks" dxfId="399" priority="21">
      <formula>LEN(TRIM(S368))&gt;0</formula>
    </cfRule>
  </conditionalFormatting>
  <dataValidations count="13">
    <dataValidation type="list" allowBlank="1" showInputMessage="1" showErrorMessage="1" sqref="G138:J138" xr:uid="{00000000-0002-0000-0200-000000000000}">
      <formula1>IPops04</formula1>
    </dataValidation>
    <dataValidation type="list" allowBlank="1" showInputMessage="1" showErrorMessage="1" sqref="G100:J100" xr:uid="{00000000-0002-0000-0200-000001000000}">
      <formula1>IPops03</formula1>
    </dataValidation>
    <dataValidation type="list" allowBlank="1" showInputMessage="1" showErrorMessage="1" sqref="G62:J62" xr:uid="{00000000-0002-0000-0200-000002000000}">
      <formula1>IPops02</formula1>
    </dataValidation>
    <dataValidation type="list" allowBlank="1" showInputMessage="1" showErrorMessage="1" sqref="E24 E62 E100 E138 E176 E214 E252 E290 E328 E366" xr:uid="{00000000-0002-0000-0200-000003000000}">
      <formula1>EPISource</formula1>
    </dataValidation>
    <dataValidation type="list" allowBlank="1" showInputMessage="1" showErrorMessage="1" sqref="G176:J176" xr:uid="{00000000-0002-0000-0200-000004000000}">
      <formula1>IPops05</formula1>
    </dataValidation>
    <dataValidation type="list" allowBlank="1" showInputMessage="1" showErrorMessage="1" sqref="G366:J366" xr:uid="{00000000-0002-0000-0200-000005000000}">
      <formula1>IPops10</formula1>
    </dataValidation>
    <dataValidation type="list" allowBlank="1" showInputMessage="1" showErrorMessage="1" sqref="G328:J328" xr:uid="{00000000-0002-0000-0200-000006000000}">
      <formula1>IPops09</formula1>
    </dataValidation>
    <dataValidation type="list" allowBlank="1" showInputMessage="1" showErrorMessage="1" sqref="G290:J290" xr:uid="{00000000-0002-0000-0200-000007000000}">
      <formula1>IPops08</formula1>
    </dataValidation>
    <dataValidation type="list" allowBlank="1" showInputMessage="1" showErrorMessage="1" sqref="G214:J214" xr:uid="{00000000-0002-0000-0200-000008000000}">
      <formula1>IPops06</formula1>
    </dataValidation>
    <dataValidation type="list" allowBlank="1" showInputMessage="1" showErrorMessage="1" sqref="G252:J252" xr:uid="{00000000-0002-0000-0200-000009000000}">
      <formula1>IPops07</formula1>
    </dataValidation>
    <dataValidation type="list" allowBlank="1" showInputMessage="1" showErrorMessage="1" sqref="G24:J24" xr:uid="{00000000-0002-0000-0200-00000A000000}">
      <formula1>IPops01</formula1>
    </dataValidation>
    <dataValidation type="list" allowBlank="1" showInputMessage="1" showErrorMessage="1" sqref="E397 E93 E131 E169 E207 E245 E283 E321 E359 E55" xr:uid="{00000000-0002-0000-0200-00000B000000}">
      <formula1>CoPayBands</formula1>
    </dataValidation>
    <dataValidation type="list" allowBlank="1" showInputMessage="1" showErrorMessage="1" sqref="E50 E88 E126 E164 E202 E240 E278 E316 E354 E392" xr:uid="{00000000-0002-0000-0200-00000C000000}">
      <formula1>TxPhase2Source</formula1>
    </dataValidation>
  </dataValidations>
  <pageMargins left="0.11811023622047245" right="0.11811023622047245" top="0.19685039370078741" bottom="0.15748031496062992" header="0.31496062992125984" footer="0.31496062992125984"/>
  <pageSetup paperSize="9" scale="66" orientation="landscape" horizontalDpi="300" verticalDpi="300" r:id="rId1"/>
  <headerFooter>
    <oddHeader>&amp;C&amp;"Calibri"&amp;12&amp;KFF0000 OFFICIAL&amp;1#_x000D_</oddHeader>
    <oddFooter>&amp;C_x000D_&amp;1#&amp;"Calibri"&amp;12&amp;KFF0000 OFFICIAL</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3">
    <tabColor theme="6"/>
    <pageSetUpPr fitToPage="1"/>
  </sheetPr>
  <dimension ref="A1:S411"/>
  <sheetViews>
    <sheetView showGridLines="0" zoomScaleNormal="100" workbookViewId="0">
      <pane ySplit="3" topLeftCell="A4" activePane="bottomLeft" state="frozen"/>
      <selection activeCell="B7" sqref="B7:G7"/>
      <selection pane="bottomLeft" activeCell="A4" sqref="A4"/>
    </sheetView>
  </sheetViews>
  <sheetFormatPr defaultRowHeight="12.75" outlineLevelRow="1" x14ac:dyDescent="0.2"/>
  <cols>
    <col min="1" max="1" width="3.7109375" customWidth="1"/>
    <col min="2" max="3" width="3.7109375" hidden="1" customWidth="1"/>
    <col min="4" max="4" width="45.7109375" customWidth="1"/>
    <col min="5" max="10" width="15.7109375" customWidth="1"/>
    <col min="11" max="11" width="3.7109375" hidden="1" customWidth="1"/>
    <col min="12" max="17" width="12.7109375" hidden="1" customWidth="1"/>
    <col min="18" max="18" width="3.7109375" customWidth="1"/>
    <col min="19" max="19" width="75.7109375" customWidth="1"/>
    <col min="20" max="20" width="3.7109375" customWidth="1"/>
    <col min="21" max="23" width="9.140625" customWidth="1"/>
  </cols>
  <sheetData>
    <row r="1" spans="1:19" ht="23.25" x14ac:dyDescent="0.2">
      <c r="A1" s="97">
        <f>IF((SUM(E14:J14)+SUM(E15:J15)&lt;&gt;0),2,0)</f>
        <v>0</v>
      </c>
      <c r="B1" s="97"/>
      <c r="C1" s="97"/>
      <c r="D1" s="106" t="s">
        <v>316</v>
      </c>
      <c r="E1" s="107"/>
      <c r="F1" s="107"/>
      <c r="G1" s="107"/>
      <c r="H1" s="107"/>
      <c r="I1" s="583"/>
      <c r="J1" s="583"/>
      <c r="K1" s="107"/>
      <c r="L1" s="107"/>
      <c r="M1" s="107"/>
      <c r="N1" s="107"/>
      <c r="O1" s="107"/>
      <c r="P1" s="107"/>
      <c r="Q1" s="107"/>
      <c r="R1" s="108"/>
      <c r="S1" s="109" t="str">
        <f>IF(PxPrevalent&lt;&gt;1,MsgNotRequired,"")</f>
        <v>** NOT REQUIRED **</v>
      </c>
    </row>
    <row r="2" spans="1:19" ht="15.75" x14ac:dyDescent="0.2">
      <c r="A2" s="107"/>
      <c r="B2" s="107"/>
      <c r="C2" s="107"/>
      <c r="D2" s="100" t="str">
        <f>CONCATENATE("Name of medicine: ",MedicineBrand)</f>
        <v xml:space="preserve">Name of medicine: </v>
      </c>
      <c r="E2" s="107"/>
      <c r="F2" s="107"/>
      <c r="G2" s="107"/>
      <c r="H2" s="107"/>
      <c r="I2" s="107"/>
      <c r="J2" s="107"/>
      <c r="K2" s="107"/>
      <c r="L2" s="107"/>
      <c r="M2" s="107"/>
      <c r="N2" s="107"/>
      <c r="O2" s="107"/>
      <c r="P2" s="107"/>
      <c r="Q2" s="107"/>
      <c r="R2" s="108"/>
      <c r="S2" s="108"/>
    </row>
    <row r="3" spans="1:19" ht="15.75" x14ac:dyDescent="0.2">
      <c r="A3" s="107"/>
      <c r="B3" s="107"/>
      <c r="C3" s="107"/>
      <c r="D3" s="100" t="str">
        <f>CONCATENATE("Indication: ", Indication)</f>
        <v xml:space="preserve">Indication: </v>
      </c>
      <c r="E3" s="107"/>
      <c r="F3" s="107"/>
      <c r="G3" s="107"/>
      <c r="H3" s="107"/>
      <c r="I3" s="107"/>
      <c r="J3" s="107"/>
      <c r="K3" s="107"/>
      <c r="L3" s="107"/>
      <c r="M3" s="107"/>
      <c r="N3" s="107"/>
      <c r="O3" s="107"/>
      <c r="P3" s="107"/>
      <c r="Q3" s="107"/>
      <c r="R3" s="108"/>
      <c r="S3" s="108"/>
    </row>
    <row r="5" spans="1:19" ht="15.75" x14ac:dyDescent="0.2">
      <c r="A5" s="110"/>
      <c r="B5" s="110"/>
      <c r="C5" s="110"/>
      <c r="D5" s="111" t="s">
        <v>2</v>
      </c>
      <c r="E5" s="21"/>
      <c r="F5" s="21"/>
      <c r="G5" s="21"/>
      <c r="H5" s="21"/>
      <c r="I5" s="21"/>
      <c r="J5" s="21"/>
      <c r="K5" s="21"/>
      <c r="L5" s="21"/>
      <c r="M5" s="21"/>
      <c r="N5" s="21"/>
      <c r="O5" s="21"/>
      <c r="P5" s="21"/>
      <c r="Q5" s="21"/>
      <c r="R5" s="21"/>
      <c r="S5" s="21"/>
    </row>
    <row r="7" spans="1:19" x14ac:dyDescent="0.2">
      <c r="D7" t="s">
        <v>828</v>
      </c>
    </row>
    <row r="9" spans="1:19" ht="15.75" x14ac:dyDescent="0.2">
      <c r="D9" s="111" t="s">
        <v>846</v>
      </c>
      <c r="E9" s="112"/>
      <c r="F9" s="112"/>
      <c r="G9" s="112"/>
      <c r="H9" s="112"/>
      <c r="I9" s="112"/>
      <c r="J9" s="113"/>
      <c r="K9" s="21"/>
      <c r="L9" s="21"/>
      <c r="M9" s="21"/>
      <c r="N9" s="21"/>
      <c r="O9" s="21"/>
      <c r="P9" s="21"/>
      <c r="Q9" s="21"/>
      <c r="R9" s="21"/>
      <c r="S9" s="21"/>
    </row>
    <row r="11" spans="1:19" x14ac:dyDescent="0.2">
      <c r="D11" t="s">
        <v>969</v>
      </c>
    </row>
    <row r="12" spans="1:19" x14ac:dyDescent="0.2">
      <c r="D12" s="357"/>
    </row>
    <row r="13" spans="1:19" x14ac:dyDescent="0.2">
      <c r="D13" s="357"/>
      <c r="E13" s="74">
        <f>FirstYear</f>
        <v>2026</v>
      </c>
      <c r="F13" s="74">
        <f>E13+1</f>
        <v>2027</v>
      </c>
      <c r="G13" s="74">
        <f>F13+1</f>
        <v>2028</v>
      </c>
      <c r="H13" s="74">
        <f>G13+1</f>
        <v>2029</v>
      </c>
      <c r="I13" s="74">
        <f>H13+1</f>
        <v>2030</v>
      </c>
      <c r="J13" s="74">
        <f>I13+1</f>
        <v>2031</v>
      </c>
      <c r="N13" s="119"/>
    </row>
    <row r="14" spans="1:19" x14ac:dyDescent="0.2">
      <c r="D14" s="53" t="str">
        <f>TxPhase1PxTotal</f>
        <v/>
      </c>
      <c r="E14" s="27">
        <f t="shared" ref="E14:J14" si="0">IF(OR(ScriptSourceCode=1,ScriptSourceCode=3),E52+E90+E128+E166+E204+E242+E280+E318+E356+E394,0)</f>
        <v>0</v>
      </c>
      <c r="F14" s="27">
        <f t="shared" si="0"/>
        <v>0</v>
      </c>
      <c r="G14" s="27">
        <f t="shared" si="0"/>
        <v>0</v>
      </c>
      <c r="H14" s="27">
        <f t="shared" si="0"/>
        <v>0</v>
      </c>
      <c r="I14" s="27">
        <f t="shared" si="0"/>
        <v>0</v>
      </c>
      <c r="J14" s="27">
        <f t="shared" si="0"/>
        <v>0</v>
      </c>
      <c r="N14" s="119"/>
    </row>
    <row r="15" spans="1:19" x14ac:dyDescent="0.2">
      <c r="D15" s="53" t="str">
        <f>TxPhase2PxTotal</f>
        <v/>
      </c>
      <c r="E15" s="27">
        <f t="shared" ref="E15:J15" si="1">IF(OR(ScriptSourceCode=1,ScriptSourceCode=3),IF(TPCont&gt;0,E53+E91+E129+E167+E205+E243+E281+E319+E357+E395,0),0)</f>
        <v>0</v>
      </c>
      <c r="F15" s="27">
        <f t="shared" si="1"/>
        <v>0</v>
      </c>
      <c r="G15" s="27">
        <f t="shared" si="1"/>
        <v>0</v>
      </c>
      <c r="H15" s="27">
        <f t="shared" si="1"/>
        <v>0</v>
      </c>
      <c r="I15" s="27">
        <f t="shared" si="1"/>
        <v>0</v>
      </c>
      <c r="J15" s="27">
        <f t="shared" si="1"/>
        <v>0</v>
      </c>
      <c r="L15" s="114"/>
      <c r="M15" s="114"/>
      <c r="N15" s="114"/>
      <c r="O15" s="114"/>
      <c r="P15" s="114"/>
      <c r="Q15" s="114"/>
    </row>
    <row r="16" spans="1:19" x14ac:dyDescent="0.2">
      <c r="E16" s="496"/>
      <c r="F16" s="496"/>
      <c r="G16" s="496"/>
      <c r="H16" s="496"/>
      <c r="I16" s="496"/>
      <c r="J16" s="496"/>
    </row>
    <row r="18" spans="1:19" ht="15.75" x14ac:dyDescent="0.2">
      <c r="A18" s="22"/>
      <c r="B18" s="22"/>
      <c r="C18" s="22"/>
      <c r="D18" s="111" t="s">
        <v>902</v>
      </c>
      <c r="E18" s="116"/>
      <c r="F18" s="116"/>
      <c r="G18" s="116"/>
      <c r="H18" s="116"/>
      <c r="I18" s="117"/>
      <c r="J18" s="117"/>
      <c r="K18" s="117"/>
      <c r="L18" s="117"/>
      <c r="M18" s="117"/>
      <c r="N18" s="117"/>
      <c r="O18" s="117"/>
      <c r="P18" s="117"/>
      <c r="Q18" s="117"/>
      <c r="R18" s="117"/>
      <c r="S18" s="117"/>
    </row>
    <row r="20" spans="1:19" ht="15.75" x14ac:dyDescent="0.2">
      <c r="C20" s="396">
        <v>1</v>
      </c>
      <c r="D20" s="72" t="str">
        <f>IF(E24&lt;&gt;"",CONCATENATE("Prevalent ",C20,": ",G24,L20),MsgNotUsed)</f>
        <v>** NOT USED **</v>
      </c>
      <c r="E20" s="116"/>
      <c r="F20" s="116"/>
      <c r="G20" s="116"/>
      <c r="H20" s="116"/>
      <c r="I20" s="118"/>
      <c r="J20" s="112"/>
      <c r="K20" s="117"/>
      <c r="L20" s="266" t="str">
        <f>IF(S24&lt;&gt;"",CONCATENATE(" (",S24,")"),"")</f>
        <v/>
      </c>
      <c r="M20" s="117"/>
      <c r="N20" s="117"/>
      <c r="O20" s="117"/>
      <c r="P20" s="117"/>
      <c r="Q20" s="117"/>
      <c r="R20" s="117"/>
      <c r="S20" s="117"/>
    </row>
    <row r="21" spans="1:19" hidden="1" outlineLevel="1" x14ac:dyDescent="0.2">
      <c r="D21" s="260"/>
    </row>
    <row r="22" spans="1:19" hidden="1" outlineLevel="1" x14ac:dyDescent="0.2">
      <c r="D22" t="s">
        <v>827</v>
      </c>
    </row>
    <row r="23" spans="1:19" hidden="1" outlineLevel="1" x14ac:dyDescent="0.2">
      <c r="D23" s="260"/>
      <c r="S23" s="31" t="s">
        <v>414</v>
      </c>
    </row>
    <row r="24" spans="1:19" hidden="1" outlineLevel="1" x14ac:dyDescent="0.2">
      <c r="A24" s="114"/>
      <c r="B24" s="246">
        <f>IF(E24&lt;&gt;"",MATCH(E24,EPISource,0)-1,0)</f>
        <v>0</v>
      </c>
      <c r="C24" s="246">
        <f ca="1">IF(G24&lt;&gt;"",MATCH(G24,OFFSET(References!$AE$7,0,B24,PxPopMaxCount),0),0)</f>
        <v>0</v>
      </c>
      <c r="D24" s="8" t="s">
        <v>110</v>
      </c>
      <c r="E24" s="230"/>
      <c r="F24" s="119"/>
      <c r="G24" s="580"/>
      <c r="H24" s="581"/>
      <c r="I24" s="581"/>
      <c r="J24" s="581"/>
      <c r="S24" s="234"/>
    </row>
    <row r="25" spans="1:19" hidden="1" outlineLevel="1" x14ac:dyDescent="0.2">
      <c r="A25" s="114"/>
      <c r="B25" s="246">
        <f>INDEX(PxPopValid,,B24+1)</f>
        <v>0</v>
      </c>
      <c r="C25" s="246">
        <f ca="1">(B24*PxPopMaxCount)+C24</f>
        <v>0</v>
      </c>
      <c r="E25" s="319">
        <v>1</v>
      </c>
      <c r="F25" s="319">
        <v>2</v>
      </c>
      <c r="G25" s="319">
        <v>3</v>
      </c>
      <c r="H25" s="319">
        <v>4</v>
      </c>
      <c r="I25" s="319">
        <v>5</v>
      </c>
      <c r="J25" s="319">
        <v>6</v>
      </c>
    </row>
    <row r="26" spans="1:19" hidden="1" outlineLevel="1" x14ac:dyDescent="0.2">
      <c r="A26" s="114"/>
      <c r="B26" s="114"/>
      <c r="C26" s="114"/>
      <c r="D26" s="260"/>
      <c r="E26" s="582" t="s">
        <v>10</v>
      </c>
      <c r="F26" s="582"/>
      <c r="G26" s="582"/>
      <c r="H26" s="582"/>
      <c r="I26" s="582"/>
      <c r="J26" s="582"/>
      <c r="S26" s="444" t="str">
        <f ca="1">IF(ISERROR($C25)=TRUE,MsgError&amp;VLOOKUP("BadPop",ErrorMessages,2,FALSE),IF(RIGHT(G24,11)="(Incidence)",MsgError&amp;VLOOKUP("BadIncPop",ErrorMessages,2,FALSE),""))</f>
        <v/>
      </c>
    </row>
    <row r="27" spans="1:19" hidden="1" outlineLevel="1" x14ac:dyDescent="0.2">
      <c r="A27" s="114"/>
      <c r="B27" s="114"/>
      <c r="C27" s="114"/>
      <c r="D27" s="260"/>
      <c r="E27" s="74">
        <f>FirstYear</f>
        <v>2026</v>
      </c>
      <c r="F27" s="74">
        <f>E27+1</f>
        <v>2027</v>
      </c>
      <c r="G27" s="74">
        <f>F27+1</f>
        <v>2028</v>
      </c>
      <c r="H27" s="74">
        <f>G27+1</f>
        <v>2029</v>
      </c>
      <c r="I27" s="74">
        <f>H27+1</f>
        <v>2030</v>
      </c>
      <c r="J27" s="74">
        <f>I27+1</f>
        <v>2031</v>
      </c>
    </row>
    <row r="28" spans="1:19" hidden="1" outlineLevel="1" x14ac:dyDescent="0.2">
      <c r="D28" s="499" t="s">
        <v>89</v>
      </c>
      <c r="E28" s="120">
        <f t="shared" ref="E28:J28" ca="1" si="2">IF(AND(ISERROR($C25)&lt;&gt;TRUE,$G24&lt;&gt;""),INDEX(PxPopNumbers,$C25,E25),0)</f>
        <v>0</v>
      </c>
      <c r="F28" s="120">
        <f t="shared" ca="1" si="2"/>
        <v>0</v>
      </c>
      <c r="G28" s="120">
        <f t="shared" ca="1" si="2"/>
        <v>0</v>
      </c>
      <c r="H28" s="120">
        <f t="shared" ca="1" si="2"/>
        <v>0</v>
      </c>
      <c r="I28" s="120">
        <f t="shared" ca="1" si="2"/>
        <v>0</v>
      </c>
      <c r="J28" s="120">
        <f t="shared" ca="1" si="2"/>
        <v>0</v>
      </c>
      <c r="R28" s="260"/>
    </row>
    <row r="29" spans="1:19" hidden="1" outlineLevel="1" x14ac:dyDescent="0.2"/>
    <row r="30" spans="1:19" hidden="1" outlineLevel="1" x14ac:dyDescent="0.2">
      <c r="D30" s="498" t="s">
        <v>196</v>
      </c>
      <c r="S30" s="31" t="s">
        <v>249</v>
      </c>
    </row>
    <row r="31" spans="1:19" hidden="1" outlineLevel="1" x14ac:dyDescent="0.2">
      <c r="D31" s="206"/>
      <c r="E31" s="329"/>
      <c r="F31" s="329"/>
      <c r="G31" s="329"/>
      <c r="H31" s="329"/>
      <c r="I31" s="329"/>
      <c r="J31" s="329"/>
      <c r="L31" s="40">
        <f t="shared" ref="L31:Q31" si="3">IF(E31="",1,E31)</f>
        <v>1</v>
      </c>
      <c r="M31" s="40">
        <f t="shared" si="3"/>
        <v>1</v>
      </c>
      <c r="N31" s="40">
        <f t="shared" si="3"/>
        <v>1</v>
      </c>
      <c r="O31" s="40">
        <f t="shared" si="3"/>
        <v>1</v>
      </c>
      <c r="P31" s="40">
        <f t="shared" si="3"/>
        <v>1</v>
      </c>
      <c r="Q31" s="40">
        <f t="shared" si="3"/>
        <v>1</v>
      </c>
      <c r="S31" s="206"/>
    </row>
    <row r="32" spans="1:19" hidden="1" outlineLevel="1" x14ac:dyDescent="0.2">
      <c r="D32" s="206"/>
      <c r="E32" s="329"/>
      <c r="F32" s="329"/>
      <c r="G32" s="329"/>
      <c r="H32" s="329"/>
      <c r="I32" s="329"/>
      <c r="J32" s="329"/>
      <c r="L32" s="40">
        <f t="shared" ref="L32:L39" si="4">IF(E32="",1,E32)</f>
        <v>1</v>
      </c>
      <c r="M32" s="40">
        <f t="shared" ref="M32:M40" si="5">IF(F32="",1,F32)</f>
        <v>1</v>
      </c>
      <c r="N32" s="40">
        <f t="shared" ref="N32:N40" si="6">IF(G32="",1,G32)</f>
        <v>1</v>
      </c>
      <c r="O32" s="40">
        <f t="shared" ref="O32:O40" si="7">IF(H32="",1,H32)</f>
        <v>1</v>
      </c>
      <c r="P32" s="40">
        <f t="shared" ref="P32:P40" si="8">IF(I32="",1,I32)</f>
        <v>1</v>
      </c>
      <c r="Q32" s="40">
        <f t="shared" ref="Q32:Q40" si="9">IF(J32="",1,J32)</f>
        <v>1</v>
      </c>
      <c r="S32" s="206"/>
    </row>
    <row r="33" spans="4:19" hidden="1" outlineLevel="1" x14ac:dyDescent="0.2">
      <c r="D33" s="206"/>
      <c r="E33" s="329"/>
      <c r="F33" s="329"/>
      <c r="G33" s="329"/>
      <c r="H33" s="329"/>
      <c r="I33" s="329"/>
      <c r="J33" s="329"/>
      <c r="L33" s="40">
        <f t="shared" si="4"/>
        <v>1</v>
      </c>
      <c r="M33" s="40">
        <f t="shared" si="5"/>
        <v>1</v>
      </c>
      <c r="N33" s="40">
        <f t="shared" si="6"/>
        <v>1</v>
      </c>
      <c r="O33" s="40">
        <f t="shared" si="7"/>
        <v>1</v>
      </c>
      <c r="P33" s="40">
        <f t="shared" si="8"/>
        <v>1</v>
      </c>
      <c r="Q33" s="40">
        <f t="shared" si="9"/>
        <v>1</v>
      </c>
      <c r="S33" s="206"/>
    </row>
    <row r="34" spans="4:19" hidden="1" outlineLevel="1" x14ac:dyDescent="0.2">
      <c r="D34" s="206"/>
      <c r="E34" s="329"/>
      <c r="F34" s="329"/>
      <c r="G34" s="329"/>
      <c r="H34" s="329"/>
      <c r="I34" s="329"/>
      <c r="J34" s="329"/>
      <c r="L34" s="40">
        <f t="shared" si="4"/>
        <v>1</v>
      </c>
      <c r="M34" s="40">
        <f t="shared" si="5"/>
        <v>1</v>
      </c>
      <c r="N34" s="40">
        <f t="shared" si="6"/>
        <v>1</v>
      </c>
      <c r="O34" s="40">
        <f t="shared" si="7"/>
        <v>1</v>
      </c>
      <c r="P34" s="40">
        <f t="shared" si="8"/>
        <v>1</v>
      </c>
      <c r="Q34" s="40">
        <f t="shared" si="9"/>
        <v>1</v>
      </c>
      <c r="S34" s="206"/>
    </row>
    <row r="35" spans="4:19" hidden="1" outlineLevel="1" x14ac:dyDescent="0.2">
      <c r="D35" s="206"/>
      <c r="E35" s="329"/>
      <c r="F35" s="329"/>
      <c r="G35" s="329"/>
      <c r="H35" s="329"/>
      <c r="I35" s="329"/>
      <c r="J35" s="329"/>
      <c r="L35" s="40">
        <f t="shared" si="4"/>
        <v>1</v>
      </c>
      <c r="M35" s="40">
        <f t="shared" si="5"/>
        <v>1</v>
      </c>
      <c r="N35" s="40">
        <f t="shared" si="6"/>
        <v>1</v>
      </c>
      <c r="O35" s="40">
        <f t="shared" si="7"/>
        <v>1</v>
      </c>
      <c r="P35" s="40">
        <f t="shared" si="8"/>
        <v>1</v>
      </c>
      <c r="Q35" s="40">
        <f t="shared" si="9"/>
        <v>1</v>
      </c>
      <c r="S35" s="206"/>
    </row>
    <row r="36" spans="4:19" hidden="1" outlineLevel="1" x14ac:dyDescent="0.2">
      <c r="D36" s="206"/>
      <c r="E36" s="329"/>
      <c r="F36" s="329"/>
      <c r="G36" s="329"/>
      <c r="H36" s="329"/>
      <c r="I36" s="329"/>
      <c r="J36" s="329"/>
      <c r="L36" s="40">
        <f t="shared" si="4"/>
        <v>1</v>
      </c>
      <c r="M36" s="40">
        <f t="shared" si="5"/>
        <v>1</v>
      </c>
      <c r="N36" s="40">
        <f t="shared" si="6"/>
        <v>1</v>
      </c>
      <c r="O36" s="40">
        <f t="shared" si="7"/>
        <v>1</v>
      </c>
      <c r="P36" s="40">
        <f t="shared" si="8"/>
        <v>1</v>
      </c>
      <c r="Q36" s="40">
        <f t="shared" si="9"/>
        <v>1</v>
      </c>
      <c r="S36" s="206"/>
    </row>
    <row r="37" spans="4:19" hidden="1" outlineLevel="1" x14ac:dyDescent="0.2">
      <c r="D37" s="206"/>
      <c r="E37" s="329"/>
      <c r="F37" s="329"/>
      <c r="G37" s="329"/>
      <c r="H37" s="329"/>
      <c r="I37" s="329"/>
      <c r="J37" s="329"/>
      <c r="L37" s="40">
        <f t="shared" si="4"/>
        <v>1</v>
      </c>
      <c r="M37" s="40">
        <f t="shared" si="5"/>
        <v>1</v>
      </c>
      <c r="N37" s="40">
        <f t="shared" si="6"/>
        <v>1</v>
      </c>
      <c r="O37" s="40">
        <f t="shared" si="7"/>
        <v>1</v>
      </c>
      <c r="P37" s="40">
        <f t="shared" si="8"/>
        <v>1</v>
      </c>
      <c r="Q37" s="40">
        <f t="shared" si="9"/>
        <v>1</v>
      </c>
      <c r="S37" s="206"/>
    </row>
    <row r="38" spans="4:19" hidden="1" outlineLevel="1" x14ac:dyDescent="0.2">
      <c r="D38" s="206"/>
      <c r="E38" s="329"/>
      <c r="F38" s="329"/>
      <c r="G38" s="329"/>
      <c r="H38" s="329"/>
      <c r="I38" s="329"/>
      <c r="J38" s="329"/>
      <c r="L38" s="40">
        <f t="shared" si="4"/>
        <v>1</v>
      </c>
      <c r="M38" s="40">
        <f t="shared" si="5"/>
        <v>1</v>
      </c>
      <c r="N38" s="40">
        <f t="shared" si="6"/>
        <v>1</v>
      </c>
      <c r="O38" s="40">
        <f t="shared" si="7"/>
        <v>1</v>
      </c>
      <c r="P38" s="40">
        <f t="shared" si="8"/>
        <v>1</v>
      </c>
      <c r="Q38" s="40">
        <f t="shared" si="9"/>
        <v>1</v>
      </c>
      <c r="S38" s="206"/>
    </row>
    <row r="39" spans="4:19" hidden="1" outlineLevel="1" x14ac:dyDescent="0.2">
      <c r="D39" s="206"/>
      <c r="E39" s="329"/>
      <c r="F39" s="329"/>
      <c r="G39" s="329"/>
      <c r="H39" s="329"/>
      <c r="I39" s="329"/>
      <c r="J39" s="329"/>
      <c r="L39" s="40">
        <f t="shared" si="4"/>
        <v>1</v>
      </c>
      <c r="M39" s="40">
        <f t="shared" si="5"/>
        <v>1</v>
      </c>
      <c r="N39" s="40">
        <f t="shared" si="6"/>
        <v>1</v>
      </c>
      <c r="O39" s="40">
        <f t="shared" si="7"/>
        <v>1</v>
      </c>
      <c r="P39" s="40">
        <f t="shared" si="8"/>
        <v>1</v>
      </c>
      <c r="Q39" s="40">
        <f t="shared" si="9"/>
        <v>1</v>
      </c>
      <c r="S39" s="206"/>
    </row>
    <row r="40" spans="4:19" hidden="1" outlineLevel="1" x14ac:dyDescent="0.2">
      <c r="D40" s="206"/>
      <c r="E40" s="329"/>
      <c r="F40" s="329"/>
      <c r="G40" s="329"/>
      <c r="H40" s="329"/>
      <c r="I40" s="329"/>
      <c r="J40" s="329"/>
      <c r="L40" s="40">
        <f>IF(E40="",1,E40)</f>
        <v>1</v>
      </c>
      <c r="M40" s="40">
        <f t="shared" si="5"/>
        <v>1</v>
      </c>
      <c r="N40" s="40">
        <f t="shared" si="6"/>
        <v>1</v>
      </c>
      <c r="O40" s="40">
        <f t="shared" si="7"/>
        <v>1</v>
      </c>
      <c r="P40" s="40">
        <f t="shared" si="8"/>
        <v>1</v>
      </c>
      <c r="Q40" s="40">
        <f t="shared" si="9"/>
        <v>1</v>
      </c>
      <c r="S40" s="206"/>
    </row>
    <row r="41" spans="4:19" hidden="1" outlineLevel="1" x14ac:dyDescent="0.2">
      <c r="D41" s="20" t="s">
        <v>204</v>
      </c>
      <c r="E41" s="331">
        <f t="shared" ref="E41:J41" si="10">L31*L32*L33*L34*L40*L35*L36*L37*L38*L39</f>
        <v>1</v>
      </c>
      <c r="F41" s="331">
        <f t="shared" si="10"/>
        <v>1</v>
      </c>
      <c r="G41" s="331">
        <f t="shared" si="10"/>
        <v>1</v>
      </c>
      <c r="H41" s="331">
        <f t="shared" si="10"/>
        <v>1</v>
      </c>
      <c r="I41" s="331">
        <f t="shared" si="10"/>
        <v>1</v>
      </c>
      <c r="J41" s="331">
        <f t="shared" si="10"/>
        <v>1</v>
      </c>
    </row>
    <row r="42" spans="4:19" hidden="1" outlineLevel="1" x14ac:dyDescent="0.2">
      <c r="D42" s="4" t="s">
        <v>87</v>
      </c>
      <c r="E42" s="247">
        <f t="shared" ref="E42:J42" ca="1" si="11">IF(ISNUMBER(E28),E28*E41,"")</f>
        <v>0</v>
      </c>
      <c r="F42" s="247">
        <f t="shared" ca="1" si="11"/>
        <v>0</v>
      </c>
      <c r="G42" s="247">
        <f t="shared" ca="1" si="11"/>
        <v>0</v>
      </c>
      <c r="H42" s="247">
        <f t="shared" ca="1" si="11"/>
        <v>0</v>
      </c>
      <c r="I42" s="247">
        <f t="shared" ca="1" si="11"/>
        <v>0</v>
      </c>
      <c r="J42" s="247">
        <f t="shared" ca="1" si="11"/>
        <v>0</v>
      </c>
    </row>
    <row r="43" spans="4:19" hidden="1" outlineLevel="1" x14ac:dyDescent="0.2"/>
    <row r="44" spans="4:19" hidden="1" outlineLevel="1" x14ac:dyDescent="0.2">
      <c r="D44" s="54" t="str">
        <f>TxPhase1Tx</f>
        <v/>
      </c>
      <c r="E44" s="357"/>
      <c r="S44" s="31" t="s">
        <v>249</v>
      </c>
    </row>
    <row r="45" spans="4:19" hidden="1" outlineLevel="1" x14ac:dyDescent="0.2">
      <c r="D45" s="8" t="s">
        <v>88</v>
      </c>
      <c r="E45" s="48"/>
      <c r="F45" s="48"/>
      <c r="G45" s="48"/>
      <c r="H45" s="48"/>
      <c r="I45" s="48"/>
      <c r="J45" s="48"/>
      <c r="S45" s="41"/>
    </row>
    <row r="46" spans="4:19" hidden="1" outlineLevel="1" x14ac:dyDescent="0.2"/>
    <row r="47" spans="4:19" hidden="1" outlineLevel="1" x14ac:dyDescent="0.2">
      <c r="D47" s="82" t="str">
        <f>TXPhase2Tx</f>
        <v/>
      </c>
      <c r="E47" s="357"/>
      <c r="S47" s="6" t="s">
        <v>249</v>
      </c>
    </row>
    <row r="48" spans="4:19" hidden="1" outlineLevel="1" x14ac:dyDescent="0.2">
      <c r="D48" s="82" t="str">
        <f>IF(D47&lt;&gt;"","Patients electing treatment (%)","")</f>
        <v/>
      </c>
      <c r="E48" s="48"/>
      <c r="F48" s="48"/>
      <c r="G48" s="48"/>
      <c r="H48" s="48"/>
      <c r="I48" s="48"/>
      <c r="J48" s="48"/>
      <c r="S48" s="41"/>
    </row>
    <row r="49" spans="1:19" hidden="1" outlineLevel="1" x14ac:dyDescent="0.2"/>
    <row r="50" spans="1:19" hidden="1" outlineLevel="1" x14ac:dyDescent="0.2">
      <c r="C50" s="246">
        <f>IFERROR(VLOOKUP(E50,TxPhase2SourceCode,2,FALSE),0)</f>
        <v>1</v>
      </c>
      <c r="D50" s="54" t="s">
        <v>1152</v>
      </c>
      <c r="E50" s="227" t="s">
        <v>1153</v>
      </c>
    </row>
    <row r="51" spans="1:19" hidden="1" outlineLevel="1" x14ac:dyDescent="0.2"/>
    <row r="52" spans="1:19" hidden="1" outlineLevel="1" x14ac:dyDescent="0.2">
      <c r="D52" s="54" t="str">
        <f>TxPhase1Px</f>
        <v/>
      </c>
      <c r="E52" s="247">
        <f t="shared" ref="E52:J52" si="12">IF(TxPhase1&lt;&gt;"",E42*E45,0)</f>
        <v>0</v>
      </c>
      <c r="F52" s="247">
        <f t="shared" si="12"/>
        <v>0</v>
      </c>
      <c r="G52" s="247">
        <f t="shared" si="12"/>
        <v>0</v>
      </c>
      <c r="H52" s="247">
        <f t="shared" si="12"/>
        <v>0</v>
      </c>
      <c r="I52" s="247">
        <f t="shared" si="12"/>
        <v>0</v>
      </c>
      <c r="J52" s="247">
        <f t="shared" si="12"/>
        <v>0</v>
      </c>
    </row>
    <row r="53" spans="1:19" hidden="1" outlineLevel="1" x14ac:dyDescent="0.2">
      <c r="D53" s="54" t="str">
        <f>TxPhase2Px</f>
        <v/>
      </c>
      <c r="E53" s="247">
        <f t="shared" ref="E53:J53" si="13">IF(TxPhase2&lt;&gt;"",IF($C50=1,E52,IF($C50=2,E42,0))*E48,0)</f>
        <v>0</v>
      </c>
      <c r="F53" s="247">
        <f t="shared" si="13"/>
        <v>0</v>
      </c>
      <c r="G53" s="247">
        <f t="shared" si="13"/>
        <v>0</v>
      </c>
      <c r="H53" s="247">
        <f t="shared" si="13"/>
        <v>0</v>
      </c>
      <c r="I53" s="247">
        <f t="shared" si="13"/>
        <v>0</v>
      </c>
      <c r="J53" s="247">
        <f t="shared" si="13"/>
        <v>0</v>
      </c>
    </row>
    <row r="54" spans="1:19" hidden="1" outlineLevel="1" x14ac:dyDescent="0.2">
      <c r="D54" s="1"/>
      <c r="E54" s="1"/>
    </row>
    <row r="55" spans="1:19" hidden="1" outlineLevel="1" x14ac:dyDescent="0.2">
      <c r="C55" s="246" t="str">
        <f>IF(E55&lt;&gt;"",E55,"")</f>
        <v/>
      </c>
      <c r="D55" s="81" t="s">
        <v>743</v>
      </c>
      <c r="E55" s="227"/>
    </row>
    <row r="56" spans="1:19" hidden="1" outlineLevel="1" x14ac:dyDescent="0.2"/>
    <row r="57" spans="1:19" collapsed="1" x14ac:dyDescent="0.2">
      <c r="P57" s="446"/>
      <c r="Q57" s="119"/>
    </row>
    <row r="58" spans="1:19" ht="15.75" x14ac:dyDescent="0.2">
      <c r="C58" s="396">
        <v>2</v>
      </c>
      <c r="D58" s="72" t="str">
        <f>IF(E62&lt;&gt;"",CONCATENATE("Prevalent ",C58,": ",G62,L58),MsgNotUsed)</f>
        <v>** NOT USED **</v>
      </c>
      <c r="E58" s="116"/>
      <c r="F58" s="116"/>
      <c r="G58" s="116"/>
      <c r="H58" s="116"/>
      <c r="I58" s="118"/>
      <c r="J58" s="112"/>
      <c r="K58" s="117"/>
      <c r="L58" s="266" t="str">
        <f>IF(S62&lt;&gt;"",CONCATENATE(" (",S62,")"),"")</f>
        <v/>
      </c>
      <c r="M58" s="117"/>
      <c r="N58" s="117"/>
      <c r="O58" s="117"/>
      <c r="P58" s="117"/>
      <c r="Q58" s="117"/>
      <c r="R58" s="117"/>
      <c r="S58" s="117"/>
    </row>
    <row r="59" spans="1:19" hidden="1" outlineLevel="1" x14ac:dyDescent="0.2">
      <c r="D59" s="260"/>
    </row>
    <row r="60" spans="1:19" hidden="1" outlineLevel="1" x14ac:dyDescent="0.2">
      <c r="D60" t="s">
        <v>827</v>
      </c>
    </row>
    <row r="61" spans="1:19" hidden="1" outlineLevel="1" x14ac:dyDescent="0.2">
      <c r="D61" s="260"/>
      <c r="S61" s="31" t="s">
        <v>414</v>
      </c>
    </row>
    <row r="62" spans="1:19" hidden="1" outlineLevel="1" x14ac:dyDescent="0.2">
      <c r="A62" s="114"/>
      <c r="B62" s="246">
        <f>IF(E62&lt;&gt;"",MATCH(E62,EPISource,0)-1,0)</f>
        <v>0</v>
      </c>
      <c r="C62" s="246">
        <f ca="1">IF(G62&lt;&gt;"",MATCH(G62,OFFSET(References!$AE$7,0,B62,PxPopMaxCount),0),0)</f>
        <v>0</v>
      </c>
      <c r="D62" s="8" t="s">
        <v>110</v>
      </c>
      <c r="E62" s="230"/>
      <c r="F62" s="119"/>
      <c r="G62" s="580"/>
      <c r="H62" s="581"/>
      <c r="I62" s="581"/>
      <c r="J62" s="581"/>
      <c r="S62" s="234"/>
    </row>
    <row r="63" spans="1:19" hidden="1" outlineLevel="1" x14ac:dyDescent="0.2">
      <c r="A63" s="114"/>
      <c r="B63" s="246">
        <f>INDEX(PxPopValid,,B62+1)</f>
        <v>0</v>
      </c>
      <c r="C63" s="246">
        <f ca="1">(B62*PxPopMaxCount)+C62</f>
        <v>0</v>
      </c>
      <c r="E63" s="319">
        <v>1</v>
      </c>
      <c r="F63" s="319">
        <v>2</v>
      </c>
      <c r="G63" s="319">
        <v>3</v>
      </c>
      <c r="H63" s="319">
        <v>4</v>
      </c>
      <c r="I63" s="319">
        <v>5</v>
      </c>
      <c r="J63" s="319">
        <v>6</v>
      </c>
    </row>
    <row r="64" spans="1:19" hidden="1" outlineLevel="1" x14ac:dyDescent="0.2">
      <c r="A64" s="114"/>
      <c r="B64" s="114"/>
      <c r="C64" s="114"/>
      <c r="D64" s="260"/>
      <c r="E64" s="582" t="s">
        <v>10</v>
      </c>
      <c r="F64" s="582"/>
      <c r="G64" s="582"/>
      <c r="H64" s="582"/>
      <c r="I64" s="582"/>
      <c r="J64" s="582"/>
      <c r="S64" s="444" t="str">
        <f ca="1">IF(ISERROR($C63)=TRUE,MsgError&amp;VLOOKUP("BadPop",ErrorMessages,2,FALSE),IF(RIGHT(G62,11)="(Incidence)",MsgError&amp;VLOOKUP("BadIncPop",ErrorMessages,2,FALSE),""))</f>
        <v/>
      </c>
    </row>
    <row r="65" spans="1:19" hidden="1" outlineLevel="1" x14ac:dyDescent="0.2">
      <c r="A65" s="114"/>
      <c r="B65" s="114"/>
      <c r="C65" s="114"/>
      <c r="D65" s="260"/>
      <c r="E65" s="74">
        <f>FirstYear</f>
        <v>2026</v>
      </c>
      <c r="F65" s="74">
        <f>E65+1</f>
        <v>2027</v>
      </c>
      <c r="G65" s="74">
        <f>F65+1</f>
        <v>2028</v>
      </c>
      <c r="H65" s="74">
        <f>G65+1</f>
        <v>2029</v>
      </c>
      <c r="I65" s="74">
        <f>H65+1</f>
        <v>2030</v>
      </c>
      <c r="J65" s="74">
        <f>I65+1</f>
        <v>2031</v>
      </c>
    </row>
    <row r="66" spans="1:19" hidden="1" outlineLevel="1" x14ac:dyDescent="0.2">
      <c r="D66" s="499" t="s">
        <v>89</v>
      </c>
      <c r="E66" s="120">
        <f t="shared" ref="E66:J66" ca="1" si="14">IF(AND(ISERROR($C63)&lt;&gt;TRUE,$G62&lt;&gt;""),INDEX(PxPopNumbers,$C63,E63),0)</f>
        <v>0</v>
      </c>
      <c r="F66" s="120">
        <f t="shared" ca="1" si="14"/>
        <v>0</v>
      </c>
      <c r="G66" s="120">
        <f t="shared" ca="1" si="14"/>
        <v>0</v>
      </c>
      <c r="H66" s="120">
        <f t="shared" ca="1" si="14"/>
        <v>0</v>
      </c>
      <c r="I66" s="120">
        <f t="shared" ca="1" si="14"/>
        <v>0</v>
      </c>
      <c r="J66" s="120">
        <f t="shared" ca="1" si="14"/>
        <v>0</v>
      </c>
      <c r="R66" s="260"/>
    </row>
    <row r="67" spans="1:19" hidden="1" outlineLevel="1" x14ac:dyDescent="0.2"/>
    <row r="68" spans="1:19" hidden="1" outlineLevel="1" x14ac:dyDescent="0.2">
      <c r="D68" s="498" t="s">
        <v>196</v>
      </c>
      <c r="S68" s="31" t="s">
        <v>249</v>
      </c>
    </row>
    <row r="69" spans="1:19" hidden="1" outlineLevel="1" x14ac:dyDescent="0.2">
      <c r="D69" s="206"/>
      <c r="E69" s="329"/>
      <c r="F69" s="329"/>
      <c r="G69" s="329"/>
      <c r="H69" s="329"/>
      <c r="I69" s="329"/>
      <c r="J69" s="329"/>
      <c r="L69" s="40">
        <f t="shared" ref="L69:L77" si="15">IF(E69="",1,E69)</f>
        <v>1</v>
      </c>
      <c r="M69" s="40">
        <f t="shared" ref="M69:M78" si="16">IF(F69="",1,F69)</f>
        <v>1</v>
      </c>
      <c r="N69" s="40">
        <f t="shared" ref="N69:N78" si="17">IF(G69="",1,G69)</f>
        <v>1</v>
      </c>
      <c r="O69" s="40">
        <f t="shared" ref="O69:O78" si="18">IF(H69="",1,H69)</f>
        <v>1</v>
      </c>
      <c r="P69" s="40">
        <f t="shared" ref="P69:P78" si="19">IF(I69="",1,I69)</f>
        <v>1</v>
      </c>
      <c r="Q69" s="40">
        <f t="shared" ref="Q69:Q78" si="20">IF(J69="",1,J69)</f>
        <v>1</v>
      </c>
      <c r="S69" s="206"/>
    </row>
    <row r="70" spans="1:19" hidden="1" outlineLevel="1" x14ac:dyDescent="0.2">
      <c r="D70" s="206"/>
      <c r="E70" s="329"/>
      <c r="F70" s="329"/>
      <c r="G70" s="329"/>
      <c r="H70" s="329"/>
      <c r="I70" s="329"/>
      <c r="J70" s="329"/>
      <c r="L70" s="40">
        <f t="shared" si="15"/>
        <v>1</v>
      </c>
      <c r="M70" s="40">
        <f t="shared" si="16"/>
        <v>1</v>
      </c>
      <c r="N70" s="40">
        <f t="shared" si="17"/>
        <v>1</v>
      </c>
      <c r="O70" s="40">
        <f t="shared" si="18"/>
        <v>1</v>
      </c>
      <c r="P70" s="40">
        <f t="shared" si="19"/>
        <v>1</v>
      </c>
      <c r="Q70" s="40">
        <f t="shared" si="20"/>
        <v>1</v>
      </c>
      <c r="S70" s="206"/>
    </row>
    <row r="71" spans="1:19" hidden="1" outlineLevel="1" x14ac:dyDescent="0.2">
      <c r="D71" s="206"/>
      <c r="E71" s="329"/>
      <c r="F71" s="329"/>
      <c r="G71" s="329"/>
      <c r="H71" s="329"/>
      <c r="I71" s="329"/>
      <c r="J71" s="329"/>
      <c r="L71" s="40">
        <f t="shared" si="15"/>
        <v>1</v>
      </c>
      <c r="M71" s="40">
        <f t="shared" si="16"/>
        <v>1</v>
      </c>
      <c r="N71" s="40">
        <f t="shared" si="17"/>
        <v>1</v>
      </c>
      <c r="O71" s="40">
        <f t="shared" si="18"/>
        <v>1</v>
      </c>
      <c r="P71" s="40">
        <f t="shared" si="19"/>
        <v>1</v>
      </c>
      <c r="Q71" s="40">
        <f t="shared" si="20"/>
        <v>1</v>
      </c>
      <c r="S71" s="206"/>
    </row>
    <row r="72" spans="1:19" hidden="1" outlineLevel="1" x14ac:dyDescent="0.2">
      <c r="D72" s="206"/>
      <c r="E72" s="329"/>
      <c r="F72" s="329"/>
      <c r="G72" s="329"/>
      <c r="H72" s="329"/>
      <c r="I72" s="329"/>
      <c r="J72" s="329"/>
      <c r="L72" s="40">
        <f t="shared" si="15"/>
        <v>1</v>
      </c>
      <c r="M72" s="40">
        <f t="shared" si="16"/>
        <v>1</v>
      </c>
      <c r="N72" s="40">
        <f t="shared" si="17"/>
        <v>1</v>
      </c>
      <c r="O72" s="40">
        <f t="shared" si="18"/>
        <v>1</v>
      </c>
      <c r="P72" s="40">
        <f t="shared" si="19"/>
        <v>1</v>
      </c>
      <c r="Q72" s="40">
        <f t="shared" si="20"/>
        <v>1</v>
      </c>
      <c r="S72" s="206"/>
    </row>
    <row r="73" spans="1:19" hidden="1" outlineLevel="1" x14ac:dyDescent="0.2">
      <c r="D73" s="206"/>
      <c r="E73" s="329"/>
      <c r="F73" s="329"/>
      <c r="G73" s="329"/>
      <c r="H73" s="329"/>
      <c r="I73" s="329"/>
      <c r="J73" s="329"/>
      <c r="L73" s="40">
        <f t="shared" si="15"/>
        <v>1</v>
      </c>
      <c r="M73" s="40">
        <f t="shared" si="16"/>
        <v>1</v>
      </c>
      <c r="N73" s="40">
        <f t="shared" si="17"/>
        <v>1</v>
      </c>
      <c r="O73" s="40">
        <f t="shared" si="18"/>
        <v>1</v>
      </c>
      <c r="P73" s="40">
        <f t="shared" si="19"/>
        <v>1</v>
      </c>
      <c r="Q73" s="40">
        <f t="shared" si="20"/>
        <v>1</v>
      </c>
      <c r="S73" s="206"/>
    </row>
    <row r="74" spans="1:19" hidden="1" outlineLevel="1" x14ac:dyDescent="0.2">
      <c r="D74" s="206"/>
      <c r="E74" s="329"/>
      <c r="F74" s="329"/>
      <c r="G74" s="329"/>
      <c r="H74" s="329"/>
      <c r="I74" s="329"/>
      <c r="J74" s="329"/>
      <c r="L74" s="40">
        <f t="shared" si="15"/>
        <v>1</v>
      </c>
      <c r="M74" s="40">
        <f t="shared" si="16"/>
        <v>1</v>
      </c>
      <c r="N74" s="40">
        <f t="shared" si="17"/>
        <v>1</v>
      </c>
      <c r="O74" s="40">
        <f t="shared" si="18"/>
        <v>1</v>
      </c>
      <c r="P74" s="40">
        <f t="shared" si="19"/>
        <v>1</v>
      </c>
      <c r="Q74" s="40">
        <f t="shared" si="20"/>
        <v>1</v>
      </c>
      <c r="S74" s="206"/>
    </row>
    <row r="75" spans="1:19" hidden="1" outlineLevel="1" x14ac:dyDescent="0.2">
      <c r="D75" s="206"/>
      <c r="E75" s="329"/>
      <c r="F75" s="329"/>
      <c r="G75" s="329"/>
      <c r="H75" s="329"/>
      <c r="I75" s="329"/>
      <c r="J75" s="329"/>
      <c r="L75" s="40">
        <f t="shared" si="15"/>
        <v>1</v>
      </c>
      <c r="M75" s="40">
        <f t="shared" si="16"/>
        <v>1</v>
      </c>
      <c r="N75" s="40">
        <f t="shared" si="17"/>
        <v>1</v>
      </c>
      <c r="O75" s="40">
        <f t="shared" si="18"/>
        <v>1</v>
      </c>
      <c r="P75" s="40">
        <f t="shared" si="19"/>
        <v>1</v>
      </c>
      <c r="Q75" s="40">
        <f t="shared" si="20"/>
        <v>1</v>
      </c>
      <c r="S75" s="206"/>
    </row>
    <row r="76" spans="1:19" hidden="1" outlineLevel="1" x14ac:dyDescent="0.2">
      <c r="D76" s="206"/>
      <c r="E76" s="329"/>
      <c r="F76" s="329"/>
      <c r="G76" s="329"/>
      <c r="H76" s="329"/>
      <c r="I76" s="329"/>
      <c r="J76" s="329"/>
      <c r="L76" s="40">
        <f t="shared" si="15"/>
        <v>1</v>
      </c>
      <c r="M76" s="40">
        <f t="shared" si="16"/>
        <v>1</v>
      </c>
      <c r="N76" s="40">
        <f t="shared" si="17"/>
        <v>1</v>
      </c>
      <c r="O76" s="40">
        <f t="shared" si="18"/>
        <v>1</v>
      </c>
      <c r="P76" s="40">
        <f t="shared" si="19"/>
        <v>1</v>
      </c>
      <c r="Q76" s="40">
        <f t="shared" si="20"/>
        <v>1</v>
      </c>
      <c r="S76" s="206"/>
    </row>
    <row r="77" spans="1:19" hidden="1" outlineLevel="1" x14ac:dyDescent="0.2">
      <c r="D77" s="206"/>
      <c r="E77" s="329"/>
      <c r="F77" s="329"/>
      <c r="G77" s="329"/>
      <c r="H77" s="329"/>
      <c r="I77" s="329"/>
      <c r="J77" s="329"/>
      <c r="L77" s="40">
        <f t="shared" si="15"/>
        <v>1</v>
      </c>
      <c r="M77" s="40">
        <f t="shared" si="16"/>
        <v>1</v>
      </c>
      <c r="N77" s="40">
        <f t="shared" si="17"/>
        <v>1</v>
      </c>
      <c r="O77" s="40">
        <f t="shared" si="18"/>
        <v>1</v>
      </c>
      <c r="P77" s="40">
        <f t="shared" si="19"/>
        <v>1</v>
      </c>
      <c r="Q77" s="40">
        <f t="shared" si="20"/>
        <v>1</v>
      </c>
      <c r="S77" s="206"/>
    </row>
    <row r="78" spans="1:19" hidden="1" outlineLevel="1" x14ac:dyDescent="0.2">
      <c r="D78" s="206"/>
      <c r="E78" s="329"/>
      <c r="F78" s="329"/>
      <c r="G78" s="329"/>
      <c r="H78" s="329"/>
      <c r="I78" s="329"/>
      <c r="J78" s="329"/>
      <c r="L78" s="40">
        <f>IF(E78="",1,E78)</f>
        <v>1</v>
      </c>
      <c r="M78" s="40">
        <f t="shared" si="16"/>
        <v>1</v>
      </c>
      <c r="N78" s="40">
        <f t="shared" si="17"/>
        <v>1</v>
      </c>
      <c r="O78" s="40">
        <f t="shared" si="18"/>
        <v>1</v>
      </c>
      <c r="P78" s="40">
        <f t="shared" si="19"/>
        <v>1</v>
      </c>
      <c r="Q78" s="40">
        <f t="shared" si="20"/>
        <v>1</v>
      </c>
      <c r="S78" s="206"/>
    </row>
    <row r="79" spans="1:19" hidden="1" outlineLevel="1" x14ac:dyDescent="0.2">
      <c r="D79" s="20" t="s">
        <v>204</v>
      </c>
      <c r="E79" s="331">
        <f t="shared" ref="E79:J79" si="21">L69*L70*L71*L72*L78*L73*L74*L75*L76*L77</f>
        <v>1</v>
      </c>
      <c r="F79" s="331">
        <f t="shared" si="21"/>
        <v>1</v>
      </c>
      <c r="G79" s="331">
        <f t="shared" si="21"/>
        <v>1</v>
      </c>
      <c r="H79" s="331">
        <f t="shared" si="21"/>
        <v>1</v>
      </c>
      <c r="I79" s="331">
        <f t="shared" si="21"/>
        <v>1</v>
      </c>
      <c r="J79" s="331">
        <f t="shared" si="21"/>
        <v>1</v>
      </c>
    </row>
    <row r="80" spans="1:19" hidden="1" outlineLevel="1" x14ac:dyDescent="0.2">
      <c r="D80" s="4" t="s">
        <v>87</v>
      </c>
      <c r="E80" s="247">
        <f t="shared" ref="E80:J80" ca="1" si="22">IF(ISNUMBER(E66),E66*E79,"")</f>
        <v>0</v>
      </c>
      <c r="F80" s="247">
        <f t="shared" ca="1" si="22"/>
        <v>0</v>
      </c>
      <c r="G80" s="247">
        <f t="shared" ca="1" si="22"/>
        <v>0</v>
      </c>
      <c r="H80" s="247">
        <f t="shared" ca="1" si="22"/>
        <v>0</v>
      </c>
      <c r="I80" s="247">
        <f t="shared" ca="1" si="22"/>
        <v>0</v>
      </c>
      <c r="J80" s="247">
        <f t="shared" ca="1" si="22"/>
        <v>0</v>
      </c>
    </row>
    <row r="81" spans="3:19" hidden="1" outlineLevel="1" x14ac:dyDescent="0.2"/>
    <row r="82" spans="3:19" hidden="1" outlineLevel="1" x14ac:dyDescent="0.2">
      <c r="D82" s="54" t="str">
        <f>TxPhase1Tx</f>
        <v/>
      </c>
      <c r="E82" s="357"/>
      <c r="S82" s="31" t="s">
        <v>249</v>
      </c>
    </row>
    <row r="83" spans="3:19" hidden="1" outlineLevel="1" x14ac:dyDescent="0.2">
      <c r="D83" s="8" t="s">
        <v>88</v>
      </c>
      <c r="E83" s="48"/>
      <c r="F83" s="48"/>
      <c r="G83" s="48"/>
      <c r="H83" s="48"/>
      <c r="I83" s="48"/>
      <c r="J83" s="48"/>
      <c r="S83" s="41"/>
    </row>
    <row r="84" spans="3:19" hidden="1" outlineLevel="1" x14ac:dyDescent="0.2"/>
    <row r="85" spans="3:19" hidden="1" outlineLevel="1" x14ac:dyDescent="0.2">
      <c r="D85" s="82" t="str">
        <f>TXPhase2Tx</f>
        <v/>
      </c>
      <c r="E85" s="357"/>
      <c r="S85" s="6" t="s">
        <v>249</v>
      </c>
    </row>
    <row r="86" spans="3:19" hidden="1" outlineLevel="1" x14ac:dyDescent="0.2">
      <c r="D86" s="82" t="str">
        <f>IF(D85&lt;&gt;"","Patients electing treatment (%)","")</f>
        <v/>
      </c>
      <c r="E86" s="48"/>
      <c r="F86" s="48"/>
      <c r="G86" s="48"/>
      <c r="H86" s="48"/>
      <c r="I86" s="48"/>
      <c r="J86" s="48"/>
      <c r="S86" s="41"/>
    </row>
    <row r="87" spans="3:19" hidden="1" outlineLevel="1" x14ac:dyDescent="0.2"/>
    <row r="88" spans="3:19" hidden="1" outlineLevel="1" x14ac:dyDescent="0.2">
      <c r="C88" s="246">
        <f>IFERROR(VLOOKUP(E88,TxPhase2SourceCode,2,FALSE),0)</f>
        <v>1</v>
      </c>
      <c r="D88" s="54" t="s">
        <v>1152</v>
      </c>
      <c r="E88" s="227" t="s">
        <v>1153</v>
      </c>
    </row>
    <row r="89" spans="3:19" hidden="1" outlineLevel="1" x14ac:dyDescent="0.2"/>
    <row r="90" spans="3:19" hidden="1" outlineLevel="1" x14ac:dyDescent="0.2">
      <c r="D90" s="54" t="str">
        <f>TxPhase1Px</f>
        <v/>
      </c>
      <c r="E90" s="247">
        <f t="shared" ref="E90:J90" si="23">IF(TxPhase1&lt;&gt;"",E80*E83,0)</f>
        <v>0</v>
      </c>
      <c r="F90" s="247">
        <f t="shared" si="23"/>
        <v>0</v>
      </c>
      <c r="G90" s="247">
        <f t="shared" si="23"/>
        <v>0</v>
      </c>
      <c r="H90" s="247">
        <f t="shared" si="23"/>
        <v>0</v>
      </c>
      <c r="I90" s="247">
        <f t="shared" si="23"/>
        <v>0</v>
      </c>
      <c r="J90" s="247">
        <f t="shared" si="23"/>
        <v>0</v>
      </c>
    </row>
    <row r="91" spans="3:19" hidden="1" outlineLevel="1" x14ac:dyDescent="0.2">
      <c r="D91" s="54" t="str">
        <f>TxPhase2Px</f>
        <v/>
      </c>
      <c r="E91" s="247">
        <f t="shared" ref="E91:J91" si="24">IF(TxPhase2&lt;&gt;"",IF($C88=1,E90,IF($C88=2,E80,0))*E86,0)</f>
        <v>0</v>
      </c>
      <c r="F91" s="247">
        <f t="shared" si="24"/>
        <v>0</v>
      </c>
      <c r="G91" s="247">
        <f t="shared" si="24"/>
        <v>0</v>
      </c>
      <c r="H91" s="247">
        <f t="shared" si="24"/>
        <v>0</v>
      </c>
      <c r="I91" s="247">
        <f t="shared" si="24"/>
        <v>0</v>
      </c>
      <c r="J91" s="247">
        <f t="shared" si="24"/>
        <v>0</v>
      </c>
    </row>
    <row r="92" spans="3:19" hidden="1" outlineLevel="1" x14ac:dyDescent="0.2">
      <c r="D92" s="1"/>
      <c r="E92" s="1"/>
    </row>
    <row r="93" spans="3:19" hidden="1" outlineLevel="1" x14ac:dyDescent="0.2">
      <c r="C93" s="246" t="str">
        <f>IF(E93&lt;&gt;"",E93,"")</f>
        <v/>
      </c>
      <c r="D93" s="81" t="s">
        <v>743</v>
      </c>
      <c r="E93" s="227"/>
    </row>
    <row r="94" spans="3:19" hidden="1" outlineLevel="1" x14ac:dyDescent="0.2"/>
    <row r="95" spans="3:19" collapsed="1" x14ac:dyDescent="0.2">
      <c r="P95" s="446"/>
      <c r="Q95" s="119"/>
    </row>
    <row r="96" spans="3:19" ht="15.75" x14ac:dyDescent="0.2">
      <c r="C96" s="396">
        <v>3</v>
      </c>
      <c r="D96" s="72" t="str">
        <f>IF(E100&lt;&gt;"",CONCATENATE("Prevalent ",C96,": ",G100,L96),MsgNotUsed)</f>
        <v>** NOT USED **</v>
      </c>
      <c r="E96" s="116"/>
      <c r="F96" s="116"/>
      <c r="G96" s="116"/>
      <c r="H96" s="116"/>
      <c r="I96" s="118"/>
      <c r="J96" s="112"/>
      <c r="K96" s="117"/>
      <c r="L96" s="266" t="str">
        <f>IF(S100&lt;&gt;"",CONCATENATE(" (",S100,")"),"")</f>
        <v/>
      </c>
      <c r="M96" s="117"/>
      <c r="N96" s="117"/>
      <c r="O96" s="117"/>
      <c r="P96" s="117"/>
      <c r="Q96" s="117"/>
      <c r="R96" s="117"/>
      <c r="S96" s="117"/>
    </row>
    <row r="97" spans="1:19" hidden="1" outlineLevel="1" x14ac:dyDescent="0.2">
      <c r="D97" s="260"/>
    </row>
    <row r="98" spans="1:19" hidden="1" outlineLevel="1" x14ac:dyDescent="0.2">
      <c r="D98" t="s">
        <v>827</v>
      </c>
    </row>
    <row r="99" spans="1:19" hidden="1" outlineLevel="1" x14ac:dyDescent="0.2">
      <c r="D99" s="260"/>
      <c r="S99" s="31" t="s">
        <v>414</v>
      </c>
    </row>
    <row r="100" spans="1:19" hidden="1" outlineLevel="1" x14ac:dyDescent="0.2">
      <c r="A100" s="114"/>
      <c r="B100" s="246">
        <f>IF(E100&lt;&gt;"",MATCH(E100,EPISource,0)-1,0)</f>
        <v>0</v>
      </c>
      <c r="C100" s="246">
        <f ca="1">IF(G100&lt;&gt;"",MATCH(G100,OFFSET(References!$AE$7,0,B100,PxPopMaxCount),0),0)</f>
        <v>0</v>
      </c>
      <c r="D100" s="8" t="s">
        <v>110</v>
      </c>
      <c r="E100" s="230"/>
      <c r="F100" s="119"/>
      <c r="G100" s="580"/>
      <c r="H100" s="581"/>
      <c r="I100" s="581"/>
      <c r="J100" s="581"/>
      <c r="S100" s="234"/>
    </row>
    <row r="101" spans="1:19" hidden="1" outlineLevel="1" x14ac:dyDescent="0.2">
      <c r="A101" s="114"/>
      <c r="B101" s="246">
        <f>INDEX(PxPopValid,,B100+1)</f>
        <v>0</v>
      </c>
      <c r="C101" s="246">
        <f ca="1">(B100*PxPopMaxCount)+C100</f>
        <v>0</v>
      </c>
      <c r="E101" s="319">
        <v>1</v>
      </c>
      <c r="F101" s="319">
        <v>2</v>
      </c>
      <c r="G101" s="319">
        <v>3</v>
      </c>
      <c r="H101" s="319">
        <v>4</v>
      </c>
      <c r="I101" s="319">
        <v>5</v>
      </c>
      <c r="J101" s="319">
        <v>6</v>
      </c>
    </row>
    <row r="102" spans="1:19" hidden="1" outlineLevel="1" x14ac:dyDescent="0.2">
      <c r="A102" s="114"/>
      <c r="B102" s="114"/>
      <c r="C102" s="114"/>
      <c r="D102" s="260"/>
      <c r="E102" s="582" t="s">
        <v>10</v>
      </c>
      <c r="F102" s="582"/>
      <c r="G102" s="582"/>
      <c r="H102" s="582"/>
      <c r="I102" s="582"/>
      <c r="J102" s="582"/>
      <c r="S102" s="444" t="str">
        <f ca="1">IF(ISERROR($C101)=TRUE,MsgError&amp;VLOOKUP("BadPop",ErrorMessages,2,FALSE),IF(RIGHT(G100,11)="(Incidence)",MsgError&amp;VLOOKUP("BadIncPop",ErrorMessages,2,FALSE),""))</f>
        <v/>
      </c>
    </row>
    <row r="103" spans="1:19" hidden="1" outlineLevel="1" x14ac:dyDescent="0.2">
      <c r="A103" s="114"/>
      <c r="B103" s="114"/>
      <c r="C103" s="114"/>
      <c r="D103" s="260"/>
      <c r="E103" s="74">
        <f>FirstYear</f>
        <v>2026</v>
      </c>
      <c r="F103" s="74">
        <f>E103+1</f>
        <v>2027</v>
      </c>
      <c r="G103" s="74">
        <f>F103+1</f>
        <v>2028</v>
      </c>
      <c r="H103" s="74">
        <f>G103+1</f>
        <v>2029</v>
      </c>
      <c r="I103" s="74">
        <f>H103+1</f>
        <v>2030</v>
      </c>
      <c r="J103" s="74">
        <f>I103+1</f>
        <v>2031</v>
      </c>
    </row>
    <row r="104" spans="1:19" hidden="1" outlineLevel="1" x14ac:dyDescent="0.2">
      <c r="D104" s="499" t="s">
        <v>89</v>
      </c>
      <c r="E104" s="120">
        <f t="shared" ref="E104:J104" ca="1" si="25">IF(AND(ISERROR($C101)&lt;&gt;TRUE,$G100&lt;&gt;""),INDEX(PxPopNumbers,$C101,E101),0)</f>
        <v>0</v>
      </c>
      <c r="F104" s="120">
        <f t="shared" ca="1" si="25"/>
        <v>0</v>
      </c>
      <c r="G104" s="120">
        <f t="shared" ca="1" si="25"/>
        <v>0</v>
      </c>
      <c r="H104" s="120">
        <f t="shared" ca="1" si="25"/>
        <v>0</v>
      </c>
      <c r="I104" s="120">
        <f t="shared" ca="1" si="25"/>
        <v>0</v>
      </c>
      <c r="J104" s="120">
        <f t="shared" ca="1" si="25"/>
        <v>0</v>
      </c>
      <c r="R104" s="260"/>
    </row>
    <row r="105" spans="1:19" hidden="1" outlineLevel="1" x14ac:dyDescent="0.2"/>
    <row r="106" spans="1:19" hidden="1" outlineLevel="1" x14ac:dyDescent="0.2">
      <c r="D106" s="498" t="s">
        <v>196</v>
      </c>
      <c r="S106" s="31" t="s">
        <v>249</v>
      </c>
    </row>
    <row r="107" spans="1:19" hidden="1" outlineLevel="1" x14ac:dyDescent="0.2">
      <c r="D107" s="206"/>
      <c r="E107" s="329"/>
      <c r="F107" s="329"/>
      <c r="G107" s="329"/>
      <c r="H107" s="329"/>
      <c r="I107" s="329"/>
      <c r="J107" s="329"/>
      <c r="L107" s="40">
        <f t="shared" ref="L107:L115" si="26">IF(E107="",1,E107)</f>
        <v>1</v>
      </c>
      <c r="M107" s="40">
        <f t="shared" ref="M107:M116" si="27">IF(F107="",1,F107)</f>
        <v>1</v>
      </c>
      <c r="N107" s="40">
        <f t="shared" ref="N107:N116" si="28">IF(G107="",1,G107)</f>
        <v>1</v>
      </c>
      <c r="O107" s="40">
        <f t="shared" ref="O107:O116" si="29">IF(H107="",1,H107)</f>
        <v>1</v>
      </c>
      <c r="P107" s="40">
        <f t="shared" ref="P107:P116" si="30">IF(I107="",1,I107)</f>
        <v>1</v>
      </c>
      <c r="Q107" s="40">
        <f t="shared" ref="Q107:Q116" si="31">IF(J107="",1,J107)</f>
        <v>1</v>
      </c>
      <c r="S107" s="206"/>
    </row>
    <row r="108" spans="1:19" hidden="1" outlineLevel="1" x14ac:dyDescent="0.2">
      <c r="D108" s="206"/>
      <c r="E108" s="329"/>
      <c r="F108" s="329"/>
      <c r="G108" s="329"/>
      <c r="H108" s="329"/>
      <c r="I108" s="329"/>
      <c r="J108" s="329"/>
      <c r="L108" s="40">
        <f t="shared" si="26"/>
        <v>1</v>
      </c>
      <c r="M108" s="40">
        <f t="shared" si="27"/>
        <v>1</v>
      </c>
      <c r="N108" s="40">
        <f t="shared" si="28"/>
        <v>1</v>
      </c>
      <c r="O108" s="40">
        <f t="shared" si="29"/>
        <v>1</v>
      </c>
      <c r="P108" s="40">
        <f t="shared" si="30"/>
        <v>1</v>
      </c>
      <c r="Q108" s="40">
        <f t="shared" si="31"/>
        <v>1</v>
      </c>
      <c r="S108" s="206"/>
    </row>
    <row r="109" spans="1:19" hidden="1" outlineLevel="1" x14ac:dyDescent="0.2">
      <c r="D109" s="206"/>
      <c r="E109" s="329"/>
      <c r="F109" s="329"/>
      <c r="G109" s="329"/>
      <c r="H109" s="329"/>
      <c r="I109" s="329"/>
      <c r="J109" s="329"/>
      <c r="L109" s="40">
        <f t="shared" si="26"/>
        <v>1</v>
      </c>
      <c r="M109" s="40">
        <f t="shared" si="27"/>
        <v>1</v>
      </c>
      <c r="N109" s="40">
        <f t="shared" si="28"/>
        <v>1</v>
      </c>
      <c r="O109" s="40">
        <f t="shared" si="29"/>
        <v>1</v>
      </c>
      <c r="P109" s="40">
        <f t="shared" si="30"/>
        <v>1</v>
      </c>
      <c r="Q109" s="40">
        <f t="shared" si="31"/>
        <v>1</v>
      </c>
      <c r="S109" s="206"/>
    </row>
    <row r="110" spans="1:19" hidden="1" outlineLevel="1" x14ac:dyDescent="0.2">
      <c r="D110" s="206"/>
      <c r="E110" s="329"/>
      <c r="F110" s="329"/>
      <c r="G110" s="329"/>
      <c r="H110" s="329"/>
      <c r="I110" s="329"/>
      <c r="J110" s="329"/>
      <c r="L110" s="40">
        <f t="shared" si="26"/>
        <v>1</v>
      </c>
      <c r="M110" s="40">
        <f t="shared" si="27"/>
        <v>1</v>
      </c>
      <c r="N110" s="40">
        <f t="shared" si="28"/>
        <v>1</v>
      </c>
      <c r="O110" s="40">
        <f t="shared" si="29"/>
        <v>1</v>
      </c>
      <c r="P110" s="40">
        <f t="shared" si="30"/>
        <v>1</v>
      </c>
      <c r="Q110" s="40">
        <f t="shared" si="31"/>
        <v>1</v>
      </c>
      <c r="S110" s="206"/>
    </row>
    <row r="111" spans="1:19" hidden="1" outlineLevel="1" x14ac:dyDescent="0.2">
      <c r="D111" s="206"/>
      <c r="E111" s="329"/>
      <c r="F111" s="329"/>
      <c r="G111" s="329"/>
      <c r="H111" s="329"/>
      <c r="I111" s="329"/>
      <c r="J111" s="329"/>
      <c r="L111" s="40">
        <f t="shared" si="26"/>
        <v>1</v>
      </c>
      <c r="M111" s="40">
        <f t="shared" si="27"/>
        <v>1</v>
      </c>
      <c r="N111" s="40">
        <f t="shared" si="28"/>
        <v>1</v>
      </c>
      <c r="O111" s="40">
        <f t="shared" si="29"/>
        <v>1</v>
      </c>
      <c r="P111" s="40">
        <f t="shared" si="30"/>
        <v>1</v>
      </c>
      <c r="Q111" s="40">
        <f t="shared" si="31"/>
        <v>1</v>
      </c>
      <c r="S111" s="206"/>
    </row>
    <row r="112" spans="1:19" hidden="1" outlineLevel="1" x14ac:dyDescent="0.2">
      <c r="D112" s="206"/>
      <c r="E112" s="329"/>
      <c r="F112" s="329"/>
      <c r="G112" s="329"/>
      <c r="H112" s="329"/>
      <c r="I112" s="329"/>
      <c r="J112" s="329"/>
      <c r="L112" s="40">
        <f t="shared" si="26"/>
        <v>1</v>
      </c>
      <c r="M112" s="40">
        <f t="shared" si="27"/>
        <v>1</v>
      </c>
      <c r="N112" s="40">
        <f t="shared" si="28"/>
        <v>1</v>
      </c>
      <c r="O112" s="40">
        <f t="shared" si="29"/>
        <v>1</v>
      </c>
      <c r="P112" s="40">
        <f t="shared" si="30"/>
        <v>1</v>
      </c>
      <c r="Q112" s="40">
        <f t="shared" si="31"/>
        <v>1</v>
      </c>
      <c r="S112" s="206"/>
    </row>
    <row r="113" spans="3:19" hidden="1" outlineLevel="1" x14ac:dyDescent="0.2">
      <c r="D113" s="206"/>
      <c r="E113" s="329"/>
      <c r="F113" s="329"/>
      <c r="G113" s="329"/>
      <c r="H113" s="329"/>
      <c r="I113" s="329"/>
      <c r="J113" s="329"/>
      <c r="L113" s="40">
        <f t="shared" si="26"/>
        <v>1</v>
      </c>
      <c r="M113" s="40">
        <f t="shared" si="27"/>
        <v>1</v>
      </c>
      <c r="N113" s="40">
        <f t="shared" si="28"/>
        <v>1</v>
      </c>
      <c r="O113" s="40">
        <f t="shared" si="29"/>
        <v>1</v>
      </c>
      <c r="P113" s="40">
        <f t="shared" si="30"/>
        <v>1</v>
      </c>
      <c r="Q113" s="40">
        <f t="shared" si="31"/>
        <v>1</v>
      </c>
      <c r="S113" s="206"/>
    </row>
    <row r="114" spans="3:19" hidden="1" outlineLevel="1" x14ac:dyDescent="0.2">
      <c r="D114" s="206"/>
      <c r="E114" s="329"/>
      <c r="F114" s="329"/>
      <c r="G114" s="329"/>
      <c r="H114" s="329"/>
      <c r="I114" s="329"/>
      <c r="J114" s="329"/>
      <c r="L114" s="40">
        <f t="shared" si="26"/>
        <v>1</v>
      </c>
      <c r="M114" s="40">
        <f t="shared" si="27"/>
        <v>1</v>
      </c>
      <c r="N114" s="40">
        <f t="shared" si="28"/>
        <v>1</v>
      </c>
      <c r="O114" s="40">
        <f t="shared" si="29"/>
        <v>1</v>
      </c>
      <c r="P114" s="40">
        <f t="shared" si="30"/>
        <v>1</v>
      </c>
      <c r="Q114" s="40">
        <f t="shared" si="31"/>
        <v>1</v>
      </c>
      <c r="S114" s="206"/>
    </row>
    <row r="115" spans="3:19" hidden="1" outlineLevel="1" x14ac:dyDescent="0.2">
      <c r="D115" s="206"/>
      <c r="E115" s="329"/>
      <c r="F115" s="329"/>
      <c r="G115" s="329"/>
      <c r="H115" s="329"/>
      <c r="I115" s="329"/>
      <c r="J115" s="329"/>
      <c r="L115" s="40">
        <f t="shared" si="26"/>
        <v>1</v>
      </c>
      <c r="M115" s="40">
        <f t="shared" si="27"/>
        <v>1</v>
      </c>
      <c r="N115" s="40">
        <f t="shared" si="28"/>
        <v>1</v>
      </c>
      <c r="O115" s="40">
        <f t="shared" si="29"/>
        <v>1</v>
      </c>
      <c r="P115" s="40">
        <f t="shared" si="30"/>
        <v>1</v>
      </c>
      <c r="Q115" s="40">
        <f t="shared" si="31"/>
        <v>1</v>
      </c>
      <c r="S115" s="206"/>
    </row>
    <row r="116" spans="3:19" hidden="1" outlineLevel="1" x14ac:dyDescent="0.2">
      <c r="D116" s="206"/>
      <c r="E116" s="329"/>
      <c r="F116" s="329"/>
      <c r="G116" s="329"/>
      <c r="H116" s="329"/>
      <c r="I116" s="329"/>
      <c r="J116" s="329"/>
      <c r="L116" s="40">
        <f>IF(E116="",1,E116)</f>
        <v>1</v>
      </c>
      <c r="M116" s="40">
        <f t="shared" si="27"/>
        <v>1</v>
      </c>
      <c r="N116" s="40">
        <f t="shared" si="28"/>
        <v>1</v>
      </c>
      <c r="O116" s="40">
        <f t="shared" si="29"/>
        <v>1</v>
      </c>
      <c r="P116" s="40">
        <f t="shared" si="30"/>
        <v>1</v>
      </c>
      <c r="Q116" s="40">
        <f t="shared" si="31"/>
        <v>1</v>
      </c>
      <c r="S116" s="206"/>
    </row>
    <row r="117" spans="3:19" hidden="1" outlineLevel="1" x14ac:dyDescent="0.2">
      <c r="D117" s="20" t="s">
        <v>204</v>
      </c>
      <c r="E117" s="331">
        <f t="shared" ref="E117:J117" si="32">L107*L108*L109*L110*L116*L111*L112*L113*L114*L115</f>
        <v>1</v>
      </c>
      <c r="F117" s="331">
        <f t="shared" si="32"/>
        <v>1</v>
      </c>
      <c r="G117" s="331">
        <f t="shared" si="32"/>
        <v>1</v>
      </c>
      <c r="H117" s="331">
        <f t="shared" si="32"/>
        <v>1</v>
      </c>
      <c r="I117" s="331">
        <f t="shared" si="32"/>
        <v>1</v>
      </c>
      <c r="J117" s="331">
        <f t="shared" si="32"/>
        <v>1</v>
      </c>
    </row>
    <row r="118" spans="3:19" hidden="1" outlineLevel="1" x14ac:dyDescent="0.2">
      <c r="D118" s="4" t="s">
        <v>87</v>
      </c>
      <c r="E118" s="247">
        <f t="shared" ref="E118:J118" ca="1" si="33">IF(ISNUMBER(E104),E104*E117,"")</f>
        <v>0</v>
      </c>
      <c r="F118" s="247">
        <f t="shared" ca="1" si="33"/>
        <v>0</v>
      </c>
      <c r="G118" s="247">
        <f t="shared" ca="1" si="33"/>
        <v>0</v>
      </c>
      <c r="H118" s="247">
        <f t="shared" ca="1" si="33"/>
        <v>0</v>
      </c>
      <c r="I118" s="247">
        <f t="shared" ca="1" si="33"/>
        <v>0</v>
      </c>
      <c r="J118" s="247">
        <f t="shared" ca="1" si="33"/>
        <v>0</v>
      </c>
    </row>
    <row r="119" spans="3:19" hidden="1" outlineLevel="1" x14ac:dyDescent="0.2"/>
    <row r="120" spans="3:19" hidden="1" outlineLevel="1" x14ac:dyDescent="0.2">
      <c r="D120" s="54" t="str">
        <f>TxPhase1Tx</f>
        <v/>
      </c>
      <c r="E120" s="357"/>
      <c r="S120" s="31" t="s">
        <v>249</v>
      </c>
    </row>
    <row r="121" spans="3:19" hidden="1" outlineLevel="1" x14ac:dyDescent="0.2">
      <c r="D121" s="54" t="s">
        <v>88</v>
      </c>
      <c r="E121" s="48"/>
      <c r="F121" s="48"/>
      <c r="G121" s="48"/>
      <c r="H121" s="48"/>
      <c r="I121" s="48"/>
      <c r="J121" s="48"/>
      <c r="S121" s="41"/>
    </row>
    <row r="122" spans="3:19" hidden="1" outlineLevel="1" x14ac:dyDescent="0.2"/>
    <row r="123" spans="3:19" hidden="1" outlineLevel="1" x14ac:dyDescent="0.2">
      <c r="D123" s="82" t="str">
        <f>TXPhase2Tx</f>
        <v/>
      </c>
      <c r="E123" s="357"/>
      <c r="S123" s="6" t="s">
        <v>249</v>
      </c>
    </row>
    <row r="124" spans="3:19" hidden="1" outlineLevel="1" x14ac:dyDescent="0.2">
      <c r="D124" s="82" t="str">
        <f>IF(D123&lt;&gt;"","Patients electing treatment (%)","")</f>
        <v/>
      </c>
      <c r="E124" s="48"/>
      <c r="F124" s="48"/>
      <c r="G124" s="48"/>
      <c r="H124" s="48"/>
      <c r="I124" s="48"/>
      <c r="J124" s="48"/>
      <c r="S124" s="41"/>
    </row>
    <row r="125" spans="3:19" hidden="1" outlineLevel="1" x14ac:dyDescent="0.2"/>
    <row r="126" spans="3:19" hidden="1" outlineLevel="1" x14ac:dyDescent="0.2">
      <c r="C126" s="246">
        <f>IFERROR(VLOOKUP(E126,TxPhase2SourceCode,2,FALSE),0)</f>
        <v>1</v>
      </c>
      <c r="D126" s="54" t="s">
        <v>1152</v>
      </c>
      <c r="E126" s="227" t="s">
        <v>1153</v>
      </c>
    </row>
    <row r="127" spans="3:19" hidden="1" outlineLevel="1" x14ac:dyDescent="0.2"/>
    <row r="128" spans="3:19" hidden="1" outlineLevel="1" x14ac:dyDescent="0.2">
      <c r="D128" s="54" t="str">
        <f>TxPhase1Px</f>
        <v/>
      </c>
      <c r="E128" s="247">
        <f t="shared" ref="E128:J128" si="34">IF(TxPhase1&lt;&gt;"",E118*E121,0)</f>
        <v>0</v>
      </c>
      <c r="F128" s="247">
        <f t="shared" si="34"/>
        <v>0</v>
      </c>
      <c r="G128" s="247">
        <f t="shared" si="34"/>
        <v>0</v>
      </c>
      <c r="H128" s="247">
        <f t="shared" si="34"/>
        <v>0</v>
      </c>
      <c r="I128" s="247">
        <f t="shared" si="34"/>
        <v>0</v>
      </c>
      <c r="J128" s="247">
        <f t="shared" si="34"/>
        <v>0</v>
      </c>
    </row>
    <row r="129" spans="1:19" hidden="1" outlineLevel="1" x14ac:dyDescent="0.2">
      <c r="D129" s="54" t="str">
        <f>TxPhase2Px</f>
        <v/>
      </c>
      <c r="E129" s="247">
        <f t="shared" ref="E129:J129" si="35">IF(TxPhase2&lt;&gt;"",IF($C126=1,E128,IF($C126=2,E118,0))*E124,0)</f>
        <v>0</v>
      </c>
      <c r="F129" s="247">
        <f t="shared" si="35"/>
        <v>0</v>
      </c>
      <c r="G129" s="247">
        <f t="shared" si="35"/>
        <v>0</v>
      </c>
      <c r="H129" s="247">
        <f t="shared" si="35"/>
        <v>0</v>
      </c>
      <c r="I129" s="247">
        <f t="shared" si="35"/>
        <v>0</v>
      </c>
      <c r="J129" s="247">
        <f t="shared" si="35"/>
        <v>0</v>
      </c>
    </row>
    <row r="130" spans="1:19" hidden="1" outlineLevel="1" x14ac:dyDescent="0.2">
      <c r="D130" s="1"/>
      <c r="E130" s="1"/>
    </row>
    <row r="131" spans="1:19" hidden="1" outlineLevel="1" x14ac:dyDescent="0.2">
      <c r="C131" s="246" t="str">
        <f>IF(E131&lt;&gt;"",E131,"")</f>
        <v/>
      </c>
      <c r="D131" s="81" t="s">
        <v>743</v>
      </c>
      <c r="E131" s="227"/>
    </row>
    <row r="132" spans="1:19" hidden="1" outlineLevel="1" x14ac:dyDescent="0.2"/>
    <row r="133" spans="1:19" collapsed="1" x14ac:dyDescent="0.2">
      <c r="P133" s="446"/>
      <c r="Q133" s="119"/>
    </row>
    <row r="134" spans="1:19" ht="15.75" x14ac:dyDescent="0.2">
      <c r="C134" s="396">
        <v>4</v>
      </c>
      <c r="D134" s="72" t="str">
        <f>IF(E138&lt;&gt;"",CONCATENATE("Prevalent ",C134,": ",G138,L134),MsgNotUsed)</f>
        <v>** NOT USED **</v>
      </c>
      <c r="E134" s="116"/>
      <c r="F134" s="116"/>
      <c r="G134" s="116"/>
      <c r="H134" s="116"/>
      <c r="I134" s="118"/>
      <c r="J134" s="112"/>
      <c r="K134" s="117"/>
      <c r="L134" s="266" t="str">
        <f>IF(S138&lt;&gt;"",CONCATENATE(" (",S138,")"),"")</f>
        <v/>
      </c>
      <c r="M134" s="117"/>
      <c r="N134" s="117"/>
      <c r="O134" s="117"/>
      <c r="P134" s="117"/>
      <c r="Q134" s="117"/>
      <c r="R134" s="117"/>
      <c r="S134" s="117"/>
    </row>
    <row r="135" spans="1:19" hidden="1" outlineLevel="1" x14ac:dyDescent="0.2">
      <c r="D135" s="260"/>
    </row>
    <row r="136" spans="1:19" hidden="1" outlineLevel="1" x14ac:dyDescent="0.2">
      <c r="D136" t="s">
        <v>827</v>
      </c>
    </row>
    <row r="137" spans="1:19" hidden="1" outlineLevel="1" x14ac:dyDescent="0.2">
      <c r="D137" s="260"/>
      <c r="S137" s="31" t="s">
        <v>414</v>
      </c>
    </row>
    <row r="138" spans="1:19" hidden="1" outlineLevel="1" x14ac:dyDescent="0.2">
      <c r="A138" s="114"/>
      <c r="B138" s="246">
        <f>IF(E138&lt;&gt;"",MATCH(E138,EPISource,0)-1,0)</f>
        <v>0</v>
      </c>
      <c r="C138" s="246">
        <f ca="1">IF(G138&lt;&gt;"",MATCH(G138,OFFSET(References!$AE$7,0,B138,PxPopMaxCount),0),0)</f>
        <v>0</v>
      </c>
      <c r="D138" s="8" t="s">
        <v>110</v>
      </c>
      <c r="E138" s="230"/>
      <c r="F138" s="119"/>
      <c r="G138" s="580"/>
      <c r="H138" s="581"/>
      <c r="I138" s="581"/>
      <c r="J138" s="581"/>
      <c r="S138" s="234"/>
    </row>
    <row r="139" spans="1:19" hidden="1" outlineLevel="1" x14ac:dyDescent="0.2">
      <c r="A139" s="114"/>
      <c r="B139" s="246">
        <f>INDEX(PxPopValid,,B138+1)</f>
        <v>0</v>
      </c>
      <c r="C139" s="246">
        <f ca="1">(B138*PxPopMaxCount)+C138</f>
        <v>0</v>
      </c>
      <c r="E139" s="319">
        <v>1</v>
      </c>
      <c r="F139" s="319">
        <v>2</v>
      </c>
      <c r="G139" s="319">
        <v>3</v>
      </c>
      <c r="H139" s="319">
        <v>4</v>
      </c>
      <c r="I139" s="319">
        <v>5</v>
      </c>
      <c r="J139" s="319">
        <v>6</v>
      </c>
    </row>
    <row r="140" spans="1:19" hidden="1" outlineLevel="1" x14ac:dyDescent="0.2">
      <c r="A140" s="114"/>
      <c r="B140" s="114"/>
      <c r="C140" s="114"/>
      <c r="D140" s="260"/>
      <c r="E140" s="582" t="s">
        <v>10</v>
      </c>
      <c r="F140" s="582"/>
      <c r="G140" s="582"/>
      <c r="H140" s="582"/>
      <c r="I140" s="582"/>
      <c r="J140" s="582"/>
      <c r="S140" s="444" t="str">
        <f ca="1">IF(ISERROR($C139)=TRUE,MsgError&amp;VLOOKUP("BadPop",ErrorMessages,2,FALSE),IF(RIGHT(G138,11)="(Incidence)",MsgError&amp;VLOOKUP("BadIncPop",ErrorMessages,2,FALSE),""))</f>
        <v/>
      </c>
    </row>
    <row r="141" spans="1:19" hidden="1" outlineLevel="1" x14ac:dyDescent="0.2">
      <c r="A141" s="114"/>
      <c r="B141" s="114"/>
      <c r="C141" s="114"/>
      <c r="D141" s="260"/>
      <c r="E141" s="74">
        <f>FirstYear</f>
        <v>2026</v>
      </c>
      <c r="F141" s="74">
        <f>E141+1</f>
        <v>2027</v>
      </c>
      <c r="G141" s="74">
        <f>F141+1</f>
        <v>2028</v>
      </c>
      <c r="H141" s="74">
        <f>G141+1</f>
        <v>2029</v>
      </c>
      <c r="I141" s="74">
        <f>H141+1</f>
        <v>2030</v>
      </c>
      <c r="J141" s="74">
        <f>I141+1</f>
        <v>2031</v>
      </c>
    </row>
    <row r="142" spans="1:19" hidden="1" outlineLevel="1" x14ac:dyDescent="0.2">
      <c r="D142" s="499" t="s">
        <v>89</v>
      </c>
      <c r="E142" s="120">
        <f t="shared" ref="E142:J142" ca="1" si="36">IF(AND(ISERROR($C139)&lt;&gt;TRUE,$G138&lt;&gt;""),INDEX(PxPopNumbers,$C139,E139),0)</f>
        <v>0</v>
      </c>
      <c r="F142" s="120">
        <f t="shared" ca="1" si="36"/>
        <v>0</v>
      </c>
      <c r="G142" s="120">
        <f t="shared" ca="1" si="36"/>
        <v>0</v>
      </c>
      <c r="H142" s="120">
        <f t="shared" ca="1" si="36"/>
        <v>0</v>
      </c>
      <c r="I142" s="120">
        <f t="shared" ca="1" si="36"/>
        <v>0</v>
      </c>
      <c r="J142" s="120">
        <f t="shared" ca="1" si="36"/>
        <v>0</v>
      </c>
      <c r="R142" s="260"/>
    </row>
    <row r="143" spans="1:19" hidden="1" outlineLevel="1" x14ac:dyDescent="0.2"/>
    <row r="144" spans="1:19" hidden="1" outlineLevel="1" x14ac:dyDescent="0.2">
      <c r="D144" s="498" t="s">
        <v>196</v>
      </c>
      <c r="S144" s="31" t="s">
        <v>249</v>
      </c>
    </row>
    <row r="145" spans="4:19" hidden="1" outlineLevel="1" x14ac:dyDescent="0.2">
      <c r="D145" s="206"/>
      <c r="E145" s="329"/>
      <c r="F145" s="329"/>
      <c r="G145" s="329"/>
      <c r="H145" s="329"/>
      <c r="I145" s="329"/>
      <c r="J145" s="329"/>
      <c r="L145" s="40">
        <f t="shared" ref="L145:L153" si="37">IF(E145="",1,E145)</f>
        <v>1</v>
      </c>
      <c r="M145" s="40">
        <f t="shared" ref="M145:M154" si="38">IF(F145="",1,F145)</f>
        <v>1</v>
      </c>
      <c r="N145" s="40">
        <f t="shared" ref="N145:N154" si="39">IF(G145="",1,G145)</f>
        <v>1</v>
      </c>
      <c r="O145" s="40">
        <f t="shared" ref="O145:O154" si="40">IF(H145="",1,H145)</f>
        <v>1</v>
      </c>
      <c r="P145" s="40">
        <f t="shared" ref="P145:P154" si="41">IF(I145="",1,I145)</f>
        <v>1</v>
      </c>
      <c r="Q145" s="40">
        <f t="shared" ref="Q145:Q154" si="42">IF(J145="",1,J145)</f>
        <v>1</v>
      </c>
      <c r="S145" s="206"/>
    </row>
    <row r="146" spans="4:19" hidden="1" outlineLevel="1" x14ac:dyDescent="0.2">
      <c r="D146" s="206"/>
      <c r="E146" s="329"/>
      <c r="F146" s="329"/>
      <c r="G146" s="329"/>
      <c r="H146" s="329"/>
      <c r="I146" s="329"/>
      <c r="J146" s="329"/>
      <c r="L146" s="40">
        <f t="shared" si="37"/>
        <v>1</v>
      </c>
      <c r="M146" s="40">
        <f t="shared" si="38"/>
        <v>1</v>
      </c>
      <c r="N146" s="40">
        <f t="shared" si="39"/>
        <v>1</v>
      </c>
      <c r="O146" s="40">
        <f t="shared" si="40"/>
        <v>1</v>
      </c>
      <c r="P146" s="40">
        <f t="shared" si="41"/>
        <v>1</v>
      </c>
      <c r="Q146" s="40">
        <f t="shared" si="42"/>
        <v>1</v>
      </c>
      <c r="S146" s="206"/>
    </row>
    <row r="147" spans="4:19" hidden="1" outlineLevel="1" x14ac:dyDescent="0.2">
      <c r="D147" s="206"/>
      <c r="E147" s="329"/>
      <c r="F147" s="329"/>
      <c r="G147" s="329"/>
      <c r="H147" s="329"/>
      <c r="I147" s="329"/>
      <c r="J147" s="329"/>
      <c r="L147" s="40">
        <f t="shared" si="37"/>
        <v>1</v>
      </c>
      <c r="M147" s="40">
        <f t="shared" si="38"/>
        <v>1</v>
      </c>
      <c r="N147" s="40">
        <f t="shared" si="39"/>
        <v>1</v>
      </c>
      <c r="O147" s="40">
        <f t="shared" si="40"/>
        <v>1</v>
      </c>
      <c r="P147" s="40">
        <f t="shared" si="41"/>
        <v>1</v>
      </c>
      <c r="Q147" s="40">
        <f t="shared" si="42"/>
        <v>1</v>
      </c>
      <c r="S147" s="206"/>
    </row>
    <row r="148" spans="4:19" hidden="1" outlineLevel="1" x14ac:dyDescent="0.2">
      <c r="D148" s="206"/>
      <c r="E148" s="329"/>
      <c r="F148" s="329"/>
      <c r="G148" s="329"/>
      <c r="H148" s="329"/>
      <c r="I148" s="329"/>
      <c r="J148" s="329"/>
      <c r="L148" s="40">
        <f t="shared" si="37"/>
        <v>1</v>
      </c>
      <c r="M148" s="40">
        <f t="shared" si="38"/>
        <v>1</v>
      </c>
      <c r="N148" s="40">
        <f t="shared" si="39"/>
        <v>1</v>
      </c>
      <c r="O148" s="40">
        <f t="shared" si="40"/>
        <v>1</v>
      </c>
      <c r="P148" s="40">
        <f t="shared" si="41"/>
        <v>1</v>
      </c>
      <c r="Q148" s="40">
        <f t="shared" si="42"/>
        <v>1</v>
      </c>
      <c r="S148" s="206"/>
    </row>
    <row r="149" spans="4:19" hidden="1" outlineLevel="1" x14ac:dyDescent="0.2">
      <c r="D149" s="206"/>
      <c r="E149" s="329"/>
      <c r="F149" s="329"/>
      <c r="G149" s="329"/>
      <c r="H149" s="329"/>
      <c r="I149" s="329"/>
      <c r="J149" s="329"/>
      <c r="L149" s="40">
        <f t="shared" si="37"/>
        <v>1</v>
      </c>
      <c r="M149" s="40">
        <f t="shared" si="38"/>
        <v>1</v>
      </c>
      <c r="N149" s="40">
        <f t="shared" si="39"/>
        <v>1</v>
      </c>
      <c r="O149" s="40">
        <f t="shared" si="40"/>
        <v>1</v>
      </c>
      <c r="P149" s="40">
        <f t="shared" si="41"/>
        <v>1</v>
      </c>
      <c r="Q149" s="40">
        <f t="shared" si="42"/>
        <v>1</v>
      </c>
      <c r="S149" s="206"/>
    </row>
    <row r="150" spans="4:19" hidden="1" outlineLevel="1" x14ac:dyDescent="0.2">
      <c r="D150" s="206"/>
      <c r="E150" s="329"/>
      <c r="F150" s="329"/>
      <c r="G150" s="329"/>
      <c r="H150" s="329"/>
      <c r="I150" s="329"/>
      <c r="J150" s="329"/>
      <c r="L150" s="40">
        <f t="shared" si="37"/>
        <v>1</v>
      </c>
      <c r="M150" s="40">
        <f t="shared" si="38"/>
        <v>1</v>
      </c>
      <c r="N150" s="40">
        <f t="shared" si="39"/>
        <v>1</v>
      </c>
      <c r="O150" s="40">
        <f t="shared" si="40"/>
        <v>1</v>
      </c>
      <c r="P150" s="40">
        <f t="shared" si="41"/>
        <v>1</v>
      </c>
      <c r="Q150" s="40">
        <f t="shared" si="42"/>
        <v>1</v>
      </c>
      <c r="S150" s="206"/>
    </row>
    <row r="151" spans="4:19" hidden="1" outlineLevel="1" x14ac:dyDescent="0.2">
      <c r="D151" s="206"/>
      <c r="E151" s="329"/>
      <c r="F151" s="329"/>
      <c r="G151" s="329"/>
      <c r="H151" s="329"/>
      <c r="I151" s="329"/>
      <c r="J151" s="329"/>
      <c r="L151" s="40">
        <f t="shared" si="37"/>
        <v>1</v>
      </c>
      <c r="M151" s="40">
        <f t="shared" si="38"/>
        <v>1</v>
      </c>
      <c r="N151" s="40">
        <f t="shared" si="39"/>
        <v>1</v>
      </c>
      <c r="O151" s="40">
        <f t="shared" si="40"/>
        <v>1</v>
      </c>
      <c r="P151" s="40">
        <f t="shared" si="41"/>
        <v>1</v>
      </c>
      <c r="Q151" s="40">
        <f t="shared" si="42"/>
        <v>1</v>
      </c>
      <c r="S151" s="206"/>
    </row>
    <row r="152" spans="4:19" hidden="1" outlineLevel="1" x14ac:dyDescent="0.2">
      <c r="D152" s="206"/>
      <c r="E152" s="329"/>
      <c r="F152" s="329"/>
      <c r="G152" s="329"/>
      <c r="H152" s="329"/>
      <c r="I152" s="329"/>
      <c r="J152" s="329"/>
      <c r="L152" s="40">
        <f t="shared" si="37"/>
        <v>1</v>
      </c>
      <c r="M152" s="40">
        <f t="shared" si="38"/>
        <v>1</v>
      </c>
      <c r="N152" s="40">
        <f t="shared" si="39"/>
        <v>1</v>
      </c>
      <c r="O152" s="40">
        <f t="shared" si="40"/>
        <v>1</v>
      </c>
      <c r="P152" s="40">
        <f t="shared" si="41"/>
        <v>1</v>
      </c>
      <c r="Q152" s="40">
        <f t="shared" si="42"/>
        <v>1</v>
      </c>
      <c r="S152" s="206"/>
    </row>
    <row r="153" spans="4:19" hidden="1" outlineLevel="1" x14ac:dyDescent="0.2">
      <c r="D153" s="206"/>
      <c r="E153" s="329"/>
      <c r="F153" s="329"/>
      <c r="G153" s="329"/>
      <c r="H153" s="329"/>
      <c r="I153" s="329"/>
      <c r="J153" s="329"/>
      <c r="L153" s="40">
        <f t="shared" si="37"/>
        <v>1</v>
      </c>
      <c r="M153" s="40">
        <f t="shared" si="38"/>
        <v>1</v>
      </c>
      <c r="N153" s="40">
        <f t="shared" si="39"/>
        <v>1</v>
      </c>
      <c r="O153" s="40">
        <f t="shared" si="40"/>
        <v>1</v>
      </c>
      <c r="P153" s="40">
        <f t="shared" si="41"/>
        <v>1</v>
      </c>
      <c r="Q153" s="40">
        <f t="shared" si="42"/>
        <v>1</v>
      </c>
      <c r="S153" s="206"/>
    </row>
    <row r="154" spans="4:19" hidden="1" outlineLevel="1" x14ac:dyDescent="0.2">
      <c r="D154" s="206"/>
      <c r="E154" s="329"/>
      <c r="F154" s="329"/>
      <c r="G154" s="329"/>
      <c r="H154" s="329"/>
      <c r="I154" s="329"/>
      <c r="J154" s="329"/>
      <c r="L154" s="40">
        <f>IF(E154="",1,E154)</f>
        <v>1</v>
      </c>
      <c r="M154" s="40">
        <f t="shared" si="38"/>
        <v>1</v>
      </c>
      <c r="N154" s="40">
        <f t="shared" si="39"/>
        <v>1</v>
      </c>
      <c r="O154" s="40">
        <f t="shared" si="40"/>
        <v>1</v>
      </c>
      <c r="P154" s="40">
        <f t="shared" si="41"/>
        <v>1</v>
      </c>
      <c r="Q154" s="40">
        <f t="shared" si="42"/>
        <v>1</v>
      </c>
      <c r="S154" s="206"/>
    </row>
    <row r="155" spans="4:19" hidden="1" outlineLevel="1" x14ac:dyDescent="0.2">
      <c r="D155" s="20" t="s">
        <v>204</v>
      </c>
      <c r="E155" s="331">
        <f t="shared" ref="E155:J155" si="43">L145*L146*L147*L148*L154*L149*L150*L151*L152*L153</f>
        <v>1</v>
      </c>
      <c r="F155" s="331">
        <f t="shared" si="43"/>
        <v>1</v>
      </c>
      <c r="G155" s="331">
        <f t="shared" si="43"/>
        <v>1</v>
      </c>
      <c r="H155" s="331">
        <f t="shared" si="43"/>
        <v>1</v>
      </c>
      <c r="I155" s="331">
        <f t="shared" si="43"/>
        <v>1</v>
      </c>
      <c r="J155" s="331">
        <f t="shared" si="43"/>
        <v>1</v>
      </c>
    </row>
    <row r="156" spans="4:19" hidden="1" outlineLevel="1" x14ac:dyDescent="0.2">
      <c r="D156" s="4" t="s">
        <v>87</v>
      </c>
      <c r="E156" s="247">
        <f t="shared" ref="E156:J156" ca="1" si="44">IF(ISNUMBER(E142),E142*E155,"")</f>
        <v>0</v>
      </c>
      <c r="F156" s="247">
        <f t="shared" ca="1" si="44"/>
        <v>0</v>
      </c>
      <c r="G156" s="247">
        <f t="shared" ca="1" si="44"/>
        <v>0</v>
      </c>
      <c r="H156" s="247">
        <f t="shared" ca="1" si="44"/>
        <v>0</v>
      </c>
      <c r="I156" s="247">
        <f t="shared" ca="1" si="44"/>
        <v>0</v>
      </c>
      <c r="J156" s="247">
        <f t="shared" ca="1" si="44"/>
        <v>0</v>
      </c>
    </row>
    <row r="157" spans="4:19" hidden="1" outlineLevel="1" x14ac:dyDescent="0.2"/>
    <row r="158" spans="4:19" hidden="1" outlineLevel="1" x14ac:dyDescent="0.2">
      <c r="D158" s="54" t="str">
        <f>TxPhase1Tx</f>
        <v/>
      </c>
      <c r="E158" s="357"/>
      <c r="S158" s="31" t="s">
        <v>249</v>
      </c>
    </row>
    <row r="159" spans="4:19" hidden="1" outlineLevel="1" x14ac:dyDescent="0.2">
      <c r="D159" s="8" t="s">
        <v>88</v>
      </c>
      <c r="E159" s="48"/>
      <c r="F159" s="48"/>
      <c r="G159" s="48"/>
      <c r="H159" s="48"/>
      <c r="I159" s="48"/>
      <c r="J159" s="48"/>
      <c r="S159" s="41"/>
    </row>
    <row r="160" spans="4:19" hidden="1" outlineLevel="1" x14ac:dyDescent="0.2"/>
    <row r="161" spans="1:19" hidden="1" outlineLevel="1" x14ac:dyDescent="0.2">
      <c r="D161" s="82" t="str">
        <f>TXPhase2Tx</f>
        <v/>
      </c>
      <c r="E161" s="357"/>
      <c r="S161" s="6" t="s">
        <v>249</v>
      </c>
    </row>
    <row r="162" spans="1:19" hidden="1" outlineLevel="1" x14ac:dyDescent="0.2">
      <c r="D162" s="82" t="str">
        <f>IF(D161&lt;&gt;"","Patients electing treatment (%)","")</f>
        <v/>
      </c>
      <c r="E162" s="48"/>
      <c r="F162" s="48"/>
      <c r="G162" s="48"/>
      <c r="H162" s="48"/>
      <c r="I162" s="48"/>
      <c r="J162" s="48"/>
      <c r="S162" s="41"/>
    </row>
    <row r="163" spans="1:19" hidden="1" outlineLevel="1" x14ac:dyDescent="0.2"/>
    <row r="164" spans="1:19" hidden="1" outlineLevel="1" x14ac:dyDescent="0.2">
      <c r="C164" s="246">
        <f>IFERROR(VLOOKUP(E164,TxPhase2SourceCode,2,FALSE),0)</f>
        <v>1</v>
      </c>
      <c r="D164" s="54" t="s">
        <v>1152</v>
      </c>
      <c r="E164" s="227" t="s">
        <v>1153</v>
      </c>
    </row>
    <row r="165" spans="1:19" hidden="1" outlineLevel="1" x14ac:dyDescent="0.2"/>
    <row r="166" spans="1:19" hidden="1" outlineLevel="1" x14ac:dyDescent="0.2">
      <c r="D166" s="54" t="str">
        <f>TxPhase1Px</f>
        <v/>
      </c>
      <c r="E166" s="247">
        <f t="shared" ref="E166:J166" si="45">IF(TxPhase1&lt;&gt;"",E156*E159,0)</f>
        <v>0</v>
      </c>
      <c r="F166" s="247">
        <f t="shared" si="45"/>
        <v>0</v>
      </c>
      <c r="G166" s="247">
        <f t="shared" si="45"/>
        <v>0</v>
      </c>
      <c r="H166" s="247">
        <f t="shared" si="45"/>
        <v>0</v>
      </c>
      <c r="I166" s="247">
        <f t="shared" si="45"/>
        <v>0</v>
      </c>
      <c r="J166" s="247">
        <f t="shared" si="45"/>
        <v>0</v>
      </c>
    </row>
    <row r="167" spans="1:19" hidden="1" outlineLevel="1" x14ac:dyDescent="0.2">
      <c r="D167" s="54" t="str">
        <f>TxPhase2Px</f>
        <v/>
      </c>
      <c r="E167" s="247">
        <f t="shared" ref="E167:J167" si="46">IF(TxPhase2&lt;&gt;"",IF($C164=1,E166,IF($C164=2,E156,0))*E162,0)</f>
        <v>0</v>
      </c>
      <c r="F167" s="247">
        <f t="shared" si="46"/>
        <v>0</v>
      </c>
      <c r="G167" s="247">
        <f t="shared" si="46"/>
        <v>0</v>
      </c>
      <c r="H167" s="247">
        <f t="shared" si="46"/>
        <v>0</v>
      </c>
      <c r="I167" s="247">
        <f t="shared" si="46"/>
        <v>0</v>
      </c>
      <c r="J167" s="247">
        <f t="shared" si="46"/>
        <v>0</v>
      </c>
    </row>
    <row r="168" spans="1:19" hidden="1" outlineLevel="1" x14ac:dyDescent="0.2">
      <c r="D168" s="1"/>
      <c r="E168" s="1"/>
    </row>
    <row r="169" spans="1:19" hidden="1" outlineLevel="1" x14ac:dyDescent="0.2">
      <c r="C169" s="246" t="str">
        <f>IF(E169&lt;&gt;"",E169,"")</f>
        <v/>
      </c>
      <c r="D169" s="81" t="s">
        <v>743</v>
      </c>
      <c r="E169" s="227"/>
    </row>
    <row r="170" spans="1:19" hidden="1" outlineLevel="1" x14ac:dyDescent="0.2"/>
    <row r="171" spans="1:19" collapsed="1" x14ac:dyDescent="0.2">
      <c r="P171" s="446"/>
      <c r="Q171" s="119"/>
    </row>
    <row r="172" spans="1:19" ht="15.75" x14ac:dyDescent="0.2">
      <c r="C172" s="396">
        <v>5</v>
      </c>
      <c r="D172" s="72" t="str">
        <f>IF(E176&lt;&gt;"",CONCATENATE("Prevalent ",C172,": ",G176,L172),MsgNotUsed)</f>
        <v>** NOT USED **</v>
      </c>
      <c r="E172" s="116"/>
      <c r="F172" s="116"/>
      <c r="G172" s="116"/>
      <c r="H172" s="116"/>
      <c r="I172" s="118"/>
      <c r="J172" s="112"/>
      <c r="K172" s="117"/>
      <c r="L172" s="266" t="str">
        <f>IF(S176&lt;&gt;"",CONCATENATE(" (",S176,")"),"")</f>
        <v/>
      </c>
      <c r="M172" s="117"/>
      <c r="N172" s="117"/>
      <c r="O172" s="117"/>
      <c r="P172" s="117"/>
      <c r="Q172" s="117"/>
      <c r="R172" s="117"/>
      <c r="S172" s="117"/>
    </row>
    <row r="173" spans="1:19" hidden="1" outlineLevel="1" x14ac:dyDescent="0.2">
      <c r="D173" s="260"/>
    </row>
    <row r="174" spans="1:19" hidden="1" outlineLevel="1" x14ac:dyDescent="0.2">
      <c r="D174" t="s">
        <v>827</v>
      </c>
    </row>
    <row r="175" spans="1:19" hidden="1" outlineLevel="1" x14ac:dyDescent="0.2">
      <c r="D175" s="260"/>
      <c r="S175" s="31" t="s">
        <v>414</v>
      </c>
    </row>
    <row r="176" spans="1:19" hidden="1" outlineLevel="1" x14ac:dyDescent="0.2">
      <c r="A176" s="114"/>
      <c r="B176" s="246">
        <f>IF(E176&lt;&gt;"",MATCH(E176,EPISource,0)-1,0)</f>
        <v>0</v>
      </c>
      <c r="C176" s="246">
        <f ca="1">IF(G176&lt;&gt;"",MATCH(G176,OFFSET(References!$AE$7,0,B176,PxPopMaxCount),0),0)</f>
        <v>0</v>
      </c>
      <c r="D176" s="8" t="s">
        <v>110</v>
      </c>
      <c r="E176" s="230"/>
      <c r="F176" s="119"/>
      <c r="G176" s="580"/>
      <c r="H176" s="581"/>
      <c r="I176" s="581"/>
      <c r="J176" s="581"/>
      <c r="S176" s="234"/>
    </row>
    <row r="177" spans="1:19" hidden="1" outlineLevel="1" x14ac:dyDescent="0.2">
      <c r="A177" s="114"/>
      <c r="B177" s="246">
        <f>INDEX(PxPopValid,,B176+1)</f>
        <v>0</v>
      </c>
      <c r="C177" s="246">
        <f ca="1">(B176*PxPopMaxCount)+C176</f>
        <v>0</v>
      </c>
      <c r="E177" s="319">
        <v>1</v>
      </c>
      <c r="F177" s="319">
        <v>2</v>
      </c>
      <c r="G177" s="319">
        <v>3</v>
      </c>
      <c r="H177" s="319">
        <v>4</v>
      </c>
      <c r="I177" s="319">
        <v>5</v>
      </c>
      <c r="J177" s="319">
        <v>6</v>
      </c>
    </row>
    <row r="178" spans="1:19" hidden="1" outlineLevel="1" x14ac:dyDescent="0.2">
      <c r="A178" s="114"/>
      <c r="B178" s="114"/>
      <c r="C178" s="114"/>
      <c r="D178" s="260"/>
      <c r="E178" s="582" t="s">
        <v>10</v>
      </c>
      <c r="F178" s="582"/>
      <c r="G178" s="582"/>
      <c r="H178" s="582"/>
      <c r="I178" s="582"/>
      <c r="J178" s="582"/>
      <c r="S178" s="444" t="str">
        <f ca="1">IF(ISERROR($C177)=TRUE,MsgError&amp;VLOOKUP("BadPop",ErrorMessages,2,FALSE),IF(RIGHT(G176,11)="(Incidence)",MsgError&amp;VLOOKUP("BadIncPop",ErrorMessages,2,FALSE),""))</f>
        <v/>
      </c>
    </row>
    <row r="179" spans="1:19" hidden="1" outlineLevel="1" x14ac:dyDescent="0.2">
      <c r="A179" s="114"/>
      <c r="B179" s="114"/>
      <c r="C179" s="114"/>
      <c r="D179" s="260"/>
      <c r="E179" s="74">
        <f>FirstYear</f>
        <v>2026</v>
      </c>
      <c r="F179" s="74">
        <f>E179+1</f>
        <v>2027</v>
      </c>
      <c r="G179" s="74">
        <f>F179+1</f>
        <v>2028</v>
      </c>
      <c r="H179" s="74">
        <f>G179+1</f>
        <v>2029</v>
      </c>
      <c r="I179" s="74">
        <f>H179+1</f>
        <v>2030</v>
      </c>
      <c r="J179" s="74">
        <f>I179+1</f>
        <v>2031</v>
      </c>
    </row>
    <row r="180" spans="1:19" hidden="1" outlineLevel="1" x14ac:dyDescent="0.2">
      <c r="D180" s="499" t="s">
        <v>89</v>
      </c>
      <c r="E180" s="120">
        <f t="shared" ref="E180:J180" ca="1" si="47">IF(AND(ISERROR($C177)&lt;&gt;TRUE,$G176&lt;&gt;""),INDEX(PxPopNumbers,$C177,E177),0)</f>
        <v>0</v>
      </c>
      <c r="F180" s="120">
        <f t="shared" ca="1" si="47"/>
        <v>0</v>
      </c>
      <c r="G180" s="120">
        <f t="shared" ca="1" si="47"/>
        <v>0</v>
      </c>
      <c r="H180" s="120">
        <f t="shared" ca="1" si="47"/>
        <v>0</v>
      </c>
      <c r="I180" s="120">
        <f t="shared" ca="1" si="47"/>
        <v>0</v>
      </c>
      <c r="J180" s="120">
        <f t="shared" ca="1" si="47"/>
        <v>0</v>
      </c>
      <c r="R180" s="260"/>
    </row>
    <row r="181" spans="1:19" hidden="1" outlineLevel="1" x14ac:dyDescent="0.2"/>
    <row r="182" spans="1:19" hidden="1" outlineLevel="1" x14ac:dyDescent="0.2">
      <c r="D182" s="498" t="s">
        <v>196</v>
      </c>
      <c r="S182" s="31" t="s">
        <v>249</v>
      </c>
    </row>
    <row r="183" spans="1:19" hidden="1" outlineLevel="1" x14ac:dyDescent="0.2">
      <c r="D183" s="206"/>
      <c r="E183" s="329"/>
      <c r="F183" s="329"/>
      <c r="G183" s="329"/>
      <c r="H183" s="329"/>
      <c r="I183" s="329"/>
      <c r="J183" s="329"/>
      <c r="L183" s="40">
        <f t="shared" ref="L183:L191" si="48">IF(E183="",1,E183)</f>
        <v>1</v>
      </c>
      <c r="M183" s="40">
        <f t="shared" ref="M183:M192" si="49">IF(F183="",1,F183)</f>
        <v>1</v>
      </c>
      <c r="N183" s="40">
        <f t="shared" ref="N183:N192" si="50">IF(G183="",1,G183)</f>
        <v>1</v>
      </c>
      <c r="O183" s="40">
        <f t="shared" ref="O183:O192" si="51">IF(H183="",1,H183)</f>
        <v>1</v>
      </c>
      <c r="P183" s="40">
        <f t="shared" ref="P183:P192" si="52">IF(I183="",1,I183)</f>
        <v>1</v>
      </c>
      <c r="Q183" s="40">
        <f t="shared" ref="Q183:Q192" si="53">IF(J183="",1,J183)</f>
        <v>1</v>
      </c>
      <c r="S183" s="206"/>
    </row>
    <row r="184" spans="1:19" hidden="1" outlineLevel="1" x14ac:dyDescent="0.2">
      <c r="D184" s="206"/>
      <c r="E184" s="329"/>
      <c r="F184" s="329"/>
      <c r="G184" s="329"/>
      <c r="H184" s="329"/>
      <c r="I184" s="329"/>
      <c r="J184" s="329"/>
      <c r="L184" s="40">
        <f t="shared" si="48"/>
        <v>1</v>
      </c>
      <c r="M184" s="40">
        <f t="shared" si="49"/>
        <v>1</v>
      </c>
      <c r="N184" s="40">
        <f t="shared" si="50"/>
        <v>1</v>
      </c>
      <c r="O184" s="40">
        <f t="shared" si="51"/>
        <v>1</v>
      </c>
      <c r="P184" s="40">
        <f t="shared" si="52"/>
        <v>1</v>
      </c>
      <c r="Q184" s="40">
        <f t="shared" si="53"/>
        <v>1</v>
      </c>
      <c r="S184" s="206"/>
    </row>
    <row r="185" spans="1:19" hidden="1" outlineLevel="1" x14ac:dyDescent="0.2">
      <c r="D185" s="206"/>
      <c r="E185" s="329"/>
      <c r="F185" s="329"/>
      <c r="G185" s="329"/>
      <c r="H185" s="329"/>
      <c r="I185" s="329"/>
      <c r="J185" s="329"/>
      <c r="L185" s="40">
        <f t="shared" si="48"/>
        <v>1</v>
      </c>
      <c r="M185" s="40">
        <f t="shared" si="49"/>
        <v>1</v>
      </c>
      <c r="N185" s="40">
        <f t="shared" si="50"/>
        <v>1</v>
      </c>
      <c r="O185" s="40">
        <f t="shared" si="51"/>
        <v>1</v>
      </c>
      <c r="P185" s="40">
        <f t="shared" si="52"/>
        <v>1</v>
      </c>
      <c r="Q185" s="40">
        <f t="shared" si="53"/>
        <v>1</v>
      </c>
      <c r="S185" s="206"/>
    </row>
    <row r="186" spans="1:19" hidden="1" outlineLevel="1" x14ac:dyDescent="0.2">
      <c r="D186" s="206"/>
      <c r="E186" s="329"/>
      <c r="F186" s="329"/>
      <c r="G186" s="329"/>
      <c r="H186" s="329"/>
      <c r="I186" s="329"/>
      <c r="J186" s="329"/>
      <c r="L186" s="40">
        <f t="shared" si="48"/>
        <v>1</v>
      </c>
      <c r="M186" s="40">
        <f t="shared" si="49"/>
        <v>1</v>
      </c>
      <c r="N186" s="40">
        <f t="shared" si="50"/>
        <v>1</v>
      </c>
      <c r="O186" s="40">
        <f t="shared" si="51"/>
        <v>1</v>
      </c>
      <c r="P186" s="40">
        <f t="shared" si="52"/>
        <v>1</v>
      </c>
      <c r="Q186" s="40">
        <f t="shared" si="53"/>
        <v>1</v>
      </c>
      <c r="S186" s="206"/>
    </row>
    <row r="187" spans="1:19" hidden="1" outlineLevel="1" x14ac:dyDescent="0.2">
      <c r="D187" s="206"/>
      <c r="E187" s="329"/>
      <c r="F187" s="329"/>
      <c r="G187" s="329"/>
      <c r="H187" s="329"/>
      <c r="I187" s="329"/>
      <c r="J187" s="329"/>
      <c r="L187" s="40">
        <f t="shared" si="48"/>
        <v>1</v>
      </c>
      <c r="M187" s="40">
        <f t="shared" si="49"/>
        <v>1</v>
      </c>
      <c r="N187" s="40">
        <f t="shared" si="50"/>
        <v>1</v>
      </c>
      <c r="O187" s="40">
        <f t="shared" si="51"/>
        <v>1</v>
      </c>
      <c r="P187" s="40">
        <f t="shared" si="52"/>
        <v>1</v>
      </c>
      <c r="Q187" s="40">
        <f t="shared" si="53"/>
        <v>1</v>
      </c>
      <c r="S187" s="206"/>
    </row>
    <row r="188" spans="1:19" hidden="1" outlineLevel="1" x14ac:dyDescent="0.2">
      <c r="D188" s="206"/>
      <c r="E188" s="329"/>
      <c r="F188" s="329"/>
      <c r="G188" s="329"/>
      <c r="H188" s="329"/>
      <c r="I188" s="329"/>
      <c r="J188" s="329"/>
      <c r="L188" s="40">
        <f t="shared" si="48"/>
        <v>1</v>
      </c>
      <c r="M188" s="40">
        <f t="shared" si="49"/>
        <v>1</v>
      </c>
      <c r="N188" s="40">
        <f t="shared" si="50"/>
        <v>1</v>
      </c>
      <c r="O188" s="40">
        <f t="shared" si="51"/>
        <v>1</v>
      </c>
      <c r="P188" s="40">
        <f t="shared" si="52"/>
        <v>1</v>
      </c>
      <c r="Q188" s="40">
        <f t="shared" si="53"/>
        <v>1</v>
      </c>
      <c r="S188" s="206"/>
    </row>
    <row r="189" spans="1:19" hidden="1" outlineLevel="1" x14ac:dyDescent="0.2">
      <c r="D189" s="206"/>
      <c r="E189" s="329"/>
      <c r="F189" s="329"/>
      <c r="G189" s="329"/>
      <c r="H189" s="329"/>
      <c r="I189" s="329"/>
      <c r="J189" s="329"/>
      <c r="L189" s="40">
        <f t="shared" si="48"/>
        <v>1</v>
      </c>
      <c r="M189" s="40">
        <f t="shared" si="49"/>
        <v>1</v>
      </c>
      <c r="N189" s="40">
        <f t="shared" si="50"/>
        <v>1</v>
      </c>
      <c r="O189" s="40">
        <f t="shared" si="51"/>
        <v>1</v>
      </c>
      <c r="P189" s="40">
        <f t="shared" si="52"/>
        <v>1</v>
      </c>
      <c r="Q189" s="40">
        <f t="shared" si="53"/>
        <v>1</v>
      </c>
      <c r="S189" s="206"/>
    </row>
    <row r="190" spans="1:19" hidden="1" outlineLevel="1" x14ac:dyDescent="0.2">
      <c r="D190" s="206"/>
      <c r="E190" s="329"/>
      <c r="F190" s="329"/>
      <c r="G190" s="329"/>
      <c r="H190" s="329"/>
      <c r="I190" s="329"/>
      <c r="J190" s="329"/>
      <c r="L190" s="40">
        <f t="shared" si="48"/>
        <v>1</v>
      </c>
      <c r="M190" s="40">
        <f t="shared" si="49"/>
        <v>1</v>
      </c>
      <c r="N190" s="40">
        <f t="shared" si="50"/>
        <v>1</v>
      </c>
      <c r="O190" s="40">
        <f t="shared" si="51"/>
        <v>1</v>
      </c>
      <c r="P190" s="40">
        <f t="shared" si="52"/>
        <v>1</v>
      </c>
      <c r="Q190" s="40">
        <f t="shared" si="53"/>
        <v>1</v>
      </c>
      <c r="S190" s="206"/>
    </row>
    <row r="191" spans="1:19" hidden="1" outlineLevel="1" x14ac:dyDescent="0.2">
      <c r="D191" s="206"/>
      <c r="E191" s="329"/>
      <c r="F191" s="329"/>
      <c r="G191" s="329"/>
      <c r="H191" s="329"/>
      <c r="I191" s="329"/>
      <c r="J191" s="329"/>
      <c r="L191" s="40">
        <f t="shared" si="48"/>
        <v>1</v>
      </c>
      <c r="M191" s="40">
        <f t="shared" si="49"/>
        <v>1</v>
      </c>
      <c r="N191" s="40">
        <f t="shared" si="50"/>
        <v>1</v>
      </c>
      <c r="O191" s="40">
        <f t="shared" si="51"/>
        <v>1</v>
      </c>
      <c r="P191" s="40">
        <f t="shared" si="52"/>
        <v>1</v>
      </c>
      <c r="Q191" s="40">
        <f t="shared" si="53"/>
        <v>1</v>
      </c>
      <c r="S191" s="206"/>
    </row>
    <row r="192" spans="1:19" hidden="1" outlineLevel="1" x14ac:dyDescent="0.2">
      <c r="D192" s="206"/>
      <c r="E192" s="329"/>
      <c r="F192" s="329"/>
      <c r="G192" s="329"/>
      <c r="H192" s="329"/>
      <c r="I192" s="329"/>
      <c r="J192" s="329"/>
      <c r="L192" s="40">
        <f>IF(E192="",1,E192)</f>
        <v>1</v>
      </c>
      <c r="M192" s="40">
        <f t="shared" si="49"/>
        <v>1</v>
      </c>
      <c r="N192" s="40">
        <f t="shared" si="50"/>
        <v>1</v>
      </c>
      <c r="O192" s="40">
        <f t="shared" si="51"/>
        <v>1</v>
      </c>
      <c r="P192" s="40">
        <f t="shared" si="52"/>
        <v>1</v>
      </c>
      <c r="Q192" s="40">
        <f t="shared" si="53"/>
        <v>1</v>
      </c>
      <c r="S192" s="206"/>
    </row>
    <row r="193" spans="3:19" hidden="1" outlineLevel="1" x14ac:dyDescent="0.2">
      <c r="D193" s="20" t="s">
        <v>204</v>
      </c>
      <c r="E193" s="331">
        <f t="shared" ref="E193:J193" si="54">L183*L184*L185*L186*L192*L187*L188*L189*L190*L191</f>
        <v>1</v>
      </c>
      <c r="F193" s="331">
        <f t="shared" si="54"/>
        <v>1</v>
      </c>
      <c r="G193" s="331">
        <f t="shared" si="54"/>
        <v>1</v>
      </c>
      <c r="H193" s="331">
        <f t="shared" si="54"/>
        <v>1</v>
      </c>
      <c r="I193" s="331">
        <f t="shared" si="54"/>
        <v>1</v>
      </c>
      <c r="J193" s="331">
        <f t="shared" si="54"/>
        <v>1</v>
      </c>
    </row>
    <row r="194" spans="3:19" hidden="1" outlineLevel="1" x14ac:dyDescent="0.2">
      <c r="D194" s="4" t="s">
        <v>87</v>
      </c>
      <c r="E194" s="247">
        <f t="shared" ref="E194:J194" ca="1" si="55">IF(ISNUMBER(E180),E180*E193,"")</f>
        <v>0</v>
      </c>
      <c r="F194" s="247">
        <f t="shared" ca="1" si="55"/>
        <v>0</v>
      </c>
      <c r="G194" s="247">
        <f t="shared" ca="1" si="55"/>
        <v>0</v>
      </c>
      <c r="H194" s="247">
        <f t="shared" ca="1" si="55"/>
        <v>0</v>
      </c>
      <c r="I194" s="247">
        <f t="shared" ca="1" si="55"/>
        <v>0</v>
      </c>
      <c r="J194" s="247">
        <f t="shared" ca="1" si="55"/>
        <v>0</v>
      </c>
    </row>
    <row r="195" spans="3:19" hidden="1" outlineLevel="1" x14ac:dyDescent="0.2"/>
    <row r="196" spans="3:19" hidden="1" outlineLevel="1" x14ac:dyDescent="0.2">
      <c r="D196" s="54" t="str">
        <f>TxPhase1Tx</f>
        <v/>
      </c>
      <c r="E196" s="357"/>
      <c r="S196" s="31" t="s">
        <v>249</v>
      </c>
    </row>
    <row r="197" spans="3:19" hidden="1" outlineLevel="1" x14ac:dyDescent="0.2">
      <c r="D197" s="8" t="s">
        <v>88</v>
      </c>
      <c r="E197" s="48"/>
      <c r="F197" s="48"/>
      <c r="G197" s="48"/>
      <c r="H197" s="48"/>
      <c r="I197" s="48"/>
      <c r="J197" s="48"/>
      <c r="S197" s="41"/>
    </row>
    <row r="198" spans="3:19" hidden="1" outlineLevel="1" x14ac:dyDescent="0.2"/>
    <row r="199" spans="3:19" hidden="1" outlineLevel="1" x14ac:dyDescent="0.2">
      <c r="D199" s="82" t="str">
        <f>TXPhase2Tx</f>
        <v/>
      </c>
      <c r="E199" s="357"/>
      <c r="S199" s="6" t="s">
        <v>249</v>
      </c>
    </row>
    <row r="200" spans="3:19" hidden="1" outlineLevel="1" x14ac:dyDescent="0.2">
      <c r="D200" s="82" t="str">
        <f>IF(D199&lt;&gt;"","Patients electing treatment (%)","")</f>
        <v/>
      </c>
      <c r="E200" s="48"/>
      <c r="F200" s="48"/>
      <c r="G200" s="48"/>
      <c r="H200" s="48"/>
      <c r="I200" s="48"/>
      <c r="J200" s="48"/>
      <c r="S200" s="41"/>
    </row>
    <row r="201" spans="3:19" hidden="1" outlineLevel="1" x14ac:dyDescent="0.2"/>
    <row r="202" spans="3:19" hidden="1" outlineLevel="1" x14ac:dyDescent="0.2">
      <c r="C202" s="246">
        <f>IFERROR(VLOOKUP(E202,TxPhase2SourceCode,2,FALSE),0)</f>
        <v>1</v>
      </c>
      <c r="D202" s="54" t="s">
        <v>1152</v>
      </c>
      <c r="E202" s="227" t="s">
        <v>1153</v>
      </c>
    </row>
    <row r="203" spans="3:19" hidden="1" outlineLevel="1" x14ac:dyDescent="0.2"/>
    <row r="204" spans="3:19" hidden="1" outlineLevel="1" x14ac:dyDescent="0.2">
      <c r="D204" s="54" t="str">
        <f>TxPhase1Px</f>
        <v/>
      </c>
      <c r="E204" s="247">
        <f t="shared" ref="E204:J204" si="56">IF(TxPhase1&lt;&gt;"",E194*E197,0)</f>
        <v>0</v>
      </c>
      <c r="F204" s="247">
        <f t="shared" si="56"/>
        <v>0</v>
      </c>
      <c r="G204" s="247">
        <f t="shared" si="56"/>
        <v>0</v>
      </c>
      <c r="H204" s="247">
        <f t="shared" si="56"/>
        <v>0</v>
      </c>
      <c r="I204" s="247">
        <f t="shared" si="56"/>
        <v>0</v>
      </c>
      <c r="J204" s="247">
        <f t="shared" si="56"/>
        <v>0</v>
      </c>
    </row>
    <row r="205" spans="3:19" hidden="1" outlineLevel="1" x14ac:dyDescent="0.2">
      <c r="D205" s="54" t="str">
        <f>TxPhase2Px</f>
        <v/>
      </c>
      <c r="E205" s="247">
        <f t="shared" ref="E205:J205" si="57">IF(TxPhase2&lt;&gt;"",IF($C202=1,E204,IF($C202=2,E194,0))*E200,0)</f>
        <v>0</v>
      </c>
      <c r="F205" s="247">
        <f t="shared" si="57"/>
        <v>0</v>
      </c>
      <c r="G205" s="247">
        <f t="shared" si="57"/>
        <v>0</v>
      </c>
      <c r="H205" s="247">
        <f t="shared" si="57"/>
        <v>0</v>
      </c>
      <c r="I205" s="247">
        <f t="shared" si="57"/>
        <v>0</v>
      </c>
      <c r="J205" s="247">
        <f t="shared" si="57"/>
        <v>0</v>
      </c>
    </row>
    <row r="206" spans="3:19" hidden="1" outlineLevel="1" x14ac:dyDescent="0.2">
      <c r="D206" s="1"/>
      <c r="E206" s="1"/>
    </row>
    <row r="207" spans="3:19" hidden="1" outlineLevel="1" x14ac:dyDescent="0.2">
      <c r="C207" s="246" t="str">
        <f>IF(E207&lt;&gt;"",E207,"")</f>
        <v/>
      </c>
      <c r="D207" s="81" t="s">
        <v>743</v>
      </c>
      <c r="E207" s="227"/>
    </row>
    <row r="208" spans="3:19" hidden="1" outlineLevel="1" x14ac:dyDescent="0.2"/>
    <row r="209" spans="1:19" collapsed="1" x14ac:dyDescent="0.2">
      <c r="P209" s="446"/>
      <c r="Q209" s="119"/>
    </row>
    <row r="210" spans="1:19" ht="15.75" x14ac:dyDescent="0.2">
      <c r="C210" s="396">
        <v>6</v>
      </c>
      <c r="D210" s="72" t="str">
        <f>IF(E214&lt;&gt;"",CONCATENATE("Prevalent ",C210,": ",G214,L210),MsgNotUsed)</f>
        <v>** NOT USED **</v>
      </c>
      <c r="E210" s="116"/>
      <c r="F210" s="116"/>
      <c r="G210" s="116"/>
      <c r="H210" s="116"/>
      <c r="I210" s="118"/>
      <c r="J210" s="112"/>
      <c r="K210" s="117"/>
      <c r="L210" s="266" t="str">
        <f>IF(S214&lt;&gt;"",CONCATENATE(" (",S214,")"),"")</f>
        <v/>
      </c>
      <c r="M210" s="117"/>
      <c r="N210" s="117"/>
      <c r="O210" s="117"/>
      <c r="P210" s="117"/>
      <c r="Q210" s="117"/>
      <c r="R210" s="117"/>
      <c r="S210" s="117"/>
    </row>
    <row r="211" spans="1:19" hidden="1" outlineLevel="1" x14ac:dyDescent="0.2">
      <c r="D211" s="260"/>
    </row>
    <row r="212" spans="1:19" hidden="1" outlineLevel="1" x14ac:dyDescent="0.2">
      <c r="D212" t="s">
        <v>827</v>
      </c>
    </row>
    <row r="213" spans="1:19" hidden="1" outlineLevel="1" x14ac:dyDescent="0.2">
      <c r="D213" s="260"/>
      <c r="S213" s="31" t="s">
        <v>414</v>
      </c>
    </row>
    <row r="214" spans="1:19" hidden="1" outlineLevel="1" x14ac:dyDescent="0.2">
      <c r="A214" s="114"/>
      <c r="B214" s="246">
        <f>IF(E214&lt;&gt;"",MATCH(E214,EPISource,0)-1,0)</f>
        <v>0</v>
      </c>
      <c r="C214" s="246">
        <f ca="1">IF(G214&lt;&gt;"",MATCH(G214,OFFSET(References!$AE$7,0,B214,PxPopMaxCount),0),0)</f>
        <v>0</v>
      </c>
      <c r="D214" s="8" t="s">
        <v>110</v>
      </c>
      <c r="E214" s="230"/>
      <c r="F214" s="119"/>
      <c r="G214" s="580"/>
      <c r="H214" s="581"/>
      <c r="I214" s="581"/>
      <c r="J214" s="581"/>
      <c r="S214" s="234"/>
    </row>
    <row r="215" spans="1:19" hidden="1" outlineLevel="1" x14ac:dyDescent="0.2">
      <c r="A215" s="114"/>
      <c r="B215" s="246">
        <f>INDEX(PxPopValid,,B214+1)</f>
        <v>0</v>
      </c>
      <c r="C215" s="246">
        <f ca="1">(B214*PxPopMaxCount)+C214</f>
        <v>0</v>
      </c>
      <c r="E215" s="319">
        <v>1</v>
      </c>
      <c r="F215" s="319">
        <v>2</v>
      </c>
      <c r="G215" s="319">
        <v>3</v>
      </c>
      <c r="H215" s="319">
        <v>4</v>
      </c>
      <c r="I215" s="319">
        <v>5</v>
      </c>
      <c r="J215" s="319">
        <v>6</v>
      </c>
    </row>
    <row r="216" spans="1:19" hidden="1" outlineLevel="1" x14ac:dyDescent="0.2">
      <c r="A216" s="114"/>
      <c r="B216" s="114"/>
      <c r="C216" s="114"/>
      <c r="D216" s="260"/>
      <c r="E216" s="582" t="s">
        <v>10</v>
      </c>
      <c r="F216" s="582"/>
      <c r="G216" s="582"/>
      <c r="H216" s="582"/>
      <c r="I216" s="582"/>
      <c r="J216" s="582"/>
      <c r="S216" s="444" t="str">
        <f ca="1">IF(ISERROR($C215)=TRUE,MsgError&amp;VLOOKUP("BadPop",ErrorMessages,2,FALSE),IF(RIGHT(G214,11)="(Incidence)",MsgError&amp;VLOOKUP("BadIncPop",ErrorMessages,2,FALSE),""))</f>
        <v/>
      </c>
    </row>
    <row r="217" spans="1:19" hidden="1" outlineLevel="1" x14ac:dyDescent="0.2">
      <c r="A217" s="114"/>
      <c r="B217" s="114"/>
      <c r="C217" s="114"/>
      <c r="D217" s="260"/>
      <c r="E217" s="74">
        <f>FirstYear</f>
        <v>2026</v>
      </c>
      <c r="F217" s="74">
        <f>E217+1</f>
        <v>2027</v>
      </c>
      <c r="G217" s="74">
        <f>F217+1</f>
        <v>2028</v>
      </c>
      <c r="H217" s="74">
        <f>G217+1</f>
        <v>2029</v>
      </c>
      <c r="I217" s="74">
        <f>H217+1</f>
        <v>2030</v>
      </c>
      <c r="J217" s="74">
        <f>I217+1</f>
        <v>2031</v>
      </c>
    </row>
    <row r="218" spans="1:19" hidden="1" outlineLevel="1" x14ac:dyDescent="0.2">
      <c r="D218" s="499" t="s">
        <v>89</v>
      </c>
      <c r="E218" s="120">
        <f t="shared" ref="E218:J218" ca="1" si="58">IF(AND(ISERROR($C215)&lt;&gt;TRUE,$G214&lt;&gt;""),INDEX(PxPopNumbers,$C215,E215),0)</f>
        <v>0</v>
      </c>
      <c r="F218" s="120">
        <f t="shared" ca="1" si="58"/>
        <v>0</v>
      </c>
      <c r="G218" s="120">
        <f t="shared" ca="1" si="58"/>
        <v>0</v>
      </c>
      <c r="H218" s="120">
        <f t="shared" ca="1" si="58"/>
        <v>0</v>
      </c>
      <c r="I218" s="120">
        <f t="shared" ca="1" si="58"/>
        <v>0</v>
      </c>
      <c r="J218" s="120">
        <f t="shared" ca="1" si="58"/>
        <v>0</v>
      </c>
      <c r="R218" s="260"/>
    </row>
    <row r="219" spans="1:19" hidden="1" outlineLevel="1" x14ac:dyDescent="0.2"/>
    <row r="220" spans="1:19" hidden="1" outlineLevel="1" x14ac:dyDescent="0.2">
      <c r="D220" s="498" t="s">
        <v>196</v>
      </c>
      <c r="S220" s="31" t="s">
        <v>249</v>
      </c>
    </row>
    <row r="221" spans="1:19" hidden="1" outlineLevel="1" x14ac:dyDescent="0.2">
      <c r="D221" s="206"/>
      <c r="E221" s="329"/>
      <c r="F221" s="329"/>
      <c r="G221" s="329"/>
      <c r="H221" s="329"/>
      <c r="I221" s="329"/>
      <c r="J221" s="329"/>
      <c r="L221" s="40">
        <f t="shared" ref="L221:L229" si="59">IF(E221="",1,E221)</f>
        <v>1</v>
      </c>
      <c r="M221" s="40">
        <f t="shared" ref="M221:M230" si="60">IF(F221="",1,F221)</f>
        <v>1</v>
      </c>
      <c r="N221" s="40">
        <f t="shared" ref="N221:N230" si="61">IF(G221="",1,G221)</f>
        <v>1</v>
      </c>
      <c r="O221" s="40">
        <f t="shared" ref="O221:O230" si="62">IF(H221="",1,H221)</f>
        <v>1</v>
      </c>
      <c r="P221" s="40">
        <f t="shared" ref="P221:P230" si="63">IF(I221="",1,I221)</f>
        <v>1</v>
      </c>
      <c r="Q221" s="40">
        <f t="shared" ref="Q221:Q230" si="64">IF(J221="",1,J221)</f>
        <v>1</v>
      </c>
      <c r="S221" s="206"/>
    </row>
    <row r="222" spans="1:19" hidden="1" outlineLevel="1" x14ac:dyDescent="0.2">
      <c r="D222" s="206"/>
      <c r="E222" s="329"/>
      <c r="F222" s="329"/>
      <c r="G222" s="329"/>
      <c r="H222" s="329"/>
      <c r="I222" s="329"/>
      <c r="J222" s="329"/>
      <c r="L222" s="40">
        <f t="shared" si="59"/>
        <v>1</v>
      </c>
      <c r="M222" s="40">
        <f t="shared" si="60"/>
        <v>1</v>
      </c>
      <c r="N222" s="40">
        <f t="shared" si="61"/>
        <v>1</v>
      </c>
      <c r="O222" s="40">
        <f t="shared" si="62"/>
        <v>1</v>
      </c>
      <c r="P222" s="40">
        <f t="shared" si="63"/>
        <v>1</v>
      </c>
      <c r="Q222" s="40">
        <f t="shared" si="64"/>
        <v>1</v>
      </c>
      <c r="S222" s="206"/>
    </row>
    <row r="223" spans="1:19" hidden="1" outlineLevel="1" x14ac:dyDescent="0.2">
      <c r="D223" s="206"/>
      <c r="E223" s="329"/>
      <c r="F223" s="329"/>
      <c r="G223" s="329"/>
      <c r="H223" s="329"/>
      <c r="I223" s="329"/>
      <c r="J223" s="329"/>
      <c r="L223" s="40">
        <f t="shared" si="59"/>
        <v>1</v>
      </c>
      <c r="M223" s="40">
        <f t="shared" si="60"/>
        <v>1</v>
      </c>
      <c r="N223" s="40">
        <f t="shared" si="61"/>
        <v>1</v>
      </c>
      <c r="O223" s="40">
        <f t="shared" si="62"/>
        <v>1</v>
      </c>
      <c r="P223" s="40">
        <f t="shared" si="63"/>
        <v>1</v>
      </c>
      <c r="Q223" s="40">
        <f t="shared" si="64"/>
        <v>1</v>
      </c>
      <c r="S223" s="206"/>
    </row>
    <row r="224" spans="1:19" hidden="1" outlineLevel="1" x14ac:dyDescent="0.2">
      <c r="D224" s="206"/>
      <c r="E224" s="329"/>
      <c r="F224" s="329"/>
      <c r="G224" s="329"/>
      <c r="H224" s="329"/>
      <c r="I224" s="329"/>
      <c r="J224" s="329"/>
      <c r="L224" s="40">
        <f t="shared" si="59"/>
        <v>1</v>
      </c>
      <c r="M224" s="40">
        <f t="shared" si="60"/>
        <v>1</v>
      </c>
      <c r="N224" s="40">
        <f t="shared" si="61"/>
        <v>1</v>
      </c>
      <c r="O224" s="40">
        <f t="shared" si="62"/>
        <v>1</v>
      </c>
      <c r="P224" s="40">
        <f t="shared" si="63"/>
        <v>1</v>
      </c>
      <c r="Q224" s="40">
        <f t="shared" si="64"/>
        <v>1</v>
      </c>
      <c r="S224" s="206"/>
    </row>
    <row r="225" spans="3:19" hidden="1" outlineLevel="1" x14ac:dyDescent="0.2">
      <c r="D225" s="206"/>
      <c r="E225" s="329"/>
      <c r="F225" s="329"/>
      <c r="G225" s="329"/>
      <c r="H225" s="329"/>
      <c r="I225" s="329"/>
      <c r="J225" s="329"/>
      <c r="L225" s="40">
        <f t="shared" si="59"/>
        <v>1</v>
      </c>
      <c r="M225" s="40">
        <f t="shared" si="60"/>
        <v>1</v>
      </c>
      <c r="N225" s="40">
        <f t="shared" si="61"/>
        <v>1</v>
      </c>
      <c r="O225" s="40">
        <f t="shared" si="62"/>
        <v>1</v>
      </c>
      <c r="P225" s="40">
        <f t="shared" si="63"/>
        <v>1</v>
      </c>
      <c r="Q225" s="40">
        <f t="shared" si="64"/>
        <v>1</v>
      </c>
      <c r="S225" s="206"/>
    </row>
    <row r="226" spans="3:19" hidden="1" outlineLevel="1" x14ac:dyDescent="0.2">
      <c r="D226" s="206"/>
      <c r="E226" s="329"/>
      <c r="F226" s="329"/>
      <c r="G226" s="329"/>
      <c r="H226" s="329"/>
      <c r="I226" s="329"/>
      <c r="J226" s="329"/>
      <c r="L226" s="40">
        <f t="shared" si="59"/>
        <v>1</v>
      </c>
      <c r="M226" s="40">
        <f t="shared" si="60"/>
        <v>1</v>
      </c>
      <c r="N226" s="40">
        <f t="shared" si="61"/>
        <v>1</v>
      </c>
      <c r="O226" s="40">
        <f t="shared" si="62"/>
        <v>1</v>
      </c>
      <c r="P226" s="40">
        <f t="shared" si="63"/>
        <v>1</v>
      </c>
      <c r="Q226" s="40">
        <f t="shared" si="64"/>
        <v>1</v>
      </c>
      <c r="S226" s="206"/>
    </row>
    <row r="227" spans="3:19" hidden="1" outlineLevel="1" x14ac:dyDescent="0.2">
      <c r="D227" s="206"/>
      <c r="E227" s="329"/>
      <c r="F227" s="329"/>
      <c r="G227" s="329"/>
      <c r="H227" s="329"/>
      <c r="I227" s="329"/>
      <c r="J227" s="329"/>
      <c r="L227" s="40">
        <f t="shared" si="59"/>
        <v>1</v>
      </c>
      <c r="M227" s="40">
        <f t="shared" si="60"/>
        <v>1</v>
      </c>
      <c r="N227" s="40">
        <f t="shared" si="61"/>
        <v>1</v>
      </c>
      <c r="O227" s="40">
        <f t="shared" si="62"/>
        <v>1</v>
      </c>
      <c r="P227" s="40">
        <f t="shared" si="63"/>
        <v>1</v>
      </c>
      <c r="Q227" s="40">
        <f t="shared" si="64"/>
        <v>1</v>
      </c>
      <c r="S227" s="206"/>
    </row>
    <row r="228" spans="3:19" hidden="1" outlineLevel="1" x14ac:dyDescent="0.2">
      <c r="D228" s="206"/>
      <c r="E228" s="329"/>
      <c r="F228" s="329"/>
      <c r="G228" s="329"/>
      <c r="H228" s="329"/>
      <c r="I228" s="329"/>
      <c r="J228" s="329"/>
      <c r="L228" s="40">
        <f t="shared" si="59"/>
        <v>1</v>
      </c>
      <c r="M228" s="40">
        <f t="shared" si="60"/>
        <v>1</v>
      </c>
      <c r="N228" s="40">
        <f t="shared" si="61"/>
        <v>1</v>
      </c>
      <c r="O228" s="40">
        <f t="shared" si="62"/>
        <v>1</v>
      </c>
      <c r="P228" s="40">
        <f t="shared" si="63"/>
        <v>1</v>
      </c>
      <c r="Q228" s="40">
        <f t="shared" si="64"/>
        <v>1</v>
      </c>
      <c r="S228" s="206"/>
    </row>
    <row r="229" spans="3:19" hidden="1" outlineLevel="1" x14ac:dyDescent="0.2">
      <c r="D229" s="206"/>
      <c r="E229" s="329"/>
      <c r="F229" s="329"/>
      <c r="G229" s="329"/>
      <c r="H229" s="329"/>
      <c r="I229" s="329"/>
      <c r="J229" s="329"/>
      <c r="L229" s="40">
        <f t="shared" si="59"/>
        <v>1</v>
      </c>
      <c r="M229" s="40">
        <f t="shared" si="60"/>
        <v>1</v>
      </c>
      <c r="N229" s="40">
        <f t="shared" si="61"/>
        <v>1</v>
      </c>
      <c r="O229" s="40">
        <f t="shared" si="62"/>
        <v>1</v>
      </c>
      <c r="P229" s="40">
        <f t="shared" si="63"/>
        <v>1</v>
      </c>
      <c r="Q229" s="40">
        <f t="shared" si="64"/>
        <v>1</v>
      </c>
      <c r="S229" s="206"/>
    </row>
    <row r="230" spans="3:19" hidden="1" outlineLevel="1" x14ac:dyDescent="0.2">
      <c r="D230" s="206"/>
      <c r="E230" s="329"/>
      <c r="F230" s="329"/>
      <c r="G230" s="329"/>
      <c r="H230" s="329"/>
      <c r="I230" s="329"/>
      <c r="J230" s="329"/>
      <c r="L230" s="40">
        <f>IF(E230="",1,E230)</f>
        <v>1</v>
      </c>
      <c r="M230" s="40">
        <f t="shared" si="60"/>
        <v>1</v>
      </c>
      <c r="N230" s="40">
        <f t="shared" si="61"/>
        <v>1</v>
      </c>
      <c r="O230" s="40">
        <f t="shared" si="62"/>
        <v>1</v>
      </c>
      <c r="P230" s="40">
        <f t="shared" si="63"/>
        <v>1</v>
      </c>
      <c r="Q230" s="40">
        <f t="shared" si="64"/>
        <v>1</v>
      </c>
      <c r="S230" s="206"/>
    </row>
    <row r="231" spans="3:19" hidden="1" outlineLevel="1" x14ac:dyDescent="0.2">
      <c r="D231" s="20" t="s">
        <v>204</v>
      </c>
      <c r="E231" s="331">
        <f t="shared" ref="E231:J231" si="65">L221*L222*L223*L224*L230*L225*L226*L227*L228*L229</f>
        <v>1</v>
      </c>
      <c r="F231" s="331">
        <f t="shared" si="65"/>
        <v>1</v>
      </c>
      <c r="G231" s="331">
        <f t="shared" si="65"/>
        <v>1</v>
      </c>
      <c r="H231" s="331">
        <f t="shared" si="65"/>
        <v>1</v>
      </c>
      <c r="I231" s="331">
        <f t="shared" si="65"/>
        <v>1</v>
      </c>
      <c r="J231" s="331">
        <f t="shared" si="65"/>
        <v>1</v>
      </c>
    </row>
    <row r="232" spans="3:19" hidden="1" outlineLevel="1" x14ac:dyDescent="0.2">
      <c r="D232" s="4" t="s">
        <v>87</v>
      </c>
      <c r="E232" s="247">
        <f t="shared" ref="E232:J232" ca="1" si="66">IF(ISNUMBER(E218),E218*E231,"")</f>
        <v>0</v>
      </c>
      <c r="F232" s="247">
        <f t="shared" ca="1" si="66"/>
        <v>0</v>
      </c>
      <c r="G232" s="247">
        <f t="shared" ca="1" si="66"/>
        <v>0</v>
      </c>
      <c r="H232" s="247">
        <f t="shared" ca="1" si="66"/>
        <v>0</v>
      </c>
      <c r="I232" s="247">
        <f t="shared" ca="1" si="66"/>
        <v>0</v>
      </c>
      <c r="J232" s="247">
        <f t="shared" ca="1" si="66"/>
        <v>0</v>
      </c>
    </row>
    <row r="233" spans="3:19" hidden="1" outlineLevel="1" x14ac:dyDescent="0.2"/>
    <row r="234" spans="3:19" hidden="1" outlineLevel="1" x14ac:dyDescent="0.2">
      <c r="D234" s="54" t="str">
        <f>TxPhase1Tx</f>
        <v/>
      </c>
      <c r="E234" s="357"/>
      <c r="S234" s="31" t="s">
        <v>249</v>
      </c>
    </row>
    <row r="235" spans="3:19" hidden="1" outlineLevel="1" x14ac:dyDescent="0.2">
      <c r="D235" s="8" t="s">
        <v>88</v>
      </c>
      <c r="E235" s="48"/>
      <c r="F235" s="48"/>
      <c r="G235" s="48"/>
      <c r="H235" s="48"/>
      <c r="I235" s="48"/>
      <c r="J235" s="48"/>
      <c r="S235" s="41"/>
    </row>
    <row r="236" spans="3:19" hidden="1" outlineLevel="1" x14ac:dyDescent="0.2"/>
    <row r="237" spans="3:19" hidden="1" outlineLevel="1" x14ac:dyDescent="0.2">
      <c r="D237" s="82" t="str">
        <f>TXPhase2Tx</f>
        <v/>
      </c>
      <c r="E237" s="357"/>
      <c r="S237" s="6" t="s">
        <v>249</v>
      </c>
    </row>
    <row r="238" spans="3:19" hidden="1" outlineLevel="1" x14ac:dyDescent="0.2">
      <c r="D238" s="82" t="str">
        <f>IF(D237&lt;&gt;"","Patients electing treatment (%)","")</f>
        <v/>
      </c>
      <c r="E238" s="48"/>
      <c r="F238" s="48"/>
      <c r="G238" s="48"/>
      <c r="H238" s="48"/>
      <c r="I238" s="48"/>
      <c r="J238" s="48"/>
      <c r="S238" s="41"/>
    </row>
    <row r="239" spans="3:19" hidden="1" outlineLevel="1" x14ac:dyDescent="0.2"/>
    <row r="240" spans="3:19" hidden="1" outlineLevel="1" x14ac:dyDescent="0.2">
      <c r="C240" s="246">
        <f>IFERROR(VLOOKUP(E240,TxPhase2SourceCode,2,FALSE),0)</f>
        <v>1</v>
      </c>
      <c r="D240" s="54" t="s">
        <v>1152</v>
      </c>
      <c r="E240" s="227" t="s">
        <v>1153</v>
      </c>
    </row>
    <row r="241" spans="1:19" hidden="1" outlineLevel="1" x14ac:dyDescent="0.2"/>
    <row r="242" spans="1:19" hidden="1" outlineLevel="1" x14ac:dyDescent="0.2">
      <c r="D242" s="54" t="str">
        <f>TxPhase1Px</f>
        <v/>
      </c>
      <c r="E242" s="247">
        <f t="shared" ref="E242:J242" si="67">IF(TxPhase1&lt;&gt;"",E232*E235,0)</f>
        <v>0</v>
      </c>
      <c r="F242" s="247">
        <f t="shared" si="67"/>
        <v>0</v>
      </c>
      <c r="G242" s="247">
        <f t="shared" si="67"/>
        <v>0</v>
      </c>
      <c r="H242" s="247">
        <f t="shared" si="67"/>
        <v>0</v>
      </c>
      <c r="I242" s="247">
        <f t="shared" si="67"/>
        <v>0</v>
      </c>
      <c r="J242" s="247">
        <f t="shared" si="67"/>
        <v>0</v>
      </c>
    </row>
    <row r="243" spans="1:19" hidden="1" outlineLevel="1" x14ac:dyDescent="0.2">
      <c r="D243" s="54" t="str">
        <f>TxPhase2Px</f>
        <v/>
      </c>
      <c r="E243" s="247">
        <f t="shared" ref="E243:J243" si="68">IF(TxPhase2&lt;&gt;"",IF($C240=1,E242,IF($C240=2,E232,0))*E238,0)</f>
        <v>0</v>
      </c>
      <c r="F243" s="247">
        <f t="shared" si="68"/>
        <v>0</v>
      </c>
      <c r="G243" s="247">
        <f t="shared" si="68"/>
        <v>0</v>
      </c>
      <c r="H243" s="247">
        <f t="shared" si="68"/>
        <v>0</v>
      </c>
      <c r="I243" s="247">
        <f t="shared" si="68"/>
        <v>0</v>
      </c>
      <c r="J243" s="247">
        <f t="shared" si="68"/>
        <v>0</v>
      </c>
    </row>
    <row r="244" spans="1:19" hidden="1" outlineLevel="1" x14ac:dyDescent="0.2">
      <c r="D244" s="1"/>
      <c r="E244" s="1"/>
    </row>
    <row r="245" spans="1:19" hidden="1" outlineLevel="1" x14ac:dyDescent="0.2">
      <c r="C245" s="246" t="str">
        <f>IF(E245&lt;&gt;"",E245,"")</f>
        <v/>
      </c>
      <c r="D245" s="81" t="s">
        <v>743</v>
      </c>
      <c r="E245" s="227"/>
    </row>
    <row r="246" spans="1:19" hidden="1" outlineLevel="1" collapsed="1" x14ac:dyDescent="0.2"/>
    <row r="247" spans="1:19" collapsed="1" x14ac:dyDescent="0.2">
      <c r="P247" s="446"/>
      <c r="Q247" s="119"/>
    </row>
    <row r="248" spans="1:19" ht="15.75" x14ac:dyDescent="0.2">
      <c r="C248" s="396">
        <v>7</v>
      </c>
      <c r="D248" s="72" t="str">
        <f>IF(E252&lt;&gt;"",CONCATENATE("Prevalent ",C248,": ",G252,L248),MsgNotUsed)</f>
        <v>** NOT USED **</v>
      </c>
      <c r="E248" s="116"/>
      <c r="F248" s="116"/>
      <c r="G248" s="116"/>
      <c r="H248" s="116"/>
      <c r="I248" s="118"/>
      <c r="J248" s="112"/>
      <c r="K248" s="117"/>
      <c r="L248" s="266" t="str">
        <f>IF(S252&lt;&gt;"",CONCATENATE(" (",S252,")"),"")</f>
        <v/>
      </c>
      <c r="M248" s="117"/>
      <c r="N248" s="117"/>
      <c r="O248" s="117"/>
      <c r="P248" s="117"/>
      <c r="Q248" s="117"/>
      <c r="R248" s="117"/>
      <c r="S248" s="117"/>
    </row>
    <row r="249" spans="1:19" hidden="1" outlineLevel="1" x14ac:dyDescent="0.2">
      <c r="D249" s="260"/>
    </row>
    <row r="250" spans="1:19" hidden="1" outlineLevel="1" x14ac:dyDescent="0.2">
      <c r="D250" t="s">
        <v>827</v>
      </c>
    </row>
    <row r="251" spans="1:19" hidden="1" outlineLevel="1" x14ac:dyDescent="0.2">
      <c r="D251" s="260"/>
      <c r="S251" s="31" t="s">
        <v>414</v>
      </c>
    </row>
    <row r="252" spans="1:19" hidden="1" outlineLevel="1" x14ac:dyDescent="0.2">
      <c r="A252" s="114"/>
      <c r="B252" s="246">
        <f>IF(E252&lt;&gt;"",MATCH(E252,EPISource,0)-1,0)</f>
        <v>0</v>
      </c>
      <c r="C252" s="246">
        <f ca="1">IF(G252&lt;&gt;"",MATCH(G252,OFFSET(References!$AE$7,0,B252,PxPopMaxCount),0),0)</f>
        <v>0</v>
      </c>
      <c r="D252" s="8" t="s">
        <v>110</v>
      </c>
      <c r="E252" s="230"/>
      <c r="F252" s="119"/>
      <c r="G252" s="580"/>
      <c r="H252" s="581"/>
      <c r="I252" s="581"/>
      <c r="J252" s="581"/>
      <c r="S252" s="234"/>
    </row>
    <row r="253" spans="1:19" hidden="1" outlineLevel="1" x14ac:dyDescent="0.2">
      <c r="A253" s="114"/>
      <c r="B253" s="246">
        <f>INDEX(PxPopValid,,B252+1)</f>
        <v>0</v>
      </c>
      <c r="C253" s="246">
        <f ca="1">(B252*PxPopMaxCount)+C252</f>
        <v>0</v>
      </c>
      <c r="E253" s="319">
        <v>1</v>
      </c>
      <c r="F253" s="319">
        <v>2</v>
      </c>
      <c r="G253" s="319">
        <v>3</v>
      </c>
      <c r="H253" s="319">
        <v>4</v>
      </c>
      <c r="I253" s="319">
        <v>5</v>
      </c>
      <c r="J253" s="319">
        <v>6</v>
      </c>
    </row>
    <row r="254" spans="1:19" hidden="1" outlineLevel="1" x14ac:dyDescent="0.2">
      <c r="A254" s="114"/>
      <c r="B254" s="114"/>
      <c r="C254" s="114"/>
      <c r="D254" s="260"/>
      <c r="E254" s="582" t="s">
        <v>10</v>
      </c>
      <c r="F254" s="582"/>
      <c r="G254" s="582"/>
      <c r="H254" s="582"/>
      <c r="I254" s="582"/>
      <c r="J254" s="582"/>
      <c r="S254" s="444" t="str">
        <f ca="1">IF(ISERROR($C253)=TRUE,MsgError&amp;VLOOKUP("BadPop",ErrorMessages,2,FALSE),IF(RIGHT(G252,11)="(Incidence)",MsgError&amp;VLOOKUP("BadIncPop",ErrorMessages,2,FALSE),""))</f>
        <v/>
      </c>
    </row>
    <row r="255" spans="1:19" hidden="1" outlineLevel="1" x14ac:dyDescent="0.2">
      <c r="A255" s="114"/>
      <c r="B255" s="114"/>
      <c r="C255" s="114"/>
      <c r="D255" s="260"/>
      <c r="E255" s="74">
        <f>FirstYear</f>
        <v>2026</v>
      </c>
      <c r="F255" s="74">
        <f>E255+1</f>
        <v>2027</v>
      </c>
      <c r="G255" s="74">
        <f>F255+1</f>
        <v>2028</v>
      </c>
      <c r="H255" s="74">
        <f>G255+1</f>
        <v>2029</v>
      </c>
      <c r="I255" s="74">
        <f>H255+1</f>
        <v>2030</v>
      </c>
      <c r="J255" s="74">
        <f>I255+1</f>
        <v>2031</v>
      </c>
    </row>
    <row r="256" spans="1:19" hidden="1" outlineLevel="1" x14ac:dyDescent="0.2">
      <c r="D256" s="499" t="s">
        <v>89</v>
      </c>
      <c r="E256" s="120">
        <f t="shared" ref="E256:J256" ca="1" si="69">IF(AND(ISERROR($C253)&lt;&gt;TRUE,$G252&lt;&gt;""),INDEX(PxPopNumbers,$C253,E253),0)</f>
        <v>0</v>
      </c>
      <c r="F256" s="120">
        <f t="shared" ca="1" si="69"/>
        <v>0</v>
      </c>
      <c r="G256" s="120">
        <f t="shared" ca="1" si="69"/>
        <v>0</v>
      </c>
      <c r="H256" s="120">
        <f t="shared" ca="1" si="69"/>
        <v>0</v>
      </c>
      <c r="I256" s="120">
        <f t="shared" ca="1" si="69"/>
        <v>0</v>
      </c>
      <c r="J256" s="120">
        <f t="shared" ca="1" si="69"/>
        <v>0</v>
      </c>
      <c r="R256" s="260"/>
    </row>
    <row r="257" spans="4:19" hidden="1" outlineLevel="1" x14ac:dyDescent="0.2"/>
    <row r="258" spans="4:19" hidden="1" outlineLevel="1" x14ac:dyDescent="0.2">
      <c r="D258" s="498" t="s">
        <v>196</v>
      </c>
      <c r="S258" s="31" t="s">
        <v>249</v>
      </c>
    </row>
    <row r="259" spans="4:19" hidden="1" outlineLevel="1" x14ac:dyDescent="0.2">
      <c r="D259" s="206"/>
      <c r="E259" s="329"/>
      <c r="F259" s="329"/>
      <c r="G259" s="329"/>
      <c r="H259" s="329"/>
      <c r="I259" s="329"/>
      <c r="J259" s="329"/>
      <c r="L259" s="40">
        <f t="shared" ref="L259:L267" si="70">IF(E259="",1,E259)</f>
        <v>1</v>
      </c>
      <c r="M259" s="40">
        <f t="shared" ref="M259:M268" si="71">IF(F259="",1,F259)</f>
        <v>1</v>
      </c>
      <c r="N259" s="40">
        <f t="shared" ref="N259:N268" si="72">IF(G259="",1,G259)</f>
        <v>1</v>
      </c>
      <c r="O259" s="40">
        <f t="shared" ref="O259:O268" si="73">IF(H259="",1,H259)</f>
        <v>1</v>
      </c>
      <c r="P259" s="40">
        <f t="shared" ref="P259:P268" si="74">IF(I259="",1,I259)</f>
        <v>1</v>
      </c>
      <c r="Q259" s="40">
        <f t="shared" ref="Q259:Q268" si="75">IF(J259="",1,J259)</f>
        <v>1</v>
      </c>
      <c r="S259" s="206"/>
    </row>
    <row r="260" spans="4:19" hidden="1" outlineLevel="1" x14ac:dyDescent="0.2">
      <c r="D260" s="206"/>
      <c r="E260" s="329"/>
      <c r="F260" s="329"/>
      <c r="G260" s="329"/>
      <c r="H260" s="329"/>
      <c r="I260" s="329"/>
      <c r="J260" s="329"/>
      <c r="L260" s="40">
        <f t="shared" si="70"/>
        <v>1</v>
      </c>
      <c r="M260" s="40">
        <f t="shared" si="71"/>
        <v>1</v>
      </c>
      <c r="N260" s="40">
        <f t="shared" si="72"/>
        <v>1</v>
      </c>
      <c r="O260" s="40">
        <f t="shared" si="73"/>
        <v>1</v>
      </c>
      <c r="P260" s="40">
        <f t="shared" si="74"/>
        <v>1</v>
      </c>
      <c r="Q260" s="40">
        <f t="shared" si="75"/>
        <v>1</v>
      </c>
      <c r="S260" s="206"/>
    </row>
    <row r="261" spans="4:19" hidden="1" outlineLevel="1" x14ac:dyDescent="0.2">
      <c r="D261" s="206"/>
      <c r="E261" s="329"/>
      <c r="F261" s="329"/>
      <c r="G261" s="329"/>
      <c r="H261" s="329"/>
      <c r="I261" s="329"/>
      <c r="J261" s="329"/>
      <c r="L261" s="40">
        <f t="shared" si="70"/>
        <v>1</v>
      </c>
      <c r="M261" s="40">
        <f t="shared" si="71"/>
        <v>1</v>
      </c>
      <c r="N261" s="40">
        <f t="shared" si="72"/>
        <v>1</v>
      </c>
      <c r="O261" s="40">
        <f t="shared" si="73"/>
        <v>1</v>
      </c>
      <c r="P261" s="40">
        <f t="shared" si="74"/>
        <v>1</v>
      </c>
      <c r="Q261" s="40">
        <f t="shared" si="75"/>
        <v>1</v>
      </c>
      <c r="S261" s="206"/>
    </row>
    <row r="262" spans="4:19" hidden="1" outlineLevel="1" x14ac:dyDescent="0.2">
      <c r="D262" s="206"/>
      <c r="E262" s="329"/>
      <c r="F262" s="329"/>
      <c r="G262" s="329"/>
      <c r="H262" s="329"/>
      <c r="I262" s="329"/>
      <c r="J262" s="329"/>
      <c r="L262" s="40">
        <f t="shared" si="70"/>
        <v>1</v>
      </c>
      <c r="M262" s="40">
        <f t="shared" si="71"/>
        <v>1</v>
      </c>
      <c r="N262" s="40">
        <f t="shared" si="72"/>
        <v>1</v>
      </c>
      <c r="O262" s="40">
        <f t="shared" si="73"/>
        <v>1</v>
      </c>
      <c r="P262" s="40">
        <f t="shared" si="74"/>
        <v>1</v>
      </c>
      <c r="Q262" s="40">
        <f t="shared" si="75"/>
        <v>1</v>
      </c>
      <c r="S262" s="206"/>
    </row>
    <row r="263" spans="4:19" hidden="1" outlineLevel="1" x14ac:dyDescent="0.2">
      <c r="D263" s="206"/>
      <c r="E263" s="329"/>
      <c r="F263" s="329"/>
      <c r="G263" s="329"/>
      <c r="H263" s="329"/>
      <c r="I263" s="329"/>
      <c r="J263" s="329"/>
      <c r="L263" s="40">
        <f t="shared" si="70"/>
        <v>1</v>
      </c>
      <c r="M263" s="40">
        <f t="shared" si="71"/>
        <v>1</v>
      </c>
      <c r="N263" s="40">
        <f t="shared" si="72"/>
        <v>1</v>
      </c>
      <c r="O263" s="40">
        <f t="shared" si="73"/>
        <v>1</v>
      </c>
      <c r="P263" s="40">
        <f t="shared" si="74"/>
        <v>1</v>
      </c>
      <c r="Q263" s="40">
        <f t="shared" si="75"/>
        <v>1</v>
      </c>
      <c r="S263" s="206"/>
    </row>
    <row r="264" spans="4:19" hidden="1" outlineLevel="1" x14ac:dyDescent="0.2">
      <c r="D264" s="206"/>
      <c r="E264" s="329"/>
      <c r="F264" s="329"/>
      <c r="G264" s="329"/>
      <c r="H264" s="329"/>
      <c r="I264" s="329"/>
      <c r="J264" s="329"/>
      <c r="L264" s="40">
        <f t="shared" si="70"/>
        <v>1</v>
      </c>
      <c r="M264" s="40">
        <f t="shared" si="71"/>
        <v>1</v>
      </c>
      <c r="N264" s="40">
        <f t="shared" si="72"/>
        <v>1</v>
      </c>
      <c r="O264" s="40">
        <f t="shared" si="73"/>
        <v>1</v>
      </c>
      <c r="P264" s="40">
        <f t="shared" si="74"/>
        <v>1</v>
      </c>
      <c r="Q264" s="40">
        <f t="shared" si="75"/>
        <v>1</v>
      </c>
      <c r="S264" s="206"/>
    </row>
    <row r="265" spans="4:19" hidden="1" outlineLevel="1" x14ac:dyDescent="0.2">
      <c r="D265" s="206"/>
      <c r="E265" s="329"/>
      <c r="F265" s="329"/>
      <c r="G265" s="329"/>
      <c r="H265" s="329"/>
      <c r="I265" s="329"/>
      <c r="J265" s="329"/>
      <c r="L265" s="40">
        <f t="shared" si="70"/>
        <v>1</v>
      </c>
      <c r="M265" s="40">
        <f t="shared" si="71"/>
        <v>1</v>
      </c>
      <c r="N265" s="40">
        <f t="shared" si="72"/>
        <v>1</v>
      </c>
      <c r="O265" s="40">
        <f t="shared" si="73"/>
        <v>1</v>
      </c>
      <c r="P265" s="40">
        <f t="shared" si="74"/>
        <v>1</v>
      </c>
      <c r="Q265" s="40">
        <f t="shared" si="75"/>
        <v>1</v>
      </c>
      <c r="S265" s="206"/>
    </row>
    <row r="266" spans="4:19" hidden="1" outlineLevel="1" x14ac:dyDescent="0.2">
      <c r="D266" s="206"/>
      <c r="E266" s="329"/>
      <c r="F266" s="329"/>
      <c r="G266" s="329"/>
      <c r="H266" s="329"/>
      <c r="I266" s="329"/>
      <c r="J266" s="329"/>
      <c r="L266" s="40">
        <f t="shared" si="70"/>
        <v>1</v>
      </c>
      <c r="M266" s="40">
        <f t="shared" si="71"/>
        <v>1</v>
      </c>
      <c r="N266" s="40">
        <f t="shared" si="72"/>
        <v>1</v>
      </c>
      <c r="O266" s="40">
        <f t="shared" si="73"/>
        <v>1</v>
      </c>
      <c r="P266" s="40">
        <f t="shared" si="74"/>
        <v>1</v>
      </c>
      <c r="Q266" s="40">
        <f t="shared" si="75"/>
        <v>1</v>
      </c>
      <c r="S266" s="206"/>
    </row>
    <row r="267" spans="4:19" hidden="1" outlineLevel="1" x14ac:dyDescent="0.2">
      <c r="D267" s="206"/>
      <c r="E267" s="329"/>
      <c r="F267" s="329"/>
      <c r="G267" s="329"/>
      <c r="H267" s="329"/>
      <c r="I267" s="329"/>
      <c r="J267" s="329"/>
      <c r="L267" s="40">
        <f t="shared" si="70"/>
        <v>1</v>
      </c>
      <c r="M267" s="40">
        <f t="shared" si="71"/>
        <v>1</v>
      </c>
      <c r="N267" s="40">
        <f t="shared" si="72"/>
        <v>1</v>
      </c>
      <c r="O267" s="40">
        <f t="shared" si="73"/>
        <v>1</v>
      </c>
      <c r="P267" s="40">
        <f t="shared" si="74"/>
        <v>1</v>
      </c>
      <c r="Q267" s="40">
        <f t="shared" si="75"/>
        <v>1</v>
      </c>
      <c r="S267" s="206"/>
    </row>
    <row r="268" spans="4:19" hidden="1" outlineLevel="1" x14ac:dyDescent="0.2">
      <c r="D268" s="206"/>
      <c r="E268" s="329"/>
      <c r="F268" s="329"/>
      <c r="G268" s="329"/>
      <c r="H268" s="329"/>
      <c r="I268" s="329"/>
      <c r="J268" s="329"/>
      <c r="L268" s="40">
        <f>IF(E268="",1,E268)</f>
        <v>1</v>
      </c>
      <c r="M268" s="40">
        <f t="shared" si="71"/>
        <v>1</v>
      </c>
      <c r="N268" s="40">
        <f t="shared" si="72"/>
        <v>1</v>
      </c>
      <c r="O268" s="40">
        <f t="shared" si="73"/>
        <v>1</v>
      </c>
      <c r="P268" s="40">
        <f t="shared" si="74"/>
        <v>1</v>
      </c>
      <c r="Q268" s="40">
        <f t="shared" si="75"/>
        <v>1</v>
      </c>
      <c r="S268" s="206"/>
    </row>
    <row r="269" spans="4:19" hidden="1" outlineLevel="1" x14ac:dyDescent="0.2">
      <c r="D269" s="20" t="s">
        <v>204</v>
      </c>
      <c r="E269" s="331">
        <f t="shared" ref="E269:J269" si="76">L259*L260*L261*L262*L268*L263*L264*L265*L266*L267</f>
        <v>1</v>
      </c>
      <c r="F269" s="331">
        <f t="shared" si="76"/>
        <v>1</v>
      </c>
      <c r="G269" s="331">
        <f t="shared" si="76"/>
        <v>1</v>
      </c>
      <c r="H269" s="331">
        <f t="shared" si="76"/>
        <v>1</v>
      </c>
      <c r="I269" s="331">
        <f t="shared" si="76"/>
        <v>1</v>
      </c>
      <c r="J269" s="331">
        <f t="shared" si="76"/>
        <v>1</v>
      </c>
    </row>
    <row r="270" spans="4:19" hidden="1" outlineLevel="1" x14ac:dyDescent="0.2">
      <c r="D270" s="4" t="s">
        <v>87</v>
      </c>
      <c r="E270" s="247">
        <f t="shared" ref="E270:J270" ca="1" si="77">IF(ISNUMBER(E256),E256*E269,"")</f>
        <v>0</v>
      </c>
      <c r="F270" s="247">
        <f t="shared" ca="1" si="77"/>
        <v>0</v>
      </c>
      <c r="G270" s="247">
        <f t="shared" ca="1" si="77"/>
        <v>0</v>
      </c>
      <c r="H270" s="247">
        <f t="shared" ca="1" si="77"/>
        <v>0</v>
      </c>
      <c r="I270" s="247">
        <f t="shared" ca="1" si="77"/>
        <v>0</v>
      </c>
      <c r="J270" s="247">
        <f t="shared" ca="1" si="77"/>
        <v>0</v>
      </c>
    </row>
    <row r="271" spans="4:19" hidden="1" outlineLevel="1" x14ac:dyDescent="0.2"/>
    <row r="272" spans="4:19" hidden="1" outlineLevel="1" x14ac:dyDescent="0.2">
      <c r="D272" s="54" t="str">
        <f>TxPhase1Tx</f>
        <v/>
      </c>
      <c r="E272" s="357"/>
      <c r="S272" s="31" t="s">
        <v>249</v>
      </c>
    </row>
    <row r="273" spans="3:19" hidden="1" outlineLevel="1" x14ac:dyDescent="0.2">
      <c r="D273" s="8" t="s">
        <v>88</v>
      </c>
      <c r="E273" s="48"/>
      <c r="F273" s="48"/>
      <c r="G273" s="48"/>
      <c r="H273" s="48"/>
      <c r="I273" s="48"/>
      <c r="J273" s="48"/>
      <c r="S273" s="41"/>
    </row>
    <row r="274" spans="3:19" hidden="1" outlineLevel="1" x14ac:dyDescent="0.2"/>
    <row r="275" spans="3:19" hidden="1" outlineLevel="1" x14ac:dyDescent="0.2">
      <c r="D275" s="82" t="str">
        <f>TXPhase2Tx</f>
        <v/>
      </c>
      <c r="E275" s="357"/>
      <c r="S275" s="6" t="s">
        <v>249</v>
      </c>
    </row>
    <row r="276" spans="3:19" hidden="1" outlineLevel="1" x14ac:dyDescent="0.2">
      <c r="D276" s="82" t="str">
        <f>IF(D275&lt;&gt;"","Patients electing treatment (%)","")</f>
        <v/>
      </c>
      <c r="E276" s="48"/>
      <c r="F276" s="48"/>
      <c r="G276" s="48"/>
      <c r="H276" s="48"/>
      <c r="I276" s="48"/>
      <c r="J276" s="48"/>
      <c r="S276" s="41"/>
    </row>
    <row r="277" spans="3:19" hidden="1" outlineLevel="1" x14ac:dyDescent="0.2"/>
    <row r="278" spans="3:19" hidden="1" outlineLevel="1" x14ac:dyDescent="0.2">
      <c r="C278" s="246">
        <f>IFERROR(VLOOKUP(E278,TxPhase2SourceCode,2,FALSE),0)</f>
        <v>1</v>
      </c>
      <c r="D278" s="54" t="s">
        <v>1152</v>
      </c>
      <c r="E278" s="227" t="s">
        <v>1153</v>
      </c>
    </row>
    <row r="279" spans="3:19" hidden="1" outlineLevel="1" x14ac:dyDescent="0.2"/>
    <row r="280" spans="3:19" hidden="1" outlineLevel="1" x14ac:dyDescent="0.2">
      <c r="D280" s="54" t="str">
        <f>TxPhase1Px</f>
        <v/>
      </c>
      <c r="E280" s="247">
        <f t="shared" ref="E280:J280" si="78">IF(TxPhase1&lt;&gt;"",E270*E273,0)</f>
        <v>0</v>
      </c>
      <c r="F280" s="247">
        <f t="shared" si="78"/>
        <v>0</v>
      </c>
      <c r="G280" s="247">
        <f t="shared" si="78"/>
        <v>0</v>
      </c>
      <c r="H280" s="247">
        <f t="shared" si="78"/>
        <v>0</v>
      </c>
      <c r="I280" s="247">
        <f t="shared" si="78"/>
        <v>0</v>
      </c>
      <c r="J280" s="247">
        <f t="shared" si="78"/>
        <v>0</v>
      </c>
    </row>
    <row r="281" spans="3:19" hidden="1" outlineLevel="1" x14ac:dyDescent="0.2">
      <c r="D281" s="54" t="str">
        <f>TxPhase2Px</f>
        <v/>
      </c>
      <c r="E281" s="247">
        <f t="shared" ref="E281:J281" si="79">IF(TxPhase2&lt;&gt;"",IF($C278=1,E280,IF($C278=2,E270,0))*E276,0)</f>
        <v>0</v>
      </c>
      <c r="F281" s="247">
        <f t="shared" si="79"/>
        <v>0</v>
      </c>
      <c r="G281" s="247">
        <f t="shared" si="79"/>
        <v>0</v>
      </c>
      <c r="H281" s="247">
        <f t="shared" si="79"/>
        <v>0</v>
      </c>
      <c r="I281" s="247">
        <f t="shared" si="79"/>
        <v>0</v>
      </c>
      <c r="J281" s="247">
        <f t="shared" si="79"/>
        <v>0</v>
      </c>
    </row>
    <row r="282" spans="3:19" hidden="1" outlineLevel="1" x14ac:dyDescent="0.2">
      <c r="D282" s="1"/>
      <c r="E282" s="1"/>
    </row>
    <row r="283" spans="3:19" hidden="1" outlineLevel="1" x14ac:dyDescent="0.2">
      <c r="C283" s="246" t="str">
        <f>IF(E283&lt;&gt;"",E283,"")</f>
        <v/>
      </c>
      <c r="D283" s="81" t="s">
        <v>743</v>
      </c>
      <c r="E283" s="227"/>
    </row>
    <row r="284" spans="3:19" hidden="1" outlineLevel="1" collapsed="1" x14ac:dyDescent="0.2"/>
    <row r="285" spans="3:19" collapsed="1" x14ac:dyDescent="0.2">
      <c r="P285" s="446"/>
      <c r="Q285" s="119"/>
    </row>
    <row r="286" spans="3:19" ht="15.75" x14ac:dyDescent="0.2">
      <c r="C286" s="396">
        <v>8</v>
      </c>
      <c r="D286" s="72" t="str">
        <f>IF(E290&lt;&gt;"",CONCATENATE("Prevalent ",C286,": ",G290,L286),MsgNotUsed)</f>
        <v>** NOT USED **</v>
      </c>
      <c r="E286" s="116"/>
      <c r="F286" s="116"/>
      <c r="G286" s="116"/>
      <c r="H286" s="116"/>
      <c r="I286" s="118"/>
      <c r="J286" s="112"/>
      <c r="K286" s="117"/>
      <c r="L286" s="266" t="str">
        <f>IF(S290&lt;&gt;"",CONCATENATE(" (",S290,")"),"")</f>
        <v/>
      </c>
      <c r="M286" s="117"/>
      <c r="N286" s="117"/>
      <c r="O286" s="117"/>
      <c r="P286" s="117"/>
      <c r="Q286" s="117"/>
      <c r="R286" s="117"/>
      <c r="S286" s="117"/>
    </row>
    <row r="287" spans="3:19" hidden="1" outlineLevel="1" x14ac:dyDescent="0.2">
      <c r="D287" s="260"/>
    </row>
    <row r="288" spans="3:19" hidden="1" outlineLevel="1" x14ac:dyDescent="0.2">
      <c r="D288" t="s">
        <v>827</v>
      </c>
    </row>
    <row r="289" spans="1:19" hidden="1" outlineLevel="1" x14ac:dyDescent="0.2">
      <c r="D289" s="260"/>
      <c r="S289" s="31" t="s">
        <v>414</v>
      </c>
    </row>
    <row r="290" spans="1:19" hidden="1" outlineLevel="1" x14ac:dyDescent="0.2">
      <c r="A290" s="114"/>
      <c r="B290" s="246">
        <f>IF(E290&lt;&gt;"",MATCH(E290,EPISource,0)-1,0)</f>
        <v>0</v>
      </c>
      <c r="C290" s="246">
        <f ca="1">IF(G290&lt;&gt;"",MATCH(G290,OFFSET(References!$AE$7,0,B290,PxPopMaxCount),0),0)</f>
        <v>0</v>
      </c>
      <c r="D290" s="8" t="s">
        <v>110</v>
      </c>
      <c r="E290" s="230"/>
      <c r="F290" s="119"/>
      <c r="G290" s="580"/>
      <c r="H290" s="581"/>
      <c r="I290" s="581"/>
      <c r="J290" s="581"/>
      <c r="S290" s="234"/>
    </row>
    <row r="291" spans="1:19" hidden="1" outlineLevel="1" x14ac:dyDescent="0.2">
      <c r="A291" s="114"/>
      <c r="B291" s="246">
        <f>INDEX(PxPopValid,,B290+1)</f>
        <v>0</v>
      </c>
      <c r="C291" s="246">
        <f ca="1">(B290*PxPopMaxCount)+C290</f>
        <v>0</v>
      </c>
      <c r="E291" s="319">
        <v>1</v>
      </c>
      <c r="F291" s="319">
        <v>2</v>
      </c>
      <c r="G291" s="319">
        <v>3</v>
      </c>
      <c r="H291" s="319">
        <v>4</v>
      </c>
      <c r="I291" s="319">
        <v>5</v>
      </c>
      <c r="J291" s="319">
        <v>6</v>
      </c>
    </row>
    <row r="292" spans="1:19" hidden="1" outlineLevel="1" x14ac:dyDescent="0.2">
      <c r="A292" s="114"/>
      <c r="B292" s="114"/>
      <c r="C292" s="114"/>
      <c r="D292" s="260"/>
      <c r="E292" s="582" t="s">
        <v>10</v>
      </c>
      <c r="F292" s="582"/>
      <c r="G292" s="582"/>
      <c r="H292" s="582"/>
      <c r="I292" s="582"/>
      <c r="J292" s="582"/>
      <c r="S292" s="444" t="str">
        <f ca="1">IF(ISERROR($C291)=TRUE,MsgError&amp;VLOOKUP("BadPop",ErrorMessages,2,FALSE),IF(RIGHT(G290,11)="(Incidence)",MsgError&amp;VLOOKUP("BadIncPop",ErrorMessages,2,FALSE),""))</f>
        <v/>
      </c>
    </row>
    <row r="293" spans="1:19" hidden="1" outlineLevel="1" x14ac:dyDescent="0.2">
      <c r="A293" s="114"/>
      <c r="B293" s="114"/>
      <c r="C293" s="114"/>
      <c r="D293" s="260"/>
      <c r="E293" s="74">
        <f>FirstYear</f>
        <v>2026</v>
      </c>
      <c r="F293" s="74">
        <f>E293+1</f>
        <v>2027</v>
      </c>
      <c r="G293" s="74">
        <f>F293+1</f>
        <v>2028</v>
      </c>
      <c r="H293" s="74">
        <f>G293+1</f>
        <v>2029</v>
      </c>
      <c r="I293" s="74">
        <f>H293+1</f>
        <v>2030</v>
      </c>
      <c r="J293" s="74">
        <f>I293+1</f>
        <v>2031</v>
      </c>
    </row>
    <row r="294" spans="1:19" hidden="1" outlineLevel="1" x14ac:dyDescent="0.2">
      <c r="D294" s="499" t="s">
        <v>89</v>
      </c>
      <c r="E294" s="120">
        <f t="shared" ref="E294:J294" ca="1" si="80">IF(AND(ISERROR($C291)&lt;&gt;TRUE,$G290&lt;&gt;""),INDEX(PxPopNumbers,$C291,E291),0)</f>
        <v>0</v>
      </c>
      <c r="F294" s="120">
        <f t="shared" ca="1" si="80"/>
        <v>0</v>
      </c>
      <c r="G294" s="120">
        <f t="shared" ca="1" si="80"/>
        <v>0</v>
      </c>
      <c r="H294" s="120">
        <f t="shared" ca="1" si="80"/>
        <v>0</v>
      </c>
      <c r="I294" s="120">
        <f t="shared" ca="1" si="80"/>
        <v>0</v>
      </c>
      <c r="J294" s="120">
        <f t="shared" ca="1" si="80"/>
        <v>0</v>
      </c>
      <c r="R294" s="260"/>
    </row>
    <row r="295" spans="1:19" hidden="1" outlineLevel="1" x14ac:dyDescent="0.2"/>
    <row r="296" spans="1:19" hidden="1" outlineLevel="1" x14ac:dyDescent="0.2">
      <c r="D296" s="498" t="s">
        <v>196</v>
      </c>
      <c r="S296" s="31" t="s">
        <v>249</v>
      </c>
    </row>
    <row r="297" spans="1:19" hidden="1" outlineLevel="1" x14ac:dyDescent="0.2">
      <c r="D297" s="206"/>
      <c r="E297" s="329"/>
      <c r="F297" s="329"/>
      <c r="G297" s="329"/>
      <c r="H297" s="329"/>
      <c r="I297" s="329"/>
      <c r="J297" s="329"/>
      <c r="L297" s="40">
        <f t="shared" ref="L297:L305" si="81">IF(E297="",1,E297)</f>
        <v>1</v>
      </c>
      <c r="M297" s="40">
        <f t="shared" ref="M297:M306" si="82">IF(F297="",1,F297)</f>
        <v>1</v>
      </c>
      <c r="N297" s="40">
        <f t="shared" ref="N297:N306" si="83">IF(G297="",1,G297)</f>
        <v>1</v>
      </c>
      <c r="O297" s="40">
        <f t="shared" ref="O297:O306" si="84">IF(H297="",1,H297)</f>
        <v>1</v>
      </c>
      <c r="P297" s="40">
        <f t="shared" ref="P297:P306" si="85">IF(I297="",1,I297)</f>
        <v>1</v>
      </c>
      <c r="Q297" s="40">
        <f t="shared" ref="Q297:Q306" si="86">IF(J297="",1,J297)</f>
        <v>1</v>
      </c>
      <c r="S297" s="206"/>
    </row>
    <row r="298" spans="1:19" hidden="1" outlineLevel="1" x14ac:dyDescent="0.2">
      <c r="D298" s="206"/>
      <c r="E298" s="329"/>
      <c r="F298" s="329"/>
      <c r="G298" s="329"/>
      <c r="H298" s="329"/>
      <c r="I298" s="329"/>
      <c r="J298" s="329"/>
      <c r="L298" s="40">
        <f t="shared" si="81"/>
        <v>1</v>
      </c>
      <c r="M298" s="40">
        <f t="shared" si="82"/>
        <v>1</v>
      </c>
      <c r="N298" s="40">
        <f t="shared" si="83"/>
        <v>1</v>
      </c>
      <c r="O298" s="40">
        <f t="shared" si="84"/>
        <v>1</v>
      </c>
      <c r="P298" s="40">
        <f t="shared" si="85"/>
        <v>1</v>
      </c>
      <c r="Q298" s="40">
        <f t="shared" si="86"/>
        <v>1</v>
      </c>
      <c r="S298" s="206"/>
    </row>
    <row r="299" spans="1:19" hidden="1" outlineLevel="1" x14ac:dyDescent="0.2">
      <c r="D299" s="206"/>
      <c r="E299" s="329"/>
      <c r="F299" s="329"/>
      <c r="G299" s="329"/>
      <c r="H299" s="329"/>
      <c r="I299" s="329"/>
      <c r="J299" s="329"/>
      <c r="L299" s="40">
        <f t="shared" si="81"/>
        <v>1</v>
      </c>
      <c r="M299" s="40">
        <f t="shared" si="82"/>
        <v>1</v>
      </c>
      <c r="N299" s="40">
        <f t="shared" si="83"/>
        <v>1</v>
      </c>
      <c r="O299" s="40">
        <f t="shared" si="84"/>
        <v>1</v>
      </c>
      <c r="P299" s="40">
        <f t="shared" si="85"/>
        <v>1</v>
      </c>
      <c r="Q299" s="40">
        <f t="shared" si="86"/>
        <v>1</v>
      </c>
      <c r="S299" s="206"/>
    </row>
    <row r="300" spans="1:19" hidden="1" outlineLevel="1" x14ac:dyDescent="0.2">
      <c r="D300" s="206"/>
      <c r="E300" s="329"/>
      <c r="F300" s="329"/>
      <c r="G300" s="329"/>
      <c r="H300" s="329"/>
      <c r="I300" s="329"/>
      <c r="J300" s="329"/>
      <c r="L300" s="40">
        <f t="shared" si="81"/>
        <v>1</v>
      </c>
      <c r="M300" s="40">
        <f t="shared" si="82"/>
        <v>1</v>
      </c>
      <c r="N300" s="40">
        <f t="shared" si="83"/>
        <v>1</v>
      </c>
      <c r="O300" s="40">
        <f t="shared" si="84"/>
        <v>1</v>
      </c>
      <c r="P300" s="40">
        <f t="shared" si="85"/>
        <v>1</v>
      </c>
      <c r="Q300" s="40">
        <f t="shared" si="86"/>
        <v>1</v>
      </c>
      <c r="S300" s="206"/>
    </row>
    <row r="301" spans="1:19" hidden="1" outlineLevel="1" x14ac:dyDescent="0.2">
      <c r="D301" s="206"/>
      <c r="E301" s="329"/>
      <c r="F301" s="329"/>
      <c r="G301" s="329"/>
      <c r="H301" s="329"/>
      <c r="I301" s="329"/>
      <c r="J301" s="329"/>
      <c r="L301" s="40">
        <f t="shared" si="81"/>
        <v>1</v>
      </c>
      <c r="M301" s="40">
        <f t="shared" si="82"/>
        <v>1</v>
      </c>
      <c r="N301" s="40">
        <f t="shared" si="83"/>
        <v>1</v>
      </c>
      <c r="O301" s="40">
        <f t="shared" si="84"/>
        <v>1</v>
      </c>
      <c r="P301" s="40">
        <f t="shared" si="85"/>
        <v>1</v>
      </c>
      <c r="Q301" s="40">
        <f t="shared" si="86"/>
        <v>1</v>
      </c>
      <c r="S301" s="206"/>
    </row>
    <row r="302" spans="1:19" hidden="1" outlineLevel="1" x14ac:dyDescent="0.2">
      <c r="D302" s="206"/>
      <c r="E302" s="329"/>
      <c r="F302" s="329"/>
      <c r="G302" s="329"/>
      <c r="H302" s="329"/>
      <c r="I302" s="329"/>
      <c r="J302" s="329"/>
      <c r="L302" s="40">
        <f t="shared" si="81"/>
        <v>1</v>
      </c>
      <c r="M302" s="40">
        <f t="shared" si="82"/>
        <v>1</v>
      </c>
      <c r="N302" s="40">
        <f t="shared" si="83"/>
        <v>1</v>
      </c>
      <c r="O302" s="40">
        <f t="shared" si="84"/>
        <v>1</v>
      </c>
      <c r="P302" s="40">
        <f t="shared" si="85"/>
        <v>1</v>
      </c>
      <c r="Q302" s="40">
        <f t="shared" si="86"/>
        <v>1</v>
      </c>
      <c r="S302" s="206"/>
    </row>
    <row r="303" spans="1:19" hidden="1" outlineLevel="1" x14ac:dyDescent="0.2">
      <c r="D303" s="206"/>
      <c r="E303" s="329"/>
      <c r="F303" s="329"/>
      <c r="G303" s="329"/>
      <c r="H303" s="329"/>
      <c r="I303" s="329"/>
      <c r="J303" s="329"/>
      <c r="L303" s="40">
        <f t="shared" si="81"/>
        <v>1</v>
      </c>
      <c r="M303" s="40">
        <f t="shared" si="82"/>
        <v>1</v>
      </c>
      <c r="N303" s="40">
        <f t="shared" si="83"/>
        <v>1</v>
      </c>
      <c r="O303" s="40">
        <f t="shared" si="84"/>
        <v>1</v>
      </c>
      <c r="P303" s="40">
        <f t="shared" si="85"/>
        <v>1</v>
      </c>
      <c r="Q303" s="40">
        <f t="shared" si="86"/>
        <v>1</v>
      </c>
      <c r="S303" s="206"/>
    </row>
    <row r="304" spans="1:19" hidden="1" outlineLevel="1" x14ac:dyDescent="0.2">
      <c r="D304" s="206"/>
      <c r="E304" s="329"/>
      <c r="F304" s="329"/>
      <c r="G304" s="329"/>
      <c r="H304" s="329"/>
      <c r="I304" s="329"/>
      <c r="J304" s="329"/>
      <c r="L304" s="40">
        <f t="shared" si="81"/>
        <v>1</v>
      </c>
      <c r="M304" s="40">
        <f t="shared" si="82"/>
        <v>1</v>
      </c>
      <c r="N304" s="40">
        <f t="shared" si="83"/>
        <v>1</v>
      </c>
      <c r="O304" s="40">
        <f t="shared" si="84"/>
        <v>1</v>
      </c>
      <c r="P304" s="40">
        <f t="shared" si="85"/>
        <v>1</v>
      </c>
      <c r="Q304" s="40">
        <f t="shared" si="86"/>
        <v>1</v>
      </c>
      <c r="S304" s="206"/>
    </row>
    <row r="305" spans="3:19" hidden="1" outlineLevel="1" x14ac:dyDescent="0.2">
      <c r="D305" s="206"/>
      <c r="E305" s="329"/>
      <c r="F305" s="329"/>
      <c r="G305" s="329"/>
      <c r="H305" s="329"/>
      <c r="I305" s="329"/>
      <c r="J305" s="329"/>
      <c r="L305" s="40">
        <f t="shared" si="81"/>
        <v>1</v>
      </c>
      <c r="M305" s="40">
        <f t="shared" si="82"/>
        <v>1</v>
      </c>
      <c r="N305" s="40">
        <f t="shared" si="83"/>
        <v>1</v>
      </c>
      <c r="O305" s="40">
        <f t="shared" si="84"/>
        <v>1</v>
      </c>
      <c r="P305" s="40">
        <f t="shared" si="85"/>
        <v>1</v>
      </c>
      <c r="Q305" s="40">
        <f t="shared" si="86"/>
        <v>1</v>
      </c>
      <c r="S305" s="206"/>
    </row>
    <row r="306" spans="3:19" hidden="1" outlineLevel="1" x14ac:dyDescent="0.2">
      <c r="D306" s="206"/>
      <c r="E306" s="329"/>
      <c r="F306" s="329"/>
      <c r="G306" s="329"/>
      <c r="H306" s="329"/>
      <c r="I306" s="329"/>
      <c r="J306" s="329"/>
      <c r="L306" s="40">
        <f>IF(E306="",1,E306)</f>
        <v>1</v>
      </c>
      <c r="M306" s="40">
        <f t="shared" si="82"/>
        <v>1</v>
      </c>
      <c r="N306" s="40">
        <f t="shared" si="83"/>
        <v>1</v>
      </c>
      <c r="O306" s="40">
        <f t="shared" si="84"/>
        <v>1</v>
      </c>
      <c r="P306" s="40">
        <f t="shared" si="85"/>
        <v>1</v>
      </c>
      <c r="Q306" s="40">
        <f t="shared" si="86"/>
        <v>1</v>
      </c>
      <c r="S306" s="206"/>
    </row>
    <row r="307" spans="3:19" hidden="1" outlineLevel="1" x14ac:dyDescent="0.2">
      <c r="D307" s="20" t="s">
        <v>204</v>
      </c>
      <c r="E307" s="331">
        <f t="shared" ref="E307:J307" si="87">L297*L298*L299*L300*L306*L301*L302*L303*L304*L305</f>
        <v>1</v>
      </c>
      <c r="F307" s="331">
        <f t="shared" si="87"/>
        <v>1</v>
      </c>
      <c r="G307" s="331">
        <f t="shared" si="87"/>
        <v>1</v>
      </c>
      <c r="H307" s="331">
        <f t="shared" si="87"/>
        <v>1</v>
      </c>
      <c r="I307" s="331">
        <f t="shared" si="87"/>
        <v>1</v>
      </c>
      <c r="J307" s="331">
        <f t="shared" si="87"/>
        <v>1</v>
      </c>
    </row>
    <row r="308" spans="3:19" hidden="1" outlineLevel="1" x14ac:dyDescent="0.2">
      <c r="D308" s="4" t="s">
        <v>87</v>
      </c>
      <c r="E308" s="247">
        <f t="shared" ref="E308:J308" ca="1" si="88">IF(ISNUMBER(E294),E294*E307,"")</f>
        <v>0</v>
      </c>
      <c r="F308" s="247">
        <f t="shared" ca="1" si="88"/>
        <v>0</v>
      </c>
      <c r="G308" s="247">
        <f t="shared" ca="1" si="88"/>
        <v>0</v>
      </c>
      <c r="H308" s="247">
        <f t="shared" ca="1" si="88"/>
        <v>0</v>
      </c>
      <c r="I308" s="247">
        <f t="shared" ca="1" si="88"/>
        <v>0</v>
      </c>
      <c r="J308" s="247">
        <f t="shared" ca="1" si="88"/>
        <v>0</v>
      </c>
    </row>
    <row r="309" spans="3:19" hidden="1" outlineLevel="1" x14ac:dyDescent="0.2"/>
    <row r="310" spans="3:19" hidden="1" outlineLevel="1" x14ac:dyDescent="0.2">
      <c r="D310" s="54" t="str">
        <f>TxPhase1Tx</f>
        <v/>
      </c>
      <c r="E310" s="357"/>
      <c r="S310" s="31" t="s">
        <v>249</v>
      </c>
    </row>
    <row r="311" spans="3:19" hidden="1" outlineLevel="1" x14ac:dyDescent="0.2">
      <c r="D311" s="8" t="s">
        <v>88</v>
      </c>
      <c r="E311" s="48"/>
      <c r="F311" s="48"/>
      <c r="G311" s="48"/>
      <c r="H311" s="48"/>
      <c r="I311" s="48"/>
      <c r="J311" s="48"/>
      <c r="S311" s="41"/>
    </row>
    <row r="312" spans="3:19" hidden="1" outlineLevel="1" x14ac:dyDescent="0.2"/>
    <row r="313" spans="3:19" hidden="1" outlineLevel="1" x14ac:dyDescent="0.2">
      <c r="D313" s="82" t="str">
        <f>TXPhase2Tx</f>
        <v/>
      </c>
      <c r="E313" s="357"/>
      <c r="S313" s="6" t="s">
        <v>249</v>
      </c>
    </row>
    <row r="314" spans="3:19" hidden="1" outlineLevel="1" x14ac:dyDescent="0.2">
      <c r="D314" s="82" t="str">
        <f>IF(D313&lt;&gt;"","Patients electing treatment (%)","")</f>
        <v/>
      </c>
      <c r="E314" s="48"/>
      <c r="F314" s="48"/>
      <c r="G314" s="48"/>
      <c r="H314" s="48"/>
      <c r="I314" s="48"/>
      <c r="J314" s="48"/>
      <c r="S314" s="41"/>
    </row>
    <row r="315" spans="3:19" hidden="1" outlineLevel="1" x14ac:dyDescent="0.2"/>
    <row r="316" spans="3:19" hidden="1" outlineLevel="1" x14ac:dyDescent="0.2">
      <c r="C316" s="246">
        <f>IFERROR(VLOOKUP(E316,TxPhase2SourceCode,2,FALSE),0)</f>
        <v>1</v>
      </c>
      <c r="D316" s="54" t="s">
        <v>1152</v>
      </c>
      <c r="E316" s="227" t="s">
        <v>1153</v>
      </c>
    </row>
    <row r="317" spans="3:19" hidden="1" outlineLevel="1" x14ac:dyDescent="0.2"/>
    <row r="318" spans="3:19" hidden="1" outlineLevel="1" x14ac:dyDescent="0.2">
      <c r="D318" s="54" t="str">
        <f>TxPhase1Px</f>
        <v/>
      </c>
      <c r="E318" s="247">
        <f t="shared" ref="E318:J318" si="89">IF(TxPhase1&lt;&gt;"",E308*E311,0)</f>
        <v>0</v>
      </c>
      <c r="F318" s="247">
        <f t="shared" si="89"/>
        <v>0</v>
      </c>
      <c r="G318" s="247">
        <f t="shared" si="89"/>
        <v>0</v>
      </c>
      <c r="H318" s="247">
        <f t="shared" si="89"/>
        <v>0</v>
      </c>
      <c r="I318" s="247">
        <f t="shared" si="89"/>
        <v>0</v>
      </c>
      <c r="J318" s="247">
        <f t="shared" si="89"/>
        <v>0</v>
      </c>
    </row>
    <row r="319" spans="3:19" hidden="1" outlineLevel="1" x14ac:dyDescent="0.2">
      <c r="D319" s="54" t="str">
        <f>TxPhase2Px</f>
        <v/>
      </c>
      <c r="E319" s="247">
        <f t="shared" ref="E319:J319" si="90">IF(TxPhase2&lt;&gt;"",IF($C316=1,E318,IF($C316=2,E308,0))*E314,0)</f>
        <v>0</v>
      </c>
      <c r="F319" s="247">
        <f t="shared" si="90"/>
        <v>0</v>
      </c>
      <c r="G319" s="247">
        <f t="shared" si="90"/>
        <v>0</v>
      </c>
      <c r="H319" s="247">
        <f t="shared" si="90"/>
        <v>0</v>
      </c>
      <c r="I319" s="247">
        <f t="shared" si="90"/>
        <v>0</v>
      </c>
      <c r="J319" s="247">
        <f t="shared" si="90"/>
        <v>0</v>
      </c>
    </row>
    <row r="320" spans="3:19" hidden="1" outlineLevel="1" x14ac:dyDescent="0.2">
      <c r="D320" s="1"/>
      <c r="E320" s="1"/>
    </row>
    <row r="321" spans="1:19" hidden="1" outlineLevel="1" x14ac:dyDescent="0.2">
      <c r="C321" s="246" t="str">
        <f>IF(E321&lt;&gt;"",E321,"")</f>
        <v/>
      </c>
      <c r="D321" s="81" t="s">
        <v>743</v>
      </c>
      <c r="E321" s="227"/>
    </row>
    <row r="322" spans="1:19" hidden="1" outlineLevel="1" collapsed="1" x14ac:dyDescent="0.2"/>
    <row r="323" spans="1:19" collapsed="1" x14ac:dyDescent="0.2">
      <c r="P323" s="446"/>
      <c r="Q323" s="119"/>
    </row>
    <row r="324" spans="1:19" ht="15.75" x14ac:dyDescent="0.2">
      <c r="C324" s="396">
        <v>9</v>
      </c>
      <c r="D324" s="72" t="str">
        <f>IF(E328&lt;&gt;"",CONCATENATE("Prevalent ",C324,": ",G328,L324),MsgNotUsed)</f>
        <v>** NOT USED **</v>
      </c>
      <c r="E324" s="116"/>
      <c r="F324" s="116"/>
      <c r="G324" s="116"/>
      <c r="H324" s="116"/>
      <c r="I324" s="118"/>
      <c r="J324" s="112"/>
      <c r="K324" s="117"/>
      <c r="L324" s="266" t="str">
        <f>IF(S328&lt;&gt;"",CONCATENATE(" (",S328,")"),"")</f>
        <v/>
      </c>
      <c r="M324" s="117"/>
      <c r="N324" s="117"/>
      <c r="O324" s="117"/>
      <c r="P324" s="117"/>
      <c r="Q324" s="117"/>
      <c r="R324" s="117"/>
      <c r="S324" s="117"/>
    </row>
    <row r="325" spans="1:19" hidden="1" outlineLevel="1" x14ac:dyDescent="0.2">
      <c r="D325" s="260"/>
    </row>
    <row r="326" spans="1:19" hidden="1" outlineLevel="1" x14ac:dyDescent="0.2">
      <c r="D326" t="s">
        <v>827</v>
      </c>
    </row>
    <row r="327" spans="1:19" hidden="1" outlineLevel="1" x14ac:dyDescent="0.2">
      <c r="D327" s="260"/>
      <c r="S327" s="31" t="s">
        <v>414</v>
      </c>
    </row>
    <row r="328" spans="1:19" hidden="1" outlineLevel="1" x14ac:dyDescent="0.2">
      <c r="A328" s="114"/>
      <c r="B328" s="246">
        <f>IF(E328&lt;&gt;"",MATCH(E328,EPISource,0)-1,0)</f>
        <v>0</v>
      </c>
      <c r="C328" s="246">
        <f ca="1">IF(G328&lt;&gt;"",MATCH(G328,OFFSET(References!$AE$7,0,B328,PxPopMaxCount),0),0)</f>
        <v>0</v>
      </c>
      <c r="D328" s="8" t="s">
        <v>110</v>
      </c>
      <c r="E328" s="230"/>
      <c r="F328" s="119"/>
      <c r="G328" s="580"/>
      <c r="H328" s="581"/>
      <c r="I328" s="581"/>
      <c r="J328" s="581"/>
      <c r="S328" s="234"/>
    </row>
    <row r="329" spans="1:19" hidden="1" outlineLevel="1" x14ac:dyDescent="0.2">
      <c r="A329" s="114"/>
      <c r="B329" s="246">
        <f>INDEX(PxPopValid,,B328+1)</f>
        <v>0</v>
      </c>
      <c r="C329" s="246">
        <f ca="1">(B328*PxPopMaxCount)+C328</f>
        <v>0</v>
      </c>
      <c r="E329" s="319">
        <v>1</v>
      </c>
      <c r="F329" s="319">
        <v>2</v>
      </c>
      <c r="G329" s="319">
        <v>3</v>
      </c>
      <c r="H329" s="319">
        <v>4</v>
      </c>
      <c r="I329" s="319">
        <v>5</v>
      </c>
      <c r="J329" s="319">
        <v>6</v>
      </c>
    </row>
    <row r="330" spans="1:19" hidden="1" outlineLevel="1" x14ac:dyDescent="0.2">
      <c r="A330" s="114"/>
      <c r="B330" s="114"/>
      <c r="C330" s="114"/>
      <c r="D330" s="260"/>
      <c r="E330" s="582" t="s">
        <v>10</v>
      </c>
      <c r="F330" s="582"/>
      <c r="G330" s="582"/>
      <c r="H330" s="582"/>
      <c r="I330" s="582"/>
      <c r="J330" s="582"/>
      <c r="S330" s="444" t="str">
        <f ca="1">IF(ISERROR($C329)=TRUE,MsgError&amp;VLOOKUP("BadPop",ErrorMessages,2,FALSE),IF(RIGHT(G328,11)="(Incidence)",MsgError&amp;VLOOKUP("BadIncPop",ErrorMessages,2,FALSE),""))</f>
        <v/>
      </c>
    </row>
    <row r="331" spans="1:19" hidden="1" outlineLevel="1" x14ac:dyDescent="0.2">
      <c r="A331" s="114"/>
      <c r="B331" s="114"/>
      <c r="C331" s="114"/>
      <c r="D331" s="260"/>
      <c r="E331" s="74">
        <f>FirstYear</f>
        <v>2026</v>
      </c>
      <c r="F331" s="74">
        <f>E331+1</f>
        <v>2027</v>
      </c>
      <c r="G331" s="74">
        <f>F331+1</f>
        <v>2028</v>
      </c>
      <c r="H331" s="74">
        <f>G331+1</f>
        <v>2029</v>
      </c>
      <c r="I331" s="74">
        <f>H331+1</f>
        <v>2030</v>
      </c>
      <c r="J331" s="74">
        <f>I331+1</f>
        <v>2031</v>
      </c>
    </row>
    <row r="332" spans="1:19" hidden="1" outlineLevel="1" x14ac:dyDescent="0.2">
      <c r="D332" s="499" t="s">
        <v>89</v>
      </c>
      <c r="E332" s="120">
        <f t="shared" ref="E332:J332" ca="1" si="91">IF(AND(ISERROR($C329)&lt;&gt;TRUE,$G328&lt;&gt;""),INDEX(PxPopNumbers,$C329,E329),0)</f>
        <v>0</v>
      </c>
      <c r="F332" s="120">
        <f t="shared" ca="1" si="91"/>
        <v>0</v>
      </c>
      <c r="G332" s="120">
        <f t="shared" ca="1" si="91"/>
        <v>0</v>
      </c>
      <c r="H332" s="120">
        <f t="shared" ca="1" si="91"/>
        <v>0</v>
      </c>
      <c r="I332" s="120">
        <f t="shared" ca="1" si="91"/>
        <v>0</v>
      </c>
      <c r="J332" s="120">
        <f t="shared" ca="1" si="91"/>
        <v>0</v>
      </c>
      <c r="R332" s="260"/>
    </row>
    <row r="333" spans="1:19" hidden="1" outlineLevel="1" x14ac:dyDescent="0.2"/>
    <row r="334" spans="1:19" hidden="1" outlineLevel="1" x14ac:dyDescent="0.2">
      <c r="D334" s="498" t="s">
        <v>196</v>
      </c>
      <c r="S334" s="31" t="s">
        <v>249</v>
      </c>
    </row>
    <row r="335" spans="1:19" hidden="1" outlineLevel="1" x14ac:dyDescent="0.2">
      <c r="D335" s="206"/>
      <c r="E335" s="329"/>
      <c r="F335" s="329"/>
      <c r="G335" s="329"/>
      <c r="H335" s="329"/>
      <c r="I335" s="329"/>
      <c r="J335" s="329"/>
      <c r="L335" s="40">
        <f t="shared" ref="L335:L343" si="92">IF(E335="",1,E335)</f>
        <v>1</v>
      </c>
      <c r="M335" s="40">
        <f t="shared" ref="M335:M344" si="93">IF(F335="",1,F335)</f>
        <v>1</v>
      </c>
      <c r="N335" s="40">
        <f t="shared" ref="N335:N344" si="94">IF(G335="",1,G335)</f>
        <v>1</v>
      </c>
      <c r="O335" s="40">
        <f t="shared" ref="O335:O344" si="95">IF(H335="",1,H335)</f>
        <v>1</v>
      </c>
      <c r="P335" s="40">
        <f t="shared" ref="P335:P344" si="96">IF(I335="",1,I335)</f>
        <v>1</v>
      </c>
      <c r="Q335" s="40">
        <f t="shared" ref="Q335:Q344" si="97">IF(J335="",1,J335)</f>
        <v>1</v>
      </c>
      <c r="S335" s="206"/>
    </row>
    <row r="336" spans="1:19" hidden="1" outlineLevel="1" x14ac:dyDescent="0.2">
      <c r="D336" s="206"/>
      <c r="E336" s="329"/>
      <c r="F336" s="329"/>
      <c r="G336" s="329"/>
      <c r="H336" s="329"/>
      <c r="I336" s="329"/>
      <c r="J336" s="329"/>
      <c r="L336" s="40">
        <f t="shared" si="92"/>
        <v>1</v>
      </c>
      <c r="M336" s="40">
        <f t="shared" si="93"/>
        <v>1</v>
      </c>
      <c r="N336" s="40">
        <f t="shared" si="94"/>
        <v>1</v>
      </c>
      <c r="O336" s="40">
        <f t="shared" si="95"/>
        <v>1</v>
      </c>
      <c r="P336" s="40">
        <f t="shared" si="96"/>
        <v>1</v>
      </c>
      <c r="Q336" s="40">
        <f t="shared" si="97"/>
        <v>1</v>
      </c>
      <c r="S336" s="206"/>
    </row>
    <row r="337" spans="4:19" hidden="1" outlineLevel="1" x14ac:dyDescent="0.2">
      <c r="D337" s="206"/>
      <c r="E337" s="329"/>
      <c r="F337" s="329"/>
      <c r="G337" s="329"/>
      <c r="H337" s="329"/>
      <c r="I337" s="329"/>
      <c r="J337" s="329"/>
      <c r="L337" s="40">
        <f t="shared" si="92"/>
        <v>1</v>
      </c>
      <c r="M337" s="40">
        <f t="shared" si="93"/>
        <v>1</v>
      </c>
      <c r="N337" s="40">
        <f t="shared" si="94"/>
        <v>1</v>
      </c>
      <c r="O337" s="40">
        <f t="shared" si="95"/>
        <v>1</v>
      </c>
      <c r="P337" s="40">
        <f t="shared" si="96"/>
        <v>1</v>
      </c>
      <c r="Q337" s="40">
        <f t="shared" si="97"/>
        <v>1</v>
      </c>
      <c r="S337" s="206"/>
    </row>
    <row r="338" spans="4:19" hidden="1" outlineLevel="1" x14ac:dyDescent="0.2">
      <c r="D338" s="206"/>
      <c r="E338" s="329"/>
      <c r="F338" s="329"/>
      <c r="G338" s="329"/>
      <c r="H338" s="329"/>
      <c r="I338" s="329"/>
      <c r="J338" s="329"/>
      <c r="L338" s="40">
        <f t="shared" si="92"/>
        <v>1</v>
      </c>
      <c r="M338" s="40">
        <f t="shared" si="93"/>
        <v>1</v>
      </c>
      <c r="N338" s="40">
        <f t="shared" si="94"/>
        <v>1</v>
      </c>
      <c r="O338" s="40">
        <f t="shared" si="95"/>
        <v>1</v>
      </c>
      <c r="P338" s="40">
        <f t="shared" si="96"/>
        <v>1</v>
      </c>
      <c r="Q338" s="40">
        <f t="shared" si="97"/>
        <v>1</v>
      </c>
      <c r="S338" s="206"/>
    </row>
    <row r="339" spans="4:19" hidden="1" outlineLevel="1" x14ac:dyDescent="0.2">
      <c r="D339" s="206"/>
      <c r="E339" s="329"/>
      <c r="F339" s="329"/>
      <c r="G339" s="329"/>
      <c r="H339" s="329"/>
      <c r="I339" s="329"/>
      <c r="J339" s="329"/>
      <c r="L339" s="40">
        <f t="shared" si="92"/>
        <v>1</v>
      </c>
      <c r="M339" s="40">
        <f t="shared" si="93"/>
        <v>1</v>
      </c>
      <c r="N339" s="40">
        <f t="shared" si="94"/>
        <v>1</v>
      </c>
      <c r="O339" s="40">
        <f t="shared" si="95"/>
        <v>1</v>
      </c>
      <c r="P339" s="40">
        <f t="shared" si="96"/>
        <v>1</v>
      </c>
      <c r="Q339" s="40">
        <f t="shared" si="97"/>
        <v>1</v>
      </c>
      <c r="S339" s="206"/>
    </row>
    <row r="340" spans="4:19" hidden="1" outlineLevel="1" x14ac:dyDescent="0.2">
      <c r="D340" s="206"/>
      <c r="E340" s="329"/>
      <c r="F340" s="329"/>
      <c r="G340" s="329"/>
      <c r="H340" s="329"/>
      <c r="I340" s="329"/>
      <c r="J340" s="329"/>
      <c r="L340" s="40">
        <f t="shared" si="92"/>
        <v>1</v>
      </c>
      <c r="M340" s="40">
        <f t="shared" si="93"/>
        <v>1</v>
      </c>
      <c r="N340" s="40">
        <f t="shared" si="94"/>
        <v>1</v>
      </c>
      <c r="O340" s="40">
        <f t="shared" si="95"/>
        <v>1</v>
      </c>
      <c r="P340" s="40">
        <f t="shared" si="96"/>
        <v>1</v>
      </c>
      <c r="Q340" s="40">
        <f t="shared" si="97"/>
        <v>1</v>
      </c>
      <c r="S340" s="206"/>
    </row>
    <row r="341" spans="4:19" hidden="1" outlineLevel="1" x14ac:dyDescent="0.2">
      <c r="D341" s="206"/>
      <c r="E341" s="329"/>
      <c r="F341" s="329"/>
      <c r="G341" s="329"/>
      <c r="H341" s="329"/>
      <c r="I341" s="329"/>
      <c r="J341" s="329"/>
      <c r="L341" s="40">
        <f t="shared" si="92"/>
        <v>1</v>
      </c>
      <c r="M341" s="40">
        <f t="shared" si="93"/>
        <v>1</v>
      </c>
      <c r="N341" s="40">
        <f t="shared" si="94"/>
        <v>1</v>
      </c>
      <c r="O341" s="40">
        <f t="shared" si="95"/>
        <v>1</v>
      </c>
      <c r="P341" s="40">
        <f t="shared" si="96"/>
        <v>1</v>
      </c>
      <c r="Q341" s="40">
        <f t="shared" si="97"/>
        <v>1</v>
      </c>
      <c r="S341" s="206"/>
    </row>
    <row r="342" spans="4:19" hidden="1" outlineLevel="1" x14ac:dyDescent="0.2">
      <c r="D342" s="206"/>
      <c r="E342" s="329"/>
      <c r="F342" s="329"/>
      <c r="G342" s="329"/>
      <c r="H342" s="329"/>
      <c r="I342" s="329"/>
      <c r="J342" s="329"/>
      <c r="L342" s="40">
        <f t="shared" si="92"/>
        <v>1</v>
      </c>
      <c r="M342" s="40">
        <f t="shared" si="93"/>
        <v>1</v>
      </c>
      <c r="N342" s="40">
        <f t="shared" si="94"/>
        <v>1</v>
      </c>
      <c r="O342" s="40">
        <f t="shared" si="95"/>
        <v>1</v>
      </c>
      <c r="P342" s="40">
        <f t="shared" si="96"/>
        <v>1</v>
      </c>
      <c r="Q342" s="40">
        <f t="shared" si="97"/>
        <v>1</v>
      </c>
      <c r="S342" s="206"/>
    </row>
    <row r="343" spans="4:19" hidden="1" outlineLevel="1" x14ac:dyDescent="0.2">
      <c r="D343" s="206"/>
      <c r="E343" s="329"/>
      <c r="F343" s="329"/>
      <c r="G343" s="329"/>
      <c r="H343" s="329"/>
      <c r="I343" s="329"/>
      <c r="J343" s="329"/>
      <c r="L343" s="40">
        <f t="shared" si="92"/>
        <v>1</v>
      </c>
      <c r="M343" s="40">
        <f t="shared" si="93"/>
        <v>1</v>
      </c>
      <c r="N343" s="40">
        <f t="shared" si="94"/>
        <v>1</v>
      </c>
      <c r="O343" s="40">
        <f t="shared" si="95"/>
        <v>1</v>
      </c>
      <c r="P343" s="40">
        <f t="shared" si="96"/>
        <v>1</v>
      </c>
      <c r="Q343" s="40">
        <f t="shared" si="97"/>
        <v>1</v>
      </c>
      <c r="S343" s="206"/>
    </row>
    <row r="344" spans="4:19" hidden="1" outlineLevel="1" x14ac:dyDescent="0.2">
      <c r="D344" s="206"/>
      <c r="E344" s="329"/>
      <c r="F344" s="329"/>
      <c r="G344" s="329"/>
      <c r="H344" s="329"/>
      <c r="I344" s="329"/>
      <c r="J344" s="329"/>
      <c r="L344" s="40">
        <f>IF(E344="",1,E344)</f>
        <v>1</v>
      </c>
      <c r="M344" s="40">
        <f t="shared" si="93"/>
        <v>1</v>
      </c>
      <c r="N344" s="40">
        <f t="shared" si="94"/>
        <v>1</v>
      </c>
      <c r="O344" s="40">
        <f t="shared" si="95"/>
        <v>1</v>
      </c>
      <c r="P344" s="40">
        <f t="shared" si="96"/>
        <v>1</v>
      </c>
      <c r="Q344" s="40">
        <f t="shared" si="97"/>
        <v>1</v>
      </c>
      <c r="S344" s="206"/>
    </row>
    <row r="345" spans="4:19" hidden="1" outlineLevel="1" x14ac:dyDescent="0.2">
      <c r="D345" s="20" t="s">
        <v>204</v>
      </c>
      <c r="E345" s="331">
        <f t="shared" ref="E345:J345" si="98">L335*L336*L337*L338*L344*L339*L340*L341*L342*L343</f>
        <v>1</v>
      </c>
      <c r="F345" s="331">
        <f t="shared" si="98"/>
        <v>1</v>
      </c>
      <c r="G345" s="331">
        <f t="shared" si="98"/>
        <v>1</v>
      </c>
      <c r="H345" s="331">
        <f t="shared" si="98"/>
        <v>1</v>
      </c>
      <c r="I345" s="331">
        <f t="shared" si="98"/>
        <v>1</v>
      </c>
      <c r="J345" s="331">
        <f t="shared" si="98"/>
        <v>1</v>
      </c>
    </row>
    <row r="346" spans="4:19" hidden="1" outlineLevel="1" x14ac:dyDescent="0.2">
      <c r="D346" s="4" t="s">
        <v>87</v>
      </c>
      <c r="E346" s="247">
        <f t="shared" ref="E346:J346" ca="1" si="99">IF(ISNUMBER(E332),E332*E345,"")</f>
        <v>0</v>
      </c>
      <c r="F346" s="247">
        <f t="shared" ca="1" si="99"/>
        <v>0</v>
      </c>
      <c r="G346" s="247">
        <f t="shared" ca="1" si="99"/>
        <v>0</v>
      </c>
      <c r="H346" s="247">
        <f t="shared" ca="1" si="99"/>
        <v>0</v>
      </c>
      <c r="I346" s="247">
        <f t="shared" ca="1" si="99"/>
        <v>0</v>
      </c>
      <c r="J346" s="247">
        <f t="shared" ca="1" si="99"/>
        <v>0</v>
      </c>
    </row>
    <row r="347" spans="4:19" hidden="1" outlineLevel="1" x14ac:dyDescent="0.2"/>
    <row r="348" spans="4:19" hidden="1" outlineLevel="1" x14ac:dyDescent="0.2">
      <c r="D348" s="54" t="str">
        <f>TxPhase1Tx</f>
        <v/>
      </c>
      <c r="E348" s="357"/>
      <c r="S348" s="31" t="s">
        <v>249</v>
      </c>
    </row>
    <row r="349" spans="4:19" hidden="1" outlineLevel="1" x14ac:dyDescent="0.2">
      <c r="D349" s="8" t="s">
        <v>88</v>
      </c>
      <c r="E349" s="48"/>
      <c r="F349" s="48"/>
      <c r="G349" s="48"/>
      <c r="H349" s="48"/>
      <c r="I349" s="48"/>
      <c r="J349" s="48"/>
      <c r="S349" s="41"/>
    </row>
    <row r="350" spans="4:19" hidden="1" outlineLevel="1" x14ac:dyDescent="0.2"/>
    <row r="351" spans="4:19" hidden="1" outlineLevel="1" x14ac:dyDescent="0.2">
      <c r="D351" s="82" t="str">
        <f>TXPhase2Tx</f>
        <v/>
      </c>
      <c r="E351" s="357"/>
      <c r="S351" s="6" t="s">
        <v>249</v>
      </c>
    </row>
    <row r="352" spans="4:19" hidden="1" outlineLevel="1" x14ac:dyDescent="0.2">
      <c r="D352" s="82" t="str">
        <f>IF(D351&lt;&gt;"","Patients electing treatment (%)","")</f>
        <v/>
      </c>
      <c r="E352" s="48"/>
      <c r="F352" s="48"/>
      <c r="G352" s="48"/>
      <c r="H352" s="48"/>
      <c r="I352" s="48"/>
      <c r="J352" s="48"/>
      <c r="S352" s="41"/>
    </row>
    <row r="353" spans="1:19" hidden="1" outlineLevel="1" x14ac:dyDescent="0.2"/>
    <row r="354" spans="1:19" hidden="1" outlineLevel="1" x14ac:dyDescent="0.2">
      <c r="C354" s="246">
        <f>IFERROR(VLOOKUP(E354,TxPhase2SourceCode,2,FALSE),0)</f>
        <v>1</v>
      </c>
      <c r="D354" s="54" t="s">
        <v>1152</v>
      </c>
      <c r="E354" s="227" t="s">
        <v>1153</v>
      </c>
    </row>
    <row r="355" spans="1:19" hidden="1" outlineLevel="1" x14ac:dyDescent="0.2"/>
    <row r="356" spans="1:19" hidden="1" outlineLevel="1" x14ac:dyDescent="0.2">
      <c r="D356" s="54" t="str">
        <f>TxPhase1Px</f>
        <v/>
      </c>
      <c r="E356" s="247">
        <f t="shared" ref="E356:J356" si="100">IF(TxPhase1&lt;&gt;"",E346*E349,0)</f>
        <v>0</v>
      </c>
      <c r="F356" s="247">
        <f t="shared" si="100"/>
        <v>0</v>
      </c>
      <c r="G356" s="247">
        <f t="shared" si="100"/>
        <v>0</v>
      </c>
      <c r="H356" s="247">
        <f t="shared" si="100"/>
        <v>0</v>
      </c>
      <c r="I356" s="247">
        <f t="shared" si="100"/>
        <v>0</v>
      </c>
      <c r="J356" s="247">
        <f t="shared" si="100"/>
        <v>0</v>
      </c>
    </row>
    <row r="357" spans="1:19" hidden="1" outlineLevel="1" x14ac:dyDescent="0.2">
      <c r="D357" s="54" t="str">
        <f>TxPhase2Px</f>
        <v/>
      </c>
      <c r="E357" s="247">
        <f t="shared" ref="E357:J357" si="101">IF(TxPhase2&lt;&gt;"",IF($C354=1,E356,IF($C354=2,E346,0))*E352,0)</f>
        <v>0</v>
      </c>
      <c r="F357" s="247">
        <f t="shared" si="101"/>
        <v>0</v>
      </c>
      <c r="G357" s="247">
        <f t="shared" si="101"/>
        <v>0</v>
      </c>
      <c r="H357" s="247">
        <f t="shared" si="101"/>
        <v>0</v>
      </c>
      <c r="I357" s="247">
        <f t="shared" si="101"/>
        <v>0</v>
      </c>
      <c r="J357" s="247">
        <f t="shared" si="101"/>
        <v>0</v>
      </c>
    </row>
    <row r="358" spans="1:19" hidden="1" outlineLevel="1" x14ac:dyDescent="0.2">
      <c r="D358" s="1"/>
      <c r="E358" s="1"/>
    </row>
    <row r="359" spans="1:19" hidden="1" outlineLevel="1" x14ac:dyDescent="0.2">
      <c r="C359" s="246" t="str">
        <f>IF(E359&lt;&gt;"",E359,"")</f>
        <v/>
      </c>
      <c r="D359" s="81" t="s">
        <v>743</v>
      </c>
      <c r="E359" s="227"/>
    </row>
    <row r="360" spans="1:19" hidden="1" outlineLevel="1" collapsed="1" x14ac:dyDescent="0.2"/>
    <row r="361" spans="1:19" collapsed="1" x14ac:dyDescent="0.2">
      <c r="P361" s="446"/>
      <c r="Q361" s="119"/>
    </row>
    <row r="362" spans="1:19" ht="15.75" x14ac:dyDescent="0.2">
      <c r="C362" s="396">
        <v>10</v>
      </c>
      <c r="D362" s="72" t="str">
        <f>IF(E366&lt;&gt;"",CONCATENATE("Prevalent ",C362,": ",G366,L362),MsgNotUsed)</f>
        <v>** NOT USED **</v>
      </c>
      <c r="E362" s="116"/>
      <c r="F362" s="116"/>
      <c r="G362" s="116"/>
      <c r="H362" s="116"/>
      <c r="I362" s="118"/>
      <c r="J362" s="112"/>
      <c r="K362" s="117"/>
      <c r="L362" s="266" t="str">
        <f>IF(S366&lt;&gt;"",CONCATENATE(" (",S366,")"),"")</f>
        <v/>
      </c>
      <c r="M362" s="117"/>
      <c r="N362" s="117"/>
      <c r="O362" s="117"/>
      <c r="P362" s="117"/>
      <c r="Q362" s="117"/>
      <c r="R362" s="117"/>
      <c r="S362" s="117"/>
    </row>
    <row r="363" spans="1:19" hidden="1" outlineLevel="1" x14ac:dyDescent="0.2">
      <c r="D363" s="260"/>
    </row>
    <row r="364" spans="1:19" hidden="1" outlineLevel="1" x14ac:dyDescent="0.2">
      <c r="D364" t="s">
        <v>827</v>
      </c>
    </row>
    <row r="365" spans="1:19" hidden="1" outlineLevel="1" x14ac:dyDescent="0.2">
      <c r="D365" s="260"/>
      <c r="S365" s="31" t="s">
        <v>414</v>
      </c>
    </row>
    <row r="366" spans="1:19" hidden="1" outlineLevel="1" x14ac:dyDescent="0.2">
      <c r="A366" s="114"/>
      <c r="B366" s="246">
        <f>IF(E366&lt;&gt;"",MATCH(E366,EPISource,0)-1,0)</f>
        <v>0</v>
      </c>
      <c r="C366" s="246">
        <f ca="1">IF(G366&lt;&gt;"",MATCH(G366,OFFSET(References!$AE$7,0,B366,PxPopMaxCount),0),0)</f>
        <v>0</v>
      </c>
      <c r="D366" s="8" t="s">
        <v>110</v>
      </c>
      <c r="E366" s="230"/>
      <c r="F366" s="119"/>
      <c r="G366" s="580"/>
      <c r="H366" s="581"/>
      <c r="I366" s="581"/>
      <c r="J366" s="581"/>
      <c r="S366" s="234"/>
    </row>
    <row r="367" spans="1:19" hidden="1" outlineLevel="1" x14ac:dyDescent="0.2">
      <c r="A367" s="114"/>
      <c r="B367" s="246">
        <f>INDEX(PxPopValid,,B366+1)</f>
        <v>0</v>
      </c>
      <c r="C367" s="246">
        <f ca="1">(B366*PxPopMaxCount)+C366</f>
        <v>0</v>
      </c>
      <c r="E367" s="319">
        <v>1</v>
      </c>
      <c r="F367" s="319">
        <v>2</v>
      </c>
      <c r="G367" s="319">
        <v>3</v>
      </c>
      <c r="H367" s="319">
        <v>4</v>
      </c>
      <c r="I367" s="319">
        <v>5</v>
      </c>
      <c r="J367" s="319">
        <v>6</v>
      </c>
    </row>
    <row r="368" spans="1:19" hidden="1" outlineLevel="1" x14ac:dyDescent="0.2">
      <c r="A368" s="114"/>
      <c r="B368" s="114"/>
      <c r="C368" s="114"/>
      <c r="D368" s="260"/>
      <c r="E368" s="582" t="s">
        <v>10</v>
      </c>
      <c r="F368" s="582"/>
      <c r="G368" s="582"/>
      <c r="H368" s="582"/>
      <c r="I368" s="582"/>
      <c r="J368" s="582"/>
      <c r="S368" s="444" t="str">
        <f ca="1">IF(ISERROR($C367)=TRUE,MsgError&amp;VLOOKUP("BadPop",ErrorMessages,2,FALSE),IF(RIGHT(G366,11)="(Incidence)",MsgError&amp;VLOOKUP("BadIncPop",ErrorMessages,2,FALSE),""))</f>
        <v/>
      </c>
    </row>
    <row r="369" spans="1:19" hidden="1" outlineLevel="1" x14ac:dyDescent="0.2">
      <c r="A369" s="114"/>
      <c r="B369" s="114"/>
      <c r="C369" s="114"/>
      <c r="D369" s="260"/>
      <c r="E369" s="74">
        <f>FirstYear</f>
        <v>2026</v>
      </c>
      <c r="F369" s="74">
        <f>E369+1</f>
        <v>2027</v>
      </c>
      <c r="G369" s="74">
        <f>F369+1</f>
        <v>2028</v>
      </c>
      <c r="H369" s="74">
        <f>G369+1</f>
        <v>2029</v>
      </c>
      <c r="I369" s="74">
        <f>H369+1</f>
        <v>2030</v>
      </c>
      <c r="J369" s="74">
        <f>I369+1</f>
        <v>2031</v>
      </c>
    </row>
    <row r="370" spans="1:19" hidden="1" outlineLevel="1" x14ac:dyDescent="0.2">
      <c r="D370" s="499" t="s">
        <v>89</v>
      </c>
      <c r="E370" s="120">
        <f t="shared" ref="E370:J370" ca="1" si="102">IF(AND(ISERROR($C367)&lt;&gt;TRUE,$G366&lt;&gt;""),INDEX(PxPopNumbers,$C367,E367),0)</f>
        <v>0</v>
      </c>
      <c r="F370" s="120">
        <f t="shared" ca="1" si="102"/>
        <v>0</v>
      </c>
      <c r="G370" s="120">
        <f t="shared" ca="1" si="102"/>
        <v>0</v>
      </c>
      <c r="H370" s="120">
        <f t="shared" ca="1" si="102"/>
        <v>0</v>
      </c>
      <c r="I370" s="120">
        <f t="shared" ca="1" si="102"/>
        <v>0</v>
      </c>
      <c r="J370" s="120">
        <f t="shared" ca="1" si="102"/>
        <v>0</v>
      </c>
      <c r="R370" s="260"/>
    </row>
    <row r="371" spans="1:19" hidden="1" outlineLevel="1" x14ac:dyDescent="0.2"/>
    <row r="372" spans="1:19" hidden="1" outlineLevel="1" x14ac:dyDescent="0.2">
      <c r="D372" s="498" t="s">
        <v>196</v>
      </c>
      <c r="S372" s="31" t="s">
        <v>249</v>
      </c>
    </row>
    <row r="373" spans="1:19" hidden="1" outlineLevel="1" x14ac:dyDescent="0.2">
      <c r="D373" s="206"/>
      <c r="E373" s="329"/>
      <c r="F373" s="329"/>
      <c r="G373" s="329"/>
      <c r="H373" s="329"/>
      <c r="I373" s="329"/>
      <c r="J373" s="329"/>
      <c r="L373" s="40">
        <f t="shared" ref="L373:L381" si="103">IF(E373="",1,E373)</f>
        <v>1</v>
      </c>
      <c r="M373" s="40">
        <f t="shared" ref="M373:M382" si="104">IF(F373="",1,F373)</f>
        <v>1</v>
      </c>
      <c r="N373" s="40">
        <f t="shared" ref="N373:N382" si="105">IF(G373="",1,G373)</f>
        <v>1</v>
      </c>
      <c r="O373" s="40">
        <f t="shared" ref="O373:O382" si="106">IF(H373="",1,H373)</f>
        <v>1</v>
      </c>
      <c r="P373" s="40">
        <f t="shared" ref="P373:P382" si="107">IF(I373="",1,I373)</f>
        <v>1</v>
      </c>
      <c r="Q373" s="40">
        <f t="shared" ref="Q373:Q382" si="108">IF(J373="",1,J373)</f>
        <v>1</v>
      </c>
      <c r="S373" s="206"/>
    </row>
    <row r="374" spans="1:19" hidden="1" outlineLevel="1" x14ac:dyDescent="0.2">
      <c r="D374" s="206"/>
      <c r="E374" s="329"/>
      <c r="F374" s="329"/>
      <c r="G374" s="329"/>
      <c r="H374" s="329"/>
      <c r="I374" s="329"/>
      <c r="J374" s="329"/>
      <c r="L374" s="40">
        <f t="shared" si="103"/>
        <v>1</v>
      </c>
      <c r="M374" s="40">
        <f t="shared" si="104"/>
        <v>1</v>
      </c>
      <c r="N374" s="40">
        <f t="shared" si="105"/>
        <v>1</v>
      </c>
      <c r="O374" s="40">
        <f t="shared" si="106"/>
        <v>1</v>
      </c>
      <c r="P374" s="40">
        <f t="shared" si="107"/>
        <v>1</v>
      </c>
      <c r="Q374" s="40">
        <f t="shared" si="108"/>
        <v>1</v>
      </c>
      <c r="S374" s="206"/>
    </row>
    <row r="375" spans="1:19" hidden="1" outlineLevel="1" x14ac:dyDescent="0.2">
      <c r="D375" s="206"/>
      <c r="E375" s="329"/>
      <c r="F375" s="329"/>
      <c r="G375" s="329"/>
      <c r="H375" s="329"/>
      <c r="I375" s="329"/>
      <c r="J375" s="329"/>
      <c r="L375" s="40">
        <f t="shared" si="103"/>
        <v>1</v>
      </c>
      <c r="M375" s="40">
        <f t="shared" si="104"/>
        <v>1</v>
      </c>
      <c r="N375" s="40">
        <f t="shared" si="105"/>
        <v>1</v>
      </c>
      <c r="O375" s="40">
        <f t="shared" si="106"/>
        <v>1</v>
      </c>
      <c r="P375" s="40">
        <f t="shared" si="107"/>
        <v>1</v>
      </c>
      <c r="Q375" s="40">
        <f t="shared" si="108"/>
        <v>1</v>
      </c>
      <c r="S375" s="206"/>
    </row>
    <row r="376" spans="1:19" hidden="1" outlineLevel="1" x14ac:dyDescent="0.2">
      <c r="D376" s="206"/>
      <c r="E376" s="329"/>
      <c r="F376" s="329"/>
      <c r="G376" s="329"/>
      <c r="H376" s="329"/>
      <c r="I376" s="329"/>
      <c r="J376" s="329"/>
      <c r="L376" s="40">
        <f t="shared" si="103"/>
        <v>1</v>
      </c>
      <c r="M376" s="40">
        <f t="shared" si="104"/>
        <v>1</v>
      </c>
      <c r="N376" s="40">
        <f t="shared" si="105"/>
        <v>1</v>
      </c>
      <c r="O376" s="40">
        <f t="shared" si="106"/>
        <v>1</v>
      </c>
      <c r="P376" s="40">
        <f t="shared" si="107"/>
        <v>1</v>
      </c>
      <c r="Q376" s="40">
        <f t="shared" si="108"/>
        <v>1</v>
      </c>
      <c r="S376" s="206"/>
    </row>
    <row r="377" spans="1:19" hidden="1" outlineLevel="1" x14ac:dyDescent="0.2">
      <c r="D377" s="206"/>
      <c r="E377" s="329"/>
      <c r="F377" s="329"/>
      <c r="G377" s="329"/>
      <c r="H377" s="329"/>
      <c r="I377" s="329"/>
      <c r="J377" s="329"/>
      <c r="L377" s="40">
        <f t="shared" si="103"/>
        <v>1</v>
      </c>
      <c r="M377" s="40">
        <f t="shared" si="104"/>
        <v>1</v>
      </c>
      <c r="N377" s="40">
        <f t="shared" si="105"/>
        <v>1</v>
      </c>
      <c r="O377" s="40">
        <f t="shared" si="106"/>
        <v>1</v>
      </c>
      <c r="P377" s="40">
        <f t="shared" si="107"/>
        <v>1</v>
      </c>
      <c r="Q377" s="40">
        <f t="shared" si="108"/>
        <v>1</v>
      </c>
      <c r="S377" s="206"/>
    </row>
    <row r="378" spans="1:19" hidden="1" outlineLevel="1" x14ac:dyDescent="0.2">
      <c r="D378" s="206"/>
      <c r="E378" s="329"/>
      <c r="F378" s="329"/>
      <c r="G378" s="329"/>
      <c r="H378" s="329"/>
      <c r="I378" s="329"/>
      <c r="J378" s="329"/>
      <c r="L378" s="40">
        <f t="shared" si="103"/>
        <v>1</v>
      </c>
      <c r="M378" s="40">
        <f t="shared" si="104"/>
        <v>1</v>
      </c>
      <c r="N378" s="40">
        <f t="shared" si="105"/>
        <v>1</v>
      </c>
      <c r="O378" s="40">
        <f t="shared" si="106"/>
        <v>1</v>
      </c>
      <c r="P378" s="40">
        <f t="shared" si="107"/>
        <v>1</v>
      </c>
      <c r="Q378" s="40">
        <f t="shared" si="108"/>
        <v>1</v>
      </c>
      <c r="S378" s="206"/>
    </row>
    <row r="379" spans="1:19" hidden="1" outlineLevel="1" x14ac:dyDescent="0.2">
      <c r="D379" s="206"/>
      <c r="E379" s="329"/>
      <c r="F379" s="329"/>
      <c r="G379" s="329"/>
      <c r="H379" s="329"/>
      <c r="I379" s="329"/>
      <c r="J379" s="329"/>
      <c r="L379" s="40">
        <f t="shared" si="103"/>
        <v>1</v>
      </c>
      <c r="M379" s="40">
        <f t="shared" si="104"/>
        <v>1</v>
      </c>
      <c r="N379" s="40">
        <f t="shared" si="105"/>
        <v>1</v>
      </c>
      <c r="O379" s="40">
        <f t="shared" si="106"/>
        <v>1</v>
      </c>
      <c r="P379" s="40">
        <f t="shared" si="107"/>
        <v>1</v>
      </c>
      <c r="Q379" s="40">
        <f t="shared" si="108"/>
        <v>1</v>
      </c>
      <c r="S379" s="206"/>
    </row>
    <row r="380" spans="1:19" hidden="1" outlineLevel="1" x14ac:dyDescent="0.2">
      <c r="D380" s="206"/>
      <c r="E380" s="329"/>
      <c r="F380" s="329"/>
      <c r="G380" s="329"/>
      <c r="H380" s="329"/>
      <c r="I380" s="329"/>
      <c r="J380" s="329"/>
      <c r="L380" s="40">
        <f t="shared" si="103"/>
        <v>1</v>
      </c>
      <c r="M380" s="40">
        <f t="shared" si="104"/>
        <v>1</v>
      </c>
      <c r="N380" s="40">
        <f t="shared" si="105"/>
        <v>1</v>
      </c>
      <c r="O380" s="40">
        <f t="shared" si="106"/>
        <v>1</v>
      </c>
      <c r="P380" s="40">
        <f t="shared" si="107"/>
        <v>1</v>
      </c>
      <c r="Q380" s="40">
        <f t="shared" si="108"/>
        <v>1</v>
      </c>
      <c r="S380" s="206"/>
    </row>
    <row r="381" spans="1:19" hidden="1" outlineLevel="1" x14ac:dyDescent="0.2">
      <c r="D381" s="206"/>
      <c r="E381" s="329"/>
      <c r="F381" s="329"/>
      <c r="G381" s="329"/>
      <c r="H381" s="329"/>
      <c r="I381" s="329"/>
      <c r="J381" s="329"/>
      <c r="L381" s="40">
        <f t="shared" si="103"/>
        <v>1</v>
      </c>
      <c r="M381" s="40">
        <f t="shared" si="104"/>
        <v>1</v>
      </c>
      <c r="N381" s="40">
        <f t="shared" si="105"/>
        <v>1</v>
      </c>
      <c r="O381" s="40">
        <f t="shared" si="106"/>
        <v>1</v>
      </c>
      <c r="P381" s="40">
        <f t="shared" si="107"/>
        <v>1</v>
      </c>
      <c r="Q381" s="40">
        <f t="shared" si="108"/>
        <v>1</v>
      </c>
      <c r="S381" s="206"/>
    </row>
    <row r="382" spans="1:19" hidden="1" outlineLevel="1" x14ac:dyDescent="0.2">
      <c r="D382" s="206"/>
      <c r="E382" s="329"/>
      <c r="F382" s="329"/>
      <c r="G382" s="329"/>
      <c r="H382" s="329"/>
      <c r="I382" s="329"/>
      <c r="J382" s="329"/>
      <c r="L382" s="40">
        <f>IF(E382="",1,E382)</f>
        <v>1</v>
      </c>
      <c r="M382" s="40">
        <f t="shared" si="104"/>
        <v>1</v>
      </c>
      <c r="N382" s="40">
        <f t="shared" si="105"/>
        <v>1</v>
      </c>
      <c r="O382" s="40">
        <f t="shared" si="106"/>
        <v>1</v>
      </c>
      <c r="P382" s="40">
        <f t="shared" si="107"/>
        <v>1</v>
      </c>
      <c r="Q382" s="40">
        <f t="shared" si="108"/>
        <v>1</v>
      </c>
      <c r="S382" s="206"/>
    </row>
    <row r="383" spans="1:19" hidden="1" outlineLevel="1" x14ac:dyDescent="0.2">
      <c r="D383" s="20" t="s">
        <v>204</v>
      </c>
      <c r="E383" s="331">
        <f t="shared" ref="E383:J383" si="109">L373*L374*L375*L376*L382*L377*L378*L379*L380*L381</f>
        <v>1</v>
      </c>
      <c r="F383" s="331">
        <f t="shared" si="109"/>
        <v>1</v>
      </c>
      <c r="G383" s="331">
        <f t="shared" si="109"/>
        <v>1</v>
      </c>
      <c r="H383" s="331">
        <f t="shared" si="109"/>
        <v>1</v>
      </c>
      <c r="I383" s="331">
        <f t="shared" si="109"/>
        <v>1</v>
      </c>
      <c r="J383" s="331">
        <f t="shared" si="109"/>
        <v>1</v>
      </c>
    </row>
    <row r="384" spans="1:19" hidden="1" outlineLevel="1" x14ac:dyDescent="0.2">
      <c r="D384" s="4" t="s">
        <v>87</v>
      </c>
      <c r="E384" s="247">
        <f t="shared" ref="E384:J384" ca="1" si="110">IF(ISNUMBER(E370),E370*E383,"")</f>
        <v>0</v>
      </c>
      <c r="F384" s="247">
        <f t="shared" ca="1" si="110"/>
        <v>0</v>
      </c>
      <c r="G384" s="247">
        <f t="shared" ca="1" si="110"/>
        <v>0</v>
      </c>
      <c r="H384" s="247">
        <f t="shared" ca="1" si="110"/>
        <v>0</v>
      </c>
      <c r="I384" s="247">
        <f t="shared" ca="1" si="110"/>
        <v>0</v>
      </c>
      <c r="J384" s="247">
        <f t="shared" ca="1" si="110"/>
        <v>0</v>
      </c>
    </row>
    <row r="385" spans="3:19" hidden="1" outlineLevel="1" x14ac:dyDescent="0.2"/>
    <row r="386" spans="3:19" hidden="1" outlineLevel="1" x14ac:dyDescent="0.2">
      <c r="D386" s="54" t="str">
        <f>TxPhase1Tx</f>
        <v/>
      </c>
      <c r="E386" s="357"/>
      <c r="S386" s="31" t="s">
        <v>249</v>
      </c>
    </row>
    <row r="387" spans="3:19" hidden="1" outlineLevel="1" x14ac:dyDescent="0.2">
      <c r="D387" s="8" t="s">
        <v>88</v>
      </c>
      <c r="E387" s="48"/>
      <c r="F387" s="48"/>
      <c r="G387" s="48"/>
      <c r="H387" s="48"/>
      <c r="I387" s="48"/>
      <c r="J387" s="48"/>
      <c r="S387" s="41"/>
    </row>
    <row r="388" spans="3:19" hidden="1" outlineLevel="1" x14ac:dyDescent="0.2"/>
    <row r="389" spans="3:19" hidden="1" outlineLevel="1" x14ac:dyDescent="0.2">
      <c r="D389" s="82" t="str">
        <f>TXPhase2Tx</f>
        <v/>
      </c>
      <c r="E389" s="357"/>
      <c r="S389" s="6" t="s">
        <v>249</v>
      </c>
    </row>
    <row r="390" spans="3:19" hidden="1" outlineLevel="1" x14ac:dyDescent="0.2">
      <c r="D390" s="82" t="str">
        <f>IF(D389&lt;&gt;"","Patients electing treatment (%)","")</f>
        <v/>
      </c>
      <c r="E390" s="48"/>
      <c r="F390" s="48"/>
      <c r="G390" s="48"/>
      <c r="H390" s="48"/>
      <c r="I390" s="48"/>
      <c r="J390" s="48"/>
      <c r="S390" s="41"/>
    </row>
    <row r="391" spans="3:19" hidden="1" outlineLevel="1" x14ac:dyDescent="0.2"/>
    <row r="392" spans="3:19" hidden="1" outlineLevel="1" x14ac:dyDescent="0.2">
      <c r="C392" s="246">
        <f>IFERROR(VLOOKUP(E392,TxPhase2SourceCode,2,FALSE),0)</f>
        <v>1</v>
      </c>
      <c r="D392" s="54" t="s">
        <v>1152</v>
      </c>
      <c r="E392" s="227" t="s">
        <v>1153</v>
      </c>
    </row>
    <row r="393" spans="3:19" hidden="1" outlineLevel="1" x14ac:dyDescent="0.2"/>
    <row r="394" spans="3:19" hidden="1" outlineLevel="1" x14ac:dyDescent="0.2">
      <c r="D394" s="54" t="str">
        <f>TxPhase1Px</f>
        <v/>
      </c>
      <c r="E394" s="247">
        <f t="shared" ref="E394:J394" si="111">IF(TxPhase1&lt;&gt;"",E384*E387,0)</f>
        <v>0</v>
      </c>
      <c r="F394" s="247">
        <f t="shared" si="111"/>
        <v>0</v>
      </c>
      <c r="G394" s="247">
        <f t="shared" si="111"/>
        <v>0</v>
      </c>
      <c r="H394" s="247">
        <f t="shared" si="111"/>
        <v>0</v>
      </c>
      <c r="I394" s="247">
        <f t="shared" si="111"/>
        <v>0</v>
      </c>
      <c r="J394" s="247">
        <f t="shared" si="111"/>
        <v>0</v>
      </c>
    </row>
    <row r="395" spans="3:19" hidden="1" outlineLevel="1" x14ac:dyDescent="0.2">
      <c r="D395" s="54" t="str">
        <f>TxPhase2Px</f>
        <v/>
      </c>
      <c r="E395" s="247">
        <f t="shared" ref="E395:J395" si="112">IF(TxPhase2&lt;&gt;"",IF($C392=1,E394,IF($C392=2,E384,0))*E390,0)</f>
        <v>0</v>
      </c>
      <c r="F395" s="247">
        <f t="shared" si="112"/>
        <v>0</v>
      </c>
      <c r="G395" s="247">
        <f t="shared" si="112"/>
        <v>0</v>
      </c>
      <c r="H395" s="247">
        <f t="shared" si="112"/>
        <v>0</v>
      </c>
      <c r="I395" s="247">
        <f t="shared" si="112"/>
        <v>0</v>
      </c>
      <c r="J395" s="247">
        <f t="shared" si="112"/>
        <v>0</v>
      </c>
    </row>
    <row r="396" spans="3:19" hidden="1" outlineLevel="1" x14ac:dyDescent="0.2">
      <c r="D396" s="1"/>
      <c r="E396" s="1"/>
    </row>
    <row r="397" spans="3:19" hidden="1" outlineLevel="1" x14ac:dyDescent="0.2">
      <c r="C397" s="246" t="str">
        <f>IF(E397&lt;&gt;"",E397,"")</f>
        <v/>
      </c>
      <c r="D397" s="81" t="s">
        <v>743</v>
      </c>
      <c r="E397" s="227"/>
    </row>
    <row r="398" spans="3:19" hidden="1" outlineLevel="1" x14ac:dyDescent="0.2"/>
    <row r="399" spans="3:19" collapsed="1" x14ac:dyDescent="0.2">
      <c r="P399" s="446"/>
      <c r="Q399" s="119"/>
    </row>
    <row r="400" spans="3:19" ht="15.75" x14ac:dyDescent="0.2">
      <c r="D400" s="111" t="s">
        <v>27</v>
      </c>
      <c r="E400" s="112"/>
      <c r="F400" s="112"/>
      <c r="G400" s="112"/>
      <c r="H400" s="112"/>
      <c r="I400" s="112"/>
      <c r="J400" s="112"/>
      <c r="K400" s="112"/>
      <c r="L400" s="112"/>
      <c r="M400" s="112"/>
      <c r="N400" s="112"/>
      <c r="O400" s="112"/>
      <c r="P400" s="112"/>
      <c r="Q400" s="112"/>
      <c r="R400" s="112"/>
      <c r="S400" s="112"/>
    </row>
    <row r="402" spans="4:19" x14ac:dyDescent="0.2">
      <c r="D402" t="s">
        <v>825</v>
      </c>
    </row>
    <row r="403" spans="4:19" x14ac:dyDescent="0.2">
      <c r="D403" t="s">
        <v>210</v>
      </c>
    </row>
    <row r="405" spans="4:19" x14ac:dyDescent="0.2">
      <c r="D405" s="122" t="s">
        <v>843</v>
      </c>
      <c r="E405" s="112"/>
      <c r="F405" s="112"/>
      <c r="G405" s="112"/>
      <c r="H405" s="112"/>
      <c r="I405" s="112"/>
      <c r="J405" s="112"/>
      <c r="K405" s="112"/>
      <c r="L405" s="112"/>
      <c r="M405" s="112"/>
      <c r="N405" s="112"/>
      <c r="O405" s="112"/>
      <c r="P405" s="112"/>
      <c r="Q405" s="112"/>
      <c r="R405" s="112"/>
      <c r="S405" s="112"/>
    </row>
    <row r="406" spans="4:19" x14ac:dyDescent="0.2">
      <c r="D406" s="260"/>
    </row>
    <row r="408" spans="4:19" x14ac:dyDescent="0.2">
      <c r="D408" s="122" t="s">
        <v>844</v>
      </c>
      <c r="E408" s="112"/>
      <c r="F408" s="112"/>
      <c r="G408" s="112"/>
      <c r="H408" s="112"/>
      <c r="I408" s="112"/>
      <c r="J408" s="112"/>
      <c r="K408" s="112"/>
      <c r="L408" s="112"/>
      <c r="M408" s="112"/>
      <c r="N408" s="112"/>
      <c r="O408" s="112"/>
      <c r="P408" s="112"/>
      <c r="Q408" s="112"/>
      <c r="R408" s="112"/>
      <c r="S408" s="112"/>
    </row>
    <row r="409" spans="4:19" x14ac:dyDescent="0.2">
      <c r="D409" s="260"/>
    </row>
    <row r="411" spans="4:19" x14ac:dyDescent="0.2">
      <c r="D411" s="122" t="s">
        <v>845</v>
      </c>
      <c r="E411" s="112"/>
      <c r="F411" s="112"/>
      <c r="G411" s="112"/>
      <c r="H411" s="112"/>
      <c r="I411" s="112"/>
      <c r="J411" s="112"/>
      <c r="K411" s="112"/>
      <c r="L411" s="112"/>
      <c r="M411" s="112"/>
      <c r="N411" s="112"/>
      <c r="O411" s="112"/>
      <c r="P411" s="112"/>
      <c r="Q411" s="112"/>
      <c r="R411" s="112"/>
      <c r="S411" s="112"/>
    </row>
  </sheetData>
  <mergeCells count="21">
    <mergeCell ref="E102:J102"/>
    <mergeCell ref="E64:J64"/>
    <mergeCell ref="G100:J100"/>
    <mergeCell ref="I1:J1"/>
    <mergeCell ref="G24:J24"/>
    <mergeCell ref="G62:J62"/>
    <mergeCell ref="E26:J26"/>
    <mergeCell ref="G214:J214"/>
    <mergeCell ref="E216:J216"/>
    <mergeCell ref="G252:J252"/>
    <mergeCell ref="G138:J138"/>
    <mergeCell ref="E140:J140"/>
    <mergeCell ref="G176:J176"/>
    <mergeCell ref="E178:J178"/>
    <mergeCell ref="G328:J328"/>
    <mergeCell ref="E330:J330"/>
    <mergeCell ref="G366:J366"/>
    <mergeCell ref="E368:J368"/>
    <mergeCell ref="E254:J254"/>
    <mergeCell ref="G290:J290"/>
    <mergeCell ref="E292:J292"/>
  </mergeCells>
  <conditionalFormatting sqref="D47 D48:J48 S48 E50 D53:J53">
    <cfRule type="expression" dxfId="398" priority="232">
      <formula>TPCont=0</formula>
    </cfRule>
  </conditionalFormatting>
  <conditionalFormatting sqref="D53">
    <cfRule type="expression" dxfId="397" priority="229">
      <formula>$D$53=""</formula>
    </cfRule>
  </conditionalFormatting>
  <conditionalFormatting sqref="D85">
    <cfRule type="expression" dxfId="396" priority="115">
      <formula>TPCont=0</formula>
    </cfRule>
  </conditionalFormatting>
  <conditionalFormatting sqref="D91">
    <cfRule type="expression" dxfId="395" priority="106">
      <formula>$D$53=""</formula>
    </cfRule>
  </conditionalFormatting>
  <conditionalFormatting sqref="D123">
    <cfRule type="expression" dxfId="394" priority="114">
      <formula>TPCont=0</formula>
    </cfRule>
  </conditionalFormatting>
  <conditionalFormatting sqref="D129">
    <cfRule type="expression" dxfId="393" priority="105">
      <formula>$D$53=""</formula>
    </cfRule>
  </conditionalFormatting>
  <conditionalFormatting sqref="D161">
    <cfRule type="expression" dxfId="392" priority="113">
      <formula>TPCont=0</formula>
    </cfRule>
  </conditionalFormatting>
  <conditionalFormatting sqref="D167">
    <cfRule type="expression" dxfId="391" priority="104">
      <formula>$D$53=""</formula>
    </cfRule>
  </conditionalFormatting>
  <conditionalFormatting sqref="D199">
    <cfRule type="expression" dxfId="390" priority="112">
      <formula>TPCont=0</formula>
    </cfRule>
  </conditionalFormatting>
  <conditionalFormatting sqref="D205">
    <cfRule type="expression" dxfId="389" priority="103">
      <formula>$D$53=""</formula>
    </cfRule>
  </conditionalFormatting>
  <conditionalFormatting sqref="D237">
    <cfRule type="expression" dxfId="388" priority="111">
      <formula>TPCont=0</formula>
    </cfRule>
  </conditionalFormatting>
  <conditionalFormatting sqref="D243">
    <cfRule type="expression" dxfId="387" priority="102">
      <formula>$D$53=""</formula>
    </cfRule>
  </conditionalFormatting>
  <conditionalFormatting sqref="D275">
    <cfRule type="expression" dxfId="386" priority="110">
      <formula>TPCont=0</formula>
    </cfRule>
  </conditionalFormatting>
  <conditionalFormatting sqref="D281">
    <cfRule type="expression" dxfId="385" priority="101">
      <formula>$D$53=""</formula>
    </cfRule>
  </conditionalFormatting>
  <conditionalFormatting sqref="D313">
    <cfRule type="expression" dxfId="384" priority="109">
      <formula>TPCont=0</formula>
    </cfRule>
  </conditionalFormatting>
  <conditionalFormatting sqref="D319">
    <cfRule type="expression" dxfId="383" priority="100">
      <formula>$D$53=""</formula>
    </cfRule>
  </conditionalFormatting>
  <conditionalFormatting sqref="D351">
    <cfRule type="expression" dxfId="382" priority="108">
      <formula>TPCont=0</formula>
    </cfRule>
  </conditionalFormatting>
  <conditionalFormatting sqref="D357">
    <cfRule type="expression" dxfId="381" priority="99">
      <formula>$D$53=""</formula>
    </cfRule>
  </conditionalFormatting>
  <conditionalFormatting sqref="D389">
    <cfRule type="expression" dxfId="380" priority="107">
      <formula>TPCont=0</formula>
    </cfRule>
  </conditionalFormatting>
  <conditionalFormatting sqref="D395">
    <cfRule type="expression" dxfId="379" priority="98">
      <formula>$D$53=""</formula>
    </cfRule>
  </conditionalFormatting>
  <conditionalFormatting sqref="D15:J15">
    <cfRule type="expression" dxfId="378" priority="744">
      <formula>#REF!=""</formula>
    </cfRule>
  </conditionalFormatting>
  <conditionalFormatting sqref="D86:J86 S86 E88 D91:J91">
    <cfRule type="expression" dxfId="377" priority="225">
      <formula>TPCont=0</formula>
    </cfRule>
  </conditionalFormatting>
  <conditionalFormatting sqref="D124:J124 S124 E126 D129:J129">
    <cfRule type="expression" dxfId="376" priority="221">
      <formula>TPCont=0</formula>
    </cfRule>
  </conditionalFormatting>
  <conditionalFormatting sqref="D162:J162 S162 E164 D167:J167">
    <cfRule type="expression" dxfId="375" priority="217">
      <formula>TPCont=0</formula>
    </cfRule>
  </conditionalFormatting>
  <conditionalFormatting sqref="D200:J200 S200 E202 D205:J205">
    <cfRule type="expression" dxfId="374" priority="213">
      <formula>TPCont=0</formula>
    </cfRule>
  </conditionalFormatting>
  <conditionalFormatting sqref="D238:J238 S238 E240 D243:J243">
    <cfRule type="expression" dxfId="373" priority="196">
      <formula>TPCont=0</formula>
    </cfRule>
  </conditionalFormatting>
  <conditionalFormatting sqref="D276:J276 S276 E278 D281:J281">
    <cfRule type="expression" dxfId="372" priority="183">
      <formula>TPCont=0</formula>
    </cfRule>
  </conditionalFormatting>
  <conditionalFormatting sqref="D314:J314 S314 E316 D319:J319">
    <cfRule type="expression" dxfId="371" priority="170">
      <formula>TPCont=0</formula>
    </cfRule>
  </conditionalFormatting>
  <conditionalFormatting sqref="D352:J352 S352 E354 D357:J357">
    <cfRule type="expression" dxfId="370" priority="157">
      <formula>TPCont=0</formula>
    </cfRule>
  </conditionalFormatting>
  <conditionalFormatting sqref="D390:J390 S390 E392 D395:J395">
    <cfRule type="expression" dxfId="369" priority="144">
      <formula>TPCont=0</formula>
    </cfRule>
  </conditionalFormatting>
  <conditionalFormatting sqref="E24 G24 S24 D31:J40 S31:S40 E45:J45 S45 E48:J48 S48 E50 E55">
    <cfRule type="expression" dxfId="368" priority="10">
      <formula>PxPrevalent&lt;&gt;1</formula>
    </cfRule>
  </conditionalFormatting>
  <conditionalFormatting sqref="E62 G62 S62 D69:J78 S69:S78 E83:J83 S83 E86:J86 S86 E88 E93">
    <cfRule type="expression" dxfId="367" priority="9">
      <formula>PxPrevalent&lt;&gt;1</formula>
    </cfRule>
  </conditionalFormatting>
  <conditionalFormatting sqref="E100 G100 S100 D107:J116 S107:S116 E121:J121 S121 E124:J124 S124 E126 E131">
    <cfRule type="expression" dxfId="366" priority="8">
      <formula>PxPrevalent&lt;&gt;1</formula>
    </cfRule>
  </conditionalFormatting>
  <conditionalFormatting sqref="E138 G138 S138 D145:J154 S145:S154 E159:J159 S159 E162:J162 S162 E164 E169">
    <cfRule type="expression" dxfId="365" priority="7">
      <formula>PxPrevalent&lt;&gt;1</formula>
    </cfRule>
  </conditionalFormatting>
  <conditionalFormatting sqref="E176 G176 S176 D183:J192 S183:S192 E197:J197 S197 E200:J200 S200 E202 E207">
    <cfRule type="expression" dxfId="364" priority="6">
      <formula>PxPrevalent&lt;&gt;1</formula>
    </cfRule>
  </conditionalFormatting>
  <conditionalFormatting sqref="E214 G214 S214 D221:J230 S221:S230 E235:J235 S235 E238:J238 S238 E240 E245">
    <cfRule type="expression" dxfId="363" priority="5">
      <formula>PxPrevalent&lt;&gt;1</formula>
    </cfRule>
  </conditionalFormatting>
  <conditionalFormatting sqref="E252 G252 S252 D259:J268 S259:S268 E273:J273 S273 E276:J276 S276 E278 E283">
    <cfRule type="expression" dxfId="362" priority="4">
      <formula>PxPrevalent&lt;&gt;1</formula>
    </cfRule>
  </conditionalFormatting>
  <conditionalFormatting sqref="E290 G290 S290 D297:J306 S297:S306 E311:J311 S311 E314:J314 S314 E316 E321">
    <cfRule type="expression" dxfId="361" priority="3">
      <formula>PxPrevalent&lt;&gt;1</formula>
    </cfRule>
  </conditionalFormatting>
  <conditionalFormatting sqref="E328 G328 S328 D335:J344 S335:S344 E349:J349 S349 E352:J352 S352 E354 E359">
    <cfRule type="expression" dxfId="360" priority="2">
      <formula>PxPrevalent&lt;&gt;1</formula>
    </cfRule>
  </conditionalFormatting>
  <conditionalFormatting sqref="E366 G366 S366 D373:J382 S373:S382 E387:J387 S387 E390:J390 S390 E392 E397">
    <cfRule type="expression" dxfId="359" priority="1">
      <formula>PxPrevalent&lt;&gt;1</formula>
    </cfRule>
  </conditionalFormatting>
  <conditionalFormatting sqref="E28:J28">
    <cfRule type="expression" dxfId="358" priority="74">
      <formula>PxPrevalent&lt;&gt;1</formula>
    </cfRule>
  </conditionalFormatting>
  <conditionalFormatting sqref="E31:J40 S31:S40">
    <cfRule type="expression" dxfId="357" priority="364">
      <formula>$D31=""</formula>
    </cfRule>
  </conditionalFormatting>
  <conditionalFormatting sqref="E66:J66">
    <cfRule type="expression" dxfId="356" priority="46">
      <formula>PxPrevalent&lt;&gt;1</formula>
    </cfRule>
  </conditionalFormatting>
  <conditionalFormatting sqref="E69:J78 S69:S78">
    <cfRule type="expression" dxfId="355" priority="290">
      <formula>$D69=""</formula>
    </cfRule>
  </conditionalFormatting>
  <conditionalFormatting sqref="E104:J104">
    <cfRule type="expression" dxfId="354" priority="45">
      <formula>PxPrevalent&lt;&gt;1</formula>
    </cfRule>
  </conditionalFormatting>
  <conditionalFormatting sqref="E107:J116 S107:S116">
    <cfRule type="expression" dxfId="353" priority="276">
      <formula>$D107=""</formula>
    </cfRule>
  </conditionalFormatting>
  <conditionalFormatting sqref="E142:J142">
    <cfRule type="expression" dxfId="352" priority="44">
      <formula>PxPrevalent&lt;&gt;1</formula>
    </cfRule>
  </conditionalFormatting>
  <conditionalFormatting sqref="E145:J154 S145:S154">
    <cfRule type="expression" dxfId="351" priority="262">
      <formula>$D145=""</formula>
    </cfRule>
  </conditionalFormatting>
  <conditionalFormatting sqref="E180:J180">
    <cfRule type="expression" dxfId="350" priority="43">
      <formula>PxPrevalent&lt;&gt;1</formula>
    </cfRule>
  </conditionalFormatting>
  <conditionalFormatting sqref="E183:J192 S183:S192">
    <cfRule type="expression" dxfId="349" priority="248">
      <formula>$D183=""</formula>
    </cfRule>
  </conditionalFormatting>
  <conditionalFormatting sqref="E218:J218">
    <cfRule type="expression" dxfId="348" priority="42">
      <formula>PxPrevalent&lt;&gt;1</formula>
    </cfRule>
  </conditionalFormatting>
  <conditionalFormatting sqref="E221:J230 S221:S230">
    <cfRule type="expression" dxfId="347" priority="207">
      <formula>$D221=""</formula>
    </cfRule>
  </conditionalFormatting>
  <conditionalFormatting sqref="E256:J256">
    <cfRule type="expression" dxfId="346" priority="41">
      <formula>PxPrevalent&lt;&gt;1</formula>
    </cfRule>
  </conditionalFormatting>
  <conditionalFormatting sqref="E259:J268 S259:S268">
    <cfRule type="expression" dxfId="345" priority="194">
      <formula>$D259=""</formula>
    </cfRule>
  </conditionalFormatting>
  <conditionalFormatting sqref="E294:J294">
    <cfRule type="expression" dxfId="344" priority="40">
      <formula>PxPrevalent&lt;&gt;1</formula>
    </cfRule>
  </conditionalFormatting>
  <conditionalFormatting sqref="E297:J306 S297:S306">
    <cfRule type="expression" dxfId="343" priority="181">
      <formula>$D297=""</formula>
    </cfRule>
  </conditionalFormatting>
  <conditionalFormatting sqref="E332:J332">
    <cfRule type="expression" dxfId="342" priority="39">
      <formula>PxPrevalent&lt;&gt;1</formula>
    </cfRule>
  </conditionalFormatting>
  <conditionalFormatting sqref="E335:J344 S335:S344">
    <cfRule type="expression" dxfId="341" priority="168">
      <formula>$D335=""</formula>
    </cfRule>
  </conditionalFormatting>
  <conditionalFormatting sqref="E370:J370">
    <cfRule type="expression" dxfId="340" priority="38">
      <formula>PxPrevalent&lt;&gt;1</formula>
    </cfRule>
  </conditionalFormatting>
  <conditionalFormatting sqref="E373:J382 S373:S382">
    <cfRule type="expression" dxfId="339" priority="155">
      <formula>$D373=""</formula>
    </cfRule>
  </conditionalFormatting>
  <conditionalFormatting sqref="S24">
    <cfRule type="expression" dxfId="338" priority="142">
      <formula>G24=""</formula>
    </cfRule>
  </conditionalFormatting>
  <conditionalFormatting sqref="S26">
    <cfRule type="notContainsBlanks" dxfId="337" priority="84">
      <formula>LEN(TRIM(S26))&gt;0</formula>
    </cfRule>
  </conditionalFormatting>
  <conditionalFormatting sqref="S62">
    <cfRule type="expression" dxfId="336" priority="140">
      <formula>G62=""</formula>
    </cfRule>
  </conditionalFormatting>
  <conditionalFormatting sqref="S64">
    <cfRule type="notContainsBlanks" dxfId="335" priority="19">
      <formula>LEN(TRIM(S64))&gt;0</formula>
    </cfRule>
  </conditionalFormatting>
  <conditionalFormatting sqref="S100">
    <cfRule type="expression" dxfId="334" priority="138">
      <formula>G100=""</formula>
    </cfRule>
  </conditionalFormatting>
  <conditionalFormatting sqref="S102">
    <cfRule type="notContainsBlanks" dxfId="333" priority="18">
      <formula>LEN(TRIM(S102))&gt;0</formula>
    </cfRule>
  </conditionalFormatting>
  <conditionalFormatting sqref="S138">
    <cfRule type="expression" dxfId="332" priority="136">
      <formula>G138=""</formula>
    </cfRule>
  </conditionalFormatting>
  <conditionalFormatting sqref="S140">
    <cfRule type="notContainsBlanks" dxfId="331" priority="17">
      <formula>LEN(TRIM(S140))&gt;0</formula>
    </cfRule>
  </conditionalFormatting>
  <conditionalFormatting sqref="S176">
    <cfRule type="expression" dxfId="330" priority="134">
      <formula>G176=""</formula>
    </cfRule>
  </conditionalFormatting>
  <conditionalFormatting sqref="S178">
    <cfRule type="notContainsBlanks" dxfId="329" priority="16">
      <formula>LEN(TRIM(S178))&gt;0</formula>
    </cfRule>
  </conditionalFormatting>
  <conditionalFormatting sqref="S214">
    <cfRule type="expression" dxfId="328" priority="132">
      <formula>G214=""</formula>
    </cfRule>
  </conditionalFormatting>
  <conditionalFormatting sqref="S216">
    <cfRule type="notContainsBlanks" dxfId="327" priority="15">
      <formula>LEN(TRIM(S216))&gt;0</formula>
    </cfRule>
  </conditionalFormatting>
  <conditionalFormatting sqref="S252">
    <cfRule type="expression" dxfId="326" priority="130">
      <formula>G252=""</formula>
    </cfRule>
  </conditionalFormatting>
  <conditionalFormatting sqref="S254">
    <cfRule type="notContainsBlanks" dxfId="325" priority="14">
      <formula>LEN(TRIM(S254))&gt;0</formula>
    </cfRule>
  </conditionalFormatting>
  <conditionalFormatting sqref="S290">
    <cfRule type="expression" dxfId="324" priority="128">
      <formula>G290=""</formula>
    </cfRule>
  </conditionalFormatting>
  <conditionalFormatting sqref="S292">
    <cfRule type="notContainsBlanks" dxfId="323" priority="13">
      <formula>LEN(TRIM(S292))&gt;0</formula>
    </cfRule>
  </conditionalFormatting>
  <conditionalFormatting sqref="S328">
    <cfRule type="expression" dxfId="322" priority="126">
      <formula>G328=""</formula>
    </cfRule>
  </conditionalFormatting>
  <conditionalFormatting sqref="S330">
    <cfRule type="notContainsBlanks" dxfId="321" priority="12">
      <formula>LEN(TRIM(S330))&gt;0</formula>
    </cfRule>
  </conditionalFormatting>
  <conditionalFormatting sqref="S366">
    <cfRule type="expression" dxfId="320" priority="124">
      <formula>G366=""</formula>
    </cfRule>
  </conditionalFormatting>
  <conditionalFormatting sqref="S368">
    <cfRule type="notContainsBlanks" dxfId="319" priority="11">
      <formula>LEN(TRIM(S368))&gt;0</formula>
    </cfRule>
  </conditionalFormatting>
  <dataValidations count="13">
    <dataValidation type="list" allowBlank="1" showInputMessage="1" showErrorMessage="1" sqref="G366:J366" xr:uid="{00000000-0002-0000-0300-000000000000}">
      <formula1>PPops10</formula1>
    </dataValidation>
    <dataValidation type="list" allowBlank="1" showInputMessage="1" showErrorMessage="1" sqref="E24 E62 E100 E138 E176 E214 E252 E290 E328 E366" xr:uid="{00000000-0002-0000-0300-000001000000}">
      <formula1>EPISource</formula1>
    </dataValidation>
    <dataValidation type="list" allowBlank="1" showInputMessage="1" showErrorMessage="1" sqref="G24:J24" xr:uid="{00000000-0002-0000-0300-000002000000}">
      <formula1>PPops01</formula1>
    </dataValidation>
    <dataValidation type="list" allowBlank="1" showInputMessage="1" showErrorMessage="1" sqref="G62:J62" xr:uid="{00000000-0002-0000-0300-000003000000}">
      <formula1>PPops02</formula1>
    </dataValidation>
    <dataValidation type="list" allowBlank="1" showInputMessage="1" showErrorMessage="1" sqref="G100:J100" xr:uid="{00000000-0002-0000-0300-000004000000}">
      <formula1>PPops03</formula1>
    </dataValidation>
    <dataValidation type="list" allowBlank="1" showInputMessage="1" showErrorMessage="1" sqref="G138:J138" xr:uid="{00000000-0002-0000-0300-000005000000}">
      <formula1>PPops04</formula1>
    </dataValidation>
    <dataValidation type="list" allowBlank="1" showInputMessage="1" showErrorMessage="1" sqref="G214:J214" xr:uid="{00000000-0002-0000-0300-000006000000}">
      <formula1>PPops06</formula1>
    </dataValidation>
    <dataValidation type="list" allowBlank="1" showInputMessage="1" showErrorMessage="1" sqref="G176:J176" xr:uid="{00000000-0002-0000-0300-000007000000}">
      <formula1>PPops05</formula1>
    </dataValidation>
    <dataValidation type="list" allowBlank="1" showInputMessage="1" showErrorMessage="1" sqref="G252:J252" xr:uid="{00000000-0002-0000-0300-000008000000}">
      <formula1>PPops07</formula1>
    </dataValidation>
    <dataValidation type="list" allowBlank="1" showInputMessage="1" showErrorMessage="1" sqref="G290:J290" xr:uid="{00000000-0002-0000-0300-000009000000}">
      <formula1>PPops08</formula1>
    </dataValidation>
    <dataValidation type="list" allowBlank="1" showInputMessage="1" showErrorMessage="1" sqref="G328:J328" xr:uid="{00000000-0002-0000-0300-00000A000000}">
      <formula1>PPops09</formula1>
    </dataValidation>
    <dataValidation type="list" allowBlank="1" showInputMessage="1" showErrorMessage="1" sqref="E55 E93 E131 E169 E207 E245 E283 E321 E359 E397" xr:uid="{00000000-0002-0000-0300-00000B000000}">
      <formula1>CoPayBands</formula1>
    </dataValidation>
    <dataValidation type="list" allowBlank="1" showInputMessage="1" showErrorMessage="1" sqref="E50 E88 E126 E164 E202 E240 E278 E316 E354 E392" xr:uid="{00000000-0002-0000-0300-00000C000000}">
      <formula1>TxPhase2Source</formula1>
    </dataValidation>
  </dataValidations>
  <pageMargins left="0.11811023622047245" right="0.11811023622047245" top="0.19685039370078741" bottom="0.15748031496062992" header="0.31496062992125984" footer="0.31496062992125984"/>
  <pageSetup paperSize="9" scale="66" orientation="landscape" horizontalDpi="300" verticalDpi="300" r:id="rId1"/>
  <headerFooter>
    <oddHeader>&amp;C&amp;"Calibri"&amp;12&amp;KFF0000 OFFICIAL&amp;1#_x000D_</oddHeader>
    <oddFooter>&amp;C_x000D_&amp;1#&amp;"Calibri"&amp;12&amp;KFF0000 OFFICIAL</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19">
    <tabColor theme="6"/>
    <pageSetUpPr fitToPage="1"/>
  </sheetPr>
  <dimension ref="A1:L170"/>
  <sheetViews>
    <sheetView showGridLines="0" zoomScaleNormal="100" workbookViewId="0">
      <pane ySplit="3" topLeftCell="A4" activePane="bottomLeft" state="frozen"/>
      <selection activeCell="B7" sqref="B7:G7"/>
      <selection pane="bottomLeft" activeCell="A4" sqref="A4"/>
    </sheetView>
  </sheetViews>
  <sheetFormatPr defaultRowHeight="12.75" customHeight="1" outlineLevelRow="1" x14ac:dyDescent="0.2"/>
  <cols>
    <col min="1" max="1" width="3.7109375" customWidth="1"/>
    <col min="2" max="3" width="3.7109375" hidden="1" customWidth="1"/>
    <col min="4" max="4" width="45.7109375" customWidth="1"/>
    <col min="5" max="10" width="15.7109375" customWidth="1"/>
    <col min="11" max="11" width="3.7109375" customWidth="1"/>
    <col min="12" max="12" width="75.7109375" customWidth="1"/>
    <col min="13" max="13" width="3.7109375" customWidth="1"/>
    <col min="14" max="15" width="9.140625" customWidth="1"/>
  </cols>
  <sheetData>
    <row r="1" spans="1:12" ht="23.25" x14ac:dyDescent="0.2">
      <c r="A1" s="97">
        <f>IF((SUM(E14:J14)+SUM(E15:J15)&lt;&gt;0),2,0)</f>
        <v>0</v>
      </c>
      <c r="B1" s="97"/>
      <c r="C1" s="97"/>
      <c r="D1" s="106" t="s">
        <v>672</v>
      </c>
      <c r="E1" s="107"/>
      <c r="F1" s="107"/>
      <c r="G1" s="107"/>
      <c r="H1" s="107"/>
      <c r="I1" s="107"/>
      <c r="J1" s="107"/>
      <c r="K1" s="107"/>
      <c r="L1" s="109" t="str">
        <f>IF(PxGrandfathered&lt;&gt;1,MsgNotRequired,"")</f>
        <v>** NOT REQUIRED **</v>
      </c>
    </row>
    <row r="2" spans="1:12" ht="15.75" x14ac:dyDescent="0.2">
      <c r="A2" s="107"/>
      <c r="B2" s="107"/>
      <c r="C2" s="107"/>
      <c r="D2" s="100" t="str">
        <f>CONCATENATE("Name of medicine: ",MedicineBrand)</f>
        <v xml:space="preserve">Name of medicine: </v>
      </c>
      <c r="E2" s="107"/>
      <c r="F2" s="107"/>
      <c r="G2" s="107"/>
      <c r="H2" s="107"/>
      <c r="I2" s="107"/>
      <c r="J2" s="107"/>
      <c r="K2" s="107"/>
      <c r="L2" s="107"/>
    </row>
    <row r="3" spans="1:12" ht="15.75" x14ac:dyDescent="0.2">
      <c r="A3" s="107"/>
      <c r="B3" s="107"/>
      <c r="C3" s="107"/>
      <c r="D3" s="100" t="str">
        <f>CONCATENATE("Indication: ", Indication)</f>
        <v xml:space="preserve">Indication: </v>
      </c>
      <c r="E3" s="107"/>
      <c r="F3" s="107"/>
      <c r="G3" s="107"/>
      <c r="H3" s="107"/>
      <c r="I3" s="107"/>
      <c r="J3" s="107"/>
      <c r="K3" s="107"/>
      <c r="L3" s="107"/>
    </row>
    <row r="4" spans="1:12" x14ac:dyDescent="0.2"/>
    <row r="5" spans="1:12" ht="15.75" x14ac:dyDescent="0.2">
      <c r="A5" s="110"/>
      <c r="B5" s="110"/>
      <c r="C5" s="110"/>
      <c r="D5" s="111" t="s">
        <v>2</v>
      </c>
      <c r="E5" s="21"/>
      <c r="F5" s="21"/>
      <c r="G5" s="21"/>
      <c r="H5" s="21"/>
      <c r="I5" s="21"/>
      <c r="J5" s="21"/>
      <c r="K5" s="21"/>
      <c r="L5" s="21"/>
    </row>
    <row r="6" spans="1:12" x14ac:dyDescent="0.2"/>
    <row r="7" spans="1:12" x14ac:dyDescent="0.2">
      <c r="D7" t="s">
        <v>830</v>
      </c>
    </row>
    <row r="8" spans="1:12" x14ac:dyDescent="0.2"/>
    <row r="9" spans="1:12" ht="15.75" x14ac:dyDescent="0.2">
      <c r="D9" s="111" t="s">
        <v>846</v>
      </c>
      <c r="E9" s="112"/>
      <c r="F9" s="112"/>
      <c r="G9" s="112"/>
      <c r="H9" s="112"/>
      <c r="I9" s="112"/>
      <c r="J9" s="113"/>
      <c r="K9" s="21"/>
      <c r="L9" s="21"/>
    </row>
    <row r="10" spans="1:12" x14ac:dyDescent="0.2"/>
    <row r="11" spans="1:12" x14ac:dyDescent="0.2">
      <c r="D11" t="s">
        <v>969</v>
      </c>
    </row>
    <row r="12" spans="1:12" x14ac:dyDescent="0.2">
      <c r="D12" s="357"/>
    </row>
    <row r="13" spans="1:12" x14ac:dyDescent="0.2">
      <c r="D13" s="357"/>
      <c r="E13" s="74">
        <f>FirstYear</f>
        <v>2026</v>
      </c>
      <c r="F13" s="74">
        <f>E13+1</f>
        <v>2027</v>
      </c>
      <c r="G13" s="74">
        <f>F13+1</f>
        <v>2028</v>
      </c>
      <c r="H13" s="74">
        <f>G13+1</f>
        <v>2029</v>
      </c>
      <c r="I13" s="74">
        <f>H13+1</f>
        <v>2030</v>
      </c>
      <c r="J13" s="74">
        <f>I13+1</f>
        <v>2031</v>
      </c>
    </row>
    <row r="14" spans="1:12" x14ac:dyDescent="0.2">
      <c r="D14" s="53" t="str">
        <f>TxPhase1PxTotal</f>
        <v/>
      </c>
      <c r="E14" s="27">
        <f t="shared" ref="E14:J14" si="0">IF(OR(ScriptSourceCode=1,ScriptSourceCode=3),E43+E72+E101+E130+E159,0)</f>
        <v>0</v>
      </c>
      <c r="F14" s="27">
        <f t="shared" si="0"/>
        <v>0</v>
      </c>
      <c r="G14" s="27">
        <f t="shared" si="0"/>
        <v>0</v>
      </c>
      <c r="H14" s="27">
        <f t="shared" si="0"/>
        <v>0</v>
      </c>
      <c r="I14" s="27">
        <f t="shared" si="0"/>
        <v>0</v>
      </c>
      <c r="J14" s="27">
        <f t="shared" si="0"/>
        <v>0</v>
      </c>
    </row>
    <row r="15" spans="1:12" x14ac:dyDescent="0.2">
      <c r="D15" s="53" t="str">
        <f>TxPhase2PxTotal</f>
        <v/>
      </c>
      <c r="E15" s="27">
        <f t="shared" ref="E15:J15" si="1">IF(OR(ScriptSourceCode=1,ScriptSourceCode=3),IF(TPCont&gt;0,E44+E73+E102+E131+E160,0),0)</f>
        <v>0</v>
      </c>
      <c r="F15" s="27">
        <f t="shared" si="1"/>
        <v>0</v>
      </c>
      <c r="G15" s="27">
        <f t="shared" si="1"/>
        <v>0</v>
      </c>
      <c r="H15" s="27">
        <f t="shared" si="1"/>
        <v>0</v>
      </c>
      <c r="I15" s="27">
        <f t="shared" si="1"/>
        <v>0</v>
      </c>
      <c r="J15" s="27">
        <f t="shared" si="1"/>
        <v>0</v>
      </c>
      <c r="K15" s="114"/>
    </row>
    <row r="16" spans="1:12" x14ac:dyDescent="0.2">
      <c r="E16" s="496"/>
      <c r="F16" s="496"/>
      <c r="G16" s="496"/>
      <c r="H16" s="496"/>
      <c r="I16" s="496"/>
      <c r="J16" s="496"/>
    </row>
    <row r="17" spans="2:12" x14ac:dyDescent="0.2"/>
    <row r="18" spans="2:12" ht="15.75" x14ac:dyDescent="0.2">
      <c r="D18" s="111" t="s">
        <v>903</v>
      </c>
      <c r="E18" s="116"/>
      <c r="F18" s="116"/>
      <c r="G18" s="116"/>
      <c r="H18" s="116"/>
      <c r="I18" s="111"/>
      <c r="J18" s="123"/>
      <c r="K18" s="21"/>
      <c r="L18" s="117"/>
    </row>
    <row r="19" spans="2:12" x14ac:dyDescent="0.2"/>
    <row r="20" spans="2:12" ht="15.75" x14ac:dyDescent="0.2">
      <c r="C20" s="396">
        <v>1</v>
      </c>
      <c r="D20" s="72" t="str">
        <f>IF(E25&lt;&gt;"",CONCATENATE("GF ",C20,": ",G25,L20),MsgNotUsed)</f>
        <v>** NOT USED **</v>
      </c>
      <c r="E20" s="116"/>
      <c r="F20" s="116"/>
      <c r="G20" s="116"/>
      <c r="H20" s="116"/>
      <c r="I20" s="118"/>
      <c r="J20" s="112"/>
      <c r="K20" s="21"/>
      <c r="L20" s="266" t="str">
        <f>IF(O24&lt;&gt;"",CONCATENATE(" (",O24,")"),"")</f>
        <v/>
      </c>
    </row>
    <row r="21" spans="2:12" hidden="1" outlineLevel="1" x14ac:dyDescent="0.2"/>
    <row r="22" spans="2:12" hidden="1" outlineLevel="1" x14ac:dyDescent="0.2">
      <c r="D22" t="s">
        <v>829</v>
      </c>
    </row>
    <row r="23" spans="2:12" hidden="1" outlineLevel="1" x14ac:dyDescent="0.2">
      <c r="D23" t="s">
        <v>834</v>
      </c>
    </row>
    <row r="24" spans="2:12" hidden="1" outlineLevel="1" x14ac:dyDescent="0.2">
      <c r="L24" s="31" t="s">
        <v>414</v>
      </c>
    </row>
    <row r="25" spans="2:12" hidden="1" outlineLevel="1" x14ac:dyDescent="0.2">
      <c r="B25" s="246">
        <f>IF(E25&lt;&gt;"",MATCH(E25,EPISource,0)-1,0)</f>
        <v>0</v>
      </c>
      <c r="C25" s="246">
        <f ca="1">IF(G25&lt;&gt;"",MATCH(G25,OFFSET(References!$AE$7,0,B25,PxPopMaxCount),0),0)</f>
        <v>0</v>
      </c>
      <c r="D25" s="8" t="s">
        <v>110</v>
      </c>
      <c r="E25" s="230"/>
      <c r="F25" s="119"/>
      <c r="G25" s="580"/>
      <c r="H25" s="581"/>
      <c r="I25" s="581"/>
      <c r="J25" s="581"/>
      <c r="K25" s="1"/>
      <c r="L25" s="206"/>
    </row>
    <row r="26" spans="2:12" hidden="1" outlineLevel="1" x14ac:dyDescent="0.2">
      <c r="B26" s="246">
        <f>INDEX(PxPopValid,,B25+1)</f>
        <v>0</v>
      </c>
      <c r="C26" s="246">
        <f ca="1">(B25*PxPopMaxCount)+C25</f>
        <v>0</v>
      </c>
      <c r="E26" s="319">
        <v>1</v>
      </c>
      <c r="F26" s="319">
        <v>2</v>
      </c>
      <c r="G26" s="319">
        <v>3</v>
      </c>
      <c r="H26" s="319">
        <v>4</v>
      </c>
      <c r="I26" s="319">
        <v>5</v>
      </c>
      <c r="J26" s="319">
        <v>6</v>
      </c>
    </row>
    <row r="27" spans="2:12" hidden="1" outlineLevel="1" x14ac:dyDescent="0.2">
      <c r="E27" s="582" t="s">
        <v>10</v>
      </c>
      <c r="F27" s="582"/>
      <c r="G27" s="582"/>
      <c r="H27" s="582"/>
      <c r="I27" s="582"/>
      <c r="J27" s="582"/>
      <c r="K27" s="119"/>
      <c r="L27" s="444" t="str">
        <f ca="1">IF(ISERROR($C26)=TRUE,MsgError &amp; VLOOKUP("BadPop",ErrorMessages,2,FALSE),"")</f>
        <v/>
      </c>
    </row>
    <row r="28" spans="2:12" hidden="1" outlineLevel="1" x14ac:dyDescent="0.2">
      <c r="D28" s="260"/>
      <c r="E28" s="74">
        <f>FirstYear</f>
        <v>2026</v>
      </c>
      <c r="F28" s="74">
        <f>E28+1</f>
        <v>2027</v>
      </c>
      <c r="G28" s="74">
        <f>F28+1</f>
        <v>2028</v>
      </c>
      <c r="H28" s="74">
        <f>G28+1</f>
        <v>2029</v>
      </c>
      <c r="I28" s="74">
        <f>H28+1</f>
        <v>2030</v>
      </c>
      <c r="J28" s="74">
        <f>I28+1</f>
        <v>2031</v>
      </c>
      <c r="K28" s="119"/>
    </row>
    <row r="29" spans="2:12" hidden="1" outlineLevel="1" x14ac:dyDescent="0.2">
      <c r="D29" s="334" t="s">
        <v>795</v>
      </c>
      <c r="E29" s="120">
        <f t="shared" ref="E29:J29" ca="1" si="2">IF(AND(ISERROR($C26)&lt;&gt;TRUE,$G25&lt;&gt;""),INDEX(PxPopNumbers,$C26,E26),0)</f>
        <v>0</v>
      </c>
      <c r="F29" s="120">
        <f t="shared" ca="1" si="2"/>
        <v>0</v>
      </c>
      <c r="G29" s="120">
        <f t="shared" ca="1" si="2"/>
        <v>0</v>
      </c>
      <c r="H29" s="120">
        <f t="shared" ca="1" si="2"/>
        <v>0</v>
      </c>
      <c r="I29" s="120">
        <f t="shared" ca="1" si="2"/>
        <v>0</v>
      </c>
      <c r="J29" s="120">
        <f t="shared" ca="1" si="2"/>
        <v>0</v>
      </c>
      <c r="K29" s="119"/>
    </row>
    <row r="30" spans="2:12" hidden="1" outlineLevel="1" x14ac:dyDescent="0.2"/>
    <row r="31" spans="2:12" hidden="1" outlineLevel="1" x14ac:dyDescent="0.2">
      <c r="D31" s="498" t="s">
        <v>196</v>
      </c>
      <c r="L31" s="31" t="s">
        <v>249</v>
      </c>
    </row>
    <row r="32" spans="2:12" hidden="1" outlineLevel="1" x14ac:dyDescent="0.2">
      <c r="D32" s="8" t="s">
        <v>848</v>
      </c>
      <c r="E32" s="48"/>
      <c r="F32" s="48"/>
      <c r="G32" s="48"/>
      <c r="H32" s="48"/>
      <c r="I32" s="48"/>
      <c r="J32" s="48"/>
      <c r="K32" s="497"/>
      <c r="L32" s="41"/>
    </row>
    <row r="33" spans="3:12" hidden="1" outlineLevel="1" x14ac:dyDescent="0.2">
      <c r="D33" s="8" t="s">
        <v>835</v>
      </c>
      <c r="E33" s="27">
        <f t="shared" ref="E33:J33" ca="1" si="3">IF(E29&lt;&gt;"",E29*E32,0)</f>
        <v>0</v>
      </c>
      <c r="F33" s="27">
        <f t="shared" ca="1" si="3"/>
        <v>0</v>
      </c>
      <c r="G33" s="27">
        <f t="shared" ca="1" si="3"/>
        <v>0</v>
      </c>
      <c r="H33" s="27">
        <f t="shared" ca="1" si="3"/>
        <v>0</v>
      </c>
      <c r="I33" s="27">
        <f t="shared" ca="1" si="3"/>
        <v>0</v>
      </c>
      <c r="J33" s="27">
        <f t="shared" ca="1" si="3"/>
        <v>0</v>
      </c>
      <c r="K33" s="119"/>
    </row>
    <row r="34" spans="3:12" hidden="1" outlineLevel="1" x14ac:dyDescent="0.2"/>
    <row r="35" spans="3:12" hidden="1" outlineLevel="1" x14ac:dyDescent="0.2">
      <c r="D35" s="54" t="str">
        <f>TxPhase1Tx</f>
        <v/>
      </c>
      <c r="E35" s="357"/>
      <c r="L35" s="31" t="s">
        <v>249</v>
      </c>
    </row>
    <row r="36" spans="3:12" hidden="1" outlineLevel="1" x14ac:dyDescent="0.2">
      <c r="D36" s="8" t="s">
        <v>88</v>
      </c>
      <c r="E36" s="48"/>
      <c r="F36" s="48"/>
      <c r="G36" s="48"/>
      <c r="H36" s="48"/>
      <c r="I36" s="48"/>
      <c r="J36" s="48"/>
      <c r="L36" s="41"/>
    </row>
    <row r="37" spans="3:12" ht="14.25" hidden="1" outlineLevel="1" x14ac:dyDescent="0.2">
      <c r="F37" s="136"/>
    </row>
    <row r="38" spans="3:12" hidden="1" outlineLevel="1" x14ac:dyDescent="0.2">
      <c r="D38" s="82" t="str">
        <f>TXPhase2Tx</f>
        <v/>
      </c>
      <c r="E38" s="319"/>
      <c r="F38" s="319"/>
      <c r="L38" s="31" t="s">
        <v>249</v>
      </c>
    </row>
    <row r="39" spans="3:12" hidden="1" outlineLevel="1" x14ac:dyDescent="0.2">
      <c r="D39" s="82" t="str">
        <f>IF(D38&lt;&gt;"","Patients electing treatment (%)","")</f>
        <v/>
      </c>
      <c r="E39" s="48"/>
      <c r="F39" s="48"/>
      <c r="G39" s="48"/>
      <c r="H39" s="48"/>
      <c r="I39" s="48"/>
      <c r="J39" s="48"/>
      <c r="L39" s="41"/>
    </row>
    <row r="40" spans="3:12" hidden="1" outlineLevel="1" x14ac:dyDescent="0.2"/>
    <row r="41" spans="3:12" hidden="1" outlineLevel="1" x14ac:dyDescent="0.2">
      <c r="C41" s="246">
        <f>IFERROR(VLOOKUP(E41,TxPhase2SourceCode,2,FALSE),0)</f>
        <v>1</v>
      </c>
      <c r="D41" s="54" t="s">
        <v>1152</v>
      </c>
      <c r="E41" s="227" t="s">
        <v>1153</v>
      </c>
    </row>
    <row r="42" spans="3:12" hidden="1" outlineLevel="1" x14ac:dyDescent="0.2"/>
    <row r="43" spans="3:12" hidden="1" outlineLevel="1" x14ac:dyDescent="0.2">
      <c r="D43" s="54" t="str">
        <f>TxPhase1Px</f>
        <v/>
      </c>
      <c r="E43" s="247">
        <f t="shared" ref="E43:J43" si="4">IF(TxPhase1&lt;&gt;"",E33*E36,0)</f>
        <v>0</v>
      </c>
      <c r="F43" s="247">
        <f t="shared" si="4"/>
        <v>0</v>
      </c>
      <c r="G43" s="247">
        <f t="shared" si="4"/>
        <v>0</v>
      </c>
      <c r="H43" s="247">
        <f t="shared" si="4"/>
        <v>0</v>
      </c>
      <c r="I43" s="247">
        <f t="shared" si="4"/>
        <v>0</v>
      </c>
      <c r="J43" s="247">
        <f t="shared" si="4"/>
        <v>0</v>
      </c>
    </row>
    <row r="44" spans="3:12" hidden="1" outlineLevel="1" x14ac:dyDescent="0.2">
      <c r="D44" s="54" t="str">
        <f>TxPhase2Px</f>
        <v/>
      </c>
      <c r="E44" s="247">
        <f t="shared" ref="E44:J44" si="5">IF(TxPhase2&lt;&gt;"",IF($C41=1,E43,IF($C41=2,E33,0))*E39,0)</f>
        <v>0</v>
      </c>
      <c r="F44" s="247">
        <f t="shared" si="5"/>
        <v>0</v>
      </c>
      <c r="G44" s="247">
        <f t="shared" si="5"/>
        <v>0</v>
      </c>
      <c r="H44" s="247">
        <f t="shared" si="5"/>
        <v>0</v>
      </c>
      <c r="I44" s="247">
        <f t="shared" si="5"/>
        <v>0</v>
      </c>
      <c r="J44" s="247">
        <f t="shared" si="5"/>
        <v>0</v>
      </c>
    </row>
    <row r="45" spans="3:12" hidden="1" outlineLevel="1" x14ac:dyDescent="0.2"/>
    <row r="46" spans="3:12" hidden="1" outlineLevel="1" x14ac:dyDescent="0.2">
      <c r="C46" s="246" t="str">
        <f>IF(E46&lt;&gt;"",E46,"")</f>
        <v/>
      </c>
      <c r="D46" s="81" t="s">
        <v>743</v>
      </c>
      <c r="E46" s="227"/>
    </row>
    <row r="47" spans="3:12" hidden="1" outlineLevel="1" x14ac:dyDescent="0.2"/>
    <row r="48" spans="3:12" collapsed="1" x14ac:dyDescent="0.2"/>
    <row r="49" spans="2:12" ht="15.75" x14ac:dyDescent="0.2">
      <c r="C49" s="396">
        <v>2</v>
      </c>
      <c r="D49" s="72" t="str">
        <f>IF(E54&lt;&gt;"",CONCATENATE("GF ",C49,": ",G54,L49),MsgNotUsed)</f>
        <v>** NOT USED **</v>
      </c>
      <c r="E49" s="116"/>
      <c r="F49" s="116"/>
      <c r="G49" s="116"/>
      <c r="H49" s="116"/>
      <c r="I49" s="118"/>
      <c r="J49" s="112"/>
      <c r="K49" s="21"/>
      <c r="L49" s="266" t="str">
        <f>IF(O53&lt;&gt;"",CONCATENATE(" (",O53,")"),"")</f>
        <v/>
      </c>
    </row>
    <row r="50" spans="2:12" hidden="1" outlineLevel="1" x14ac:dyDescent="0.2"/>
    <row r="51" spans="2:12" hidden="1" outlineLevel="1" x14ac:dyDescent="0.2">
      <c r="D51" t="s">
        <v>829</v>
      </c>
    </row>
    <row r="52" spans="2:12" hidden="1" outlineLevel="1" x14ac:dyDescent="0.2">
      <c r="D52" t="s">
        <v>834</v>
      </c>
    </row>
    <row r="53" spans="2:12" hidden="1" outlineLevel="1" x14ac:dyDescent="0.2">
      <c r="L53" s="31" t="s">
        <v>414</v>
      </c>
    </row>
    <row r="54" spans="2:12" hidden="1" outlineLevel="1" x14ac:dyDescent="0.2">
      <c r="B54" s="246">
        <f>IF(E54&lt;&gt;"",MATCH(E54,EPISource,0)-1,0)</f>
        <v>0</v>
      </c>
      <c r="C54" s="246">
        <f ca="1">IF(G54&lt;&gt;"",MATCH(G54,OFFSET(References!$AE$7,0,B54,PxPopMaxCount),0),0)</f>
        <v>0</v>
      </c>
      <c r="D54" s="8" t="s">
        <v>110</v>
      </c>
      <c r="E54" s="230"/>
      <c r="F54" s="119"/>
      <c r="G54" s="580"/>
      <c r="H54" s="581"/>
      <c r="I54" s="581"/>
      <c r="J54" s="581"/>
      <c r="K54" s="1"/>
      <c r="L54" s="206"/>
    </row>
    <row r="55" spans="2:12" hidden="1" outlineLevel="1" x14ac:dyDescent="0.2">
      <c r="B55" s="246">
        <f>INDEX(PxPopValid,,B54+1)</f>
        <v>0</v>
      </c>
      <c r="C55" s="246">
        <f ca="1">(B54*PxPopMaxCount)+C54</f>
        <v>0</v>
      </c>
      <c r="E55" s="319">
        <v>1</v>
      </c>
      <c r="F55" s="319">
        <v>2</v>
      </c>
      <c r="G55" s="319">
        <v>3</v>
      </c>
      <c r="H55" s="319">
        <v>4</v>
      </c>
      <c r="I55" s="319">
        <v>5</v>
      </c>
      <c r="J55" s="319">
        <v>6</v>
      </c>
    </row>
    <row r="56" spans="2:12" hidden="1" outlineLevel="1" x14ac:dyDescent="0.2">
      <c r="E56" s="582" t="s">
        <v>10</v>
      </c>
      <c r="F56" s="582"/>
      <c r="G56" s="582"/>
      <c r="H56" s="582"/>
      <c r="I56" s="582"/>
      <c r="J56" s="582"/>
      <c r="K56" s="119"/>
      <c r="L56" s="444" t="str">
        <f ca="1">IF(ISERROR($C55)=TRUE,MsgError &amp; VLOOKUP("BadPop",ErrorMessages,2,FALSE),"")</f>
        <v/>
      </c>
    </row>
    <row r="57" spans="2:12" hidden="1" outlineLevel="1" x14ac:dyDescent="0.2">
      <c r="D57" s="260"/>
      <c r="E57" s="74">
        <f>FirstYear</f>
        <v>2026</v>
      </c>
      <c r="F57" s="74">
        <f>E57+1</f>
        <v>2027</v>
      </c>
      <c r="G57" s="74">
        <f>F57+1</f>
        <v>2028</v>
      </c>
      <c r="H57" s="74">
        <f>G57+1</f>
        <v>2029</v>
      </c>
      <c r="I57" s="74">
        <f>H57+1</f>
        <v>2030</v>
      </c>
      <c r="J57" s="74">
        <f>I57+1</f>
        <v>2031</v>
      </c>
      <c r="K57" s="119"/>
    </row>
    <row r="58" spans="2:12" hidden="1" outlineLevel="1" x14ac:dyDescent="0.2">
      <c r="D58" s="334" t="s">
        <v>795</v>
      </c>
      <c r="E58" s="120">
        <f t="shared" ref="E58:J58" ca="1" si="6">IF(AND(ISERROR($C55)&lt;&gt;TRUE,$G54&lt;&gt;""),INDEX(PxPopNumbers,$C55,E55),0)</f>
        <v>0</v>
      </c>
      <c r="F58" s="120">
        <f t="shared" ca="1" si="6"/>
        <v>0</v>
      </c>
      <c r="G58" s="120">
        <f t="shared" ca="1" si="6"/>
        <v>0</v>
      </c>
      <c r="H58" s="120">
        <f t="shared" ca="1" si="6"/>
        <v>0</v>
      </c>
      <c r="I58" s="120">
        <f t="shared" ca="1" si="6"/>
        <v>0</v>
      </c>
      <c r="J58" s="120">
        <f t="shared" ca="1" si="6"/>
        <v>0</v>
      </c>
      <c r="K58" s="119"/>
    </row>
    <row r="59" spans="2:12" hidden="1" outlineLevel="1" x14ac:dyDescent="0.2"/>
    <row r="60" spans="2:12" hidden="1" outlineLevel="1" x14ac:dyDescent="0.2">
      <c r="D60" s="498" t="s">
        <v>196</v>
      </c>
      <c r="L60" s="31" t="s">
        <v>249</v>
      </c>
    </row>
    <row r="61" spans="2:12" hidden="1" outlineLevel="1" x14ac:dyDescent="0.2">
      <c r="D61" s="8" t="s">
        <v>848</v>
      </c>
      <c r="E61" s="48"/>
      <c r="F61" s="48"/>
      <c r="G61" s="48"/>
      <c r="H61" s="48"/>
      <c r="I61" s="48"/>
      <c r="J61" s="48"/>
      <c r="K61" s="201"/>
      <c r="L61" s="41"/>
    </row>
    <row r="62" spans="2:12" hidden="1" outlineLevel="1" x14ac:dyDescent="0.2">
      <c r="D62" s="8" t="s">
        <v>835</v>
      </c>
      <c r="E62" s="27">
        <f t="shared" ref="E62:J62" ca="1" si="7">IF(E58&lt;&gt;"",E58*E61,0)</f>
        <v>0</v>
      </c>
      <c r="F62" s="27">
        <f t="shared" ca="1" si="7"/>
        <v>0</v>
      </c>
      <c r="G62" s="27">
        <f t="shared" ca="1" si="7"/>
        <v>0</v>
      </c>
      <c r="H62" s="27">
        <f t="shared" ca="1" si="7"/>
        <v>0</v>
      </c>
      <c r="I62" s="27">
        <f t="shared" ca="1" si="7"/>
        <v>0</v>
      </c>
      <c r="J62" s="27">
        <f t="shared" ca="1" si="7"/>
        <v>0</v>
      </c>
      <c r="K62" s="119"/>
    </row>
    <row r="63" spans="2:12" hidden="1" outlineLevel="1" x14ac:dyDescent="0.2"/>
    <row r="64" spans="2:12" hidden="1" outlineLevel="1" x14ac:dyDescent="0.2">
      <c r="D64" s="54" t="str">
        <f>TxPhase1Tx</f>
        <v/>
      </c>
      <c r="E64" s="357"/>
      <c r="L64" s="31" t="s">
        <v>249</v>
      </c>
    </row>
    <row r="65" spans="3:12" hidden="1" outlineLevel="1" x14ac:dyDescent="0.2">
      <c r="D65" s="54" t="str">
        <f>D36</f>
        <v>Patients electing treatment (%)</v>
      </c>
      <c r="E65" s="48"/>
      <c r="F65" s="48"/>
      <c r="G65" s="48"/>
      <c r="H65" s="48"/>
      <c r="I65" s="48"/>
      <c r="J65" s="48"/>
      <c r="L65" s="41"/>
    </row>
    <row r="66" spans="3:12" ht="14.25" hidden="1" outlineLevel="1" x14ac:dyDescent="0.2">
      <c r="F66" s="136"/>
    </row>
    <row r="67" spans="3:12" hidden="1" outlineLevel="1" x14ac:dyDescent="0.2">
      <c r="D67" s="82" t="str">
        <f>TXPhase2Tx</f>
        <v/>
      </c>
      <c r="E67" s="357"/>
      <c r="L67" s="31" t="s">
        <v>249</v>
      </c>
    </row>
    <row r="68" spans="3:12" hidden="1" outlineLevel="1" x14ac:dyDescent="0.2">
      <c r="D68" s="82" t="str">
        <f>D39</f>
        <v/>
      </c>
      <c r="E68" s="48"/>
      <c r="F68" s="48"/>
      <c r="G68" s="48"/>
      <c r="H68" s="48"/>
      <c r="I68" s="48"/>
      <c r="J68" s="48"/>
      <c r="L68" s="41"/>
    </row>
    <row r="69" spans="3:12" hidden="1" outlineLevel="1" x14ac:dyDescent="0.2"/>
    <row r="70" spans="3:12" hidden="1" outlineLevel="1" x14ac:dyDescent="0.2">
      <c r="C70" s="246">
        <f>IFERROR(VLOOKUP(E70,TxPhase2SourceCode,2,FALSE),0)</f>
        <v>1</v>
      </c>
      <c r="D70" s="54" t="s">
        <v>1152</v>
      </c>
      <c r="E70" s="227" t="s">
        <v>1153</v>
      </c>
    </row>
    <row r="71" spans="3:12" hidden="1" outlineLevel="1" x14ac:dyDescent="0.2"/>
    <row r="72" spans="3:12" hidden="1" outlineLevel="1" x14ac:dyDescent="0.2">
      <c r="D72" s="54" t="str">
        <f>TxPhase1Px</f>
        <v/>
      </c>
      <c r="E72" s="247">
        <f t="shared" ref="E72:J72" si="8">IF(TxPhase1&lt;&gt;"",E62*E65,0)</f>
        <v>0</v>
      </c>
      <c r="F72" s="247">
        <f t="shared" si="8"/>
        <v>0</v>
      </c>
      <c r="G72" s="247">
        <f t="shared" si="8"/>
        <v>0</v>
      </c>
      <c r="H72" s="247">
        <f t="shared" si="8"/>
        <v>0</v>
      </c>
      <c r="I72" s="247">
        <f t="shared" si="8"/>
        <v>0</v>
      </c>
      <c r="J72" s="247">
        <f t="shared" si="8"/>
        <v>0</v>
      </c>
    </row>
    <row r="73" spans="3:12" hidden="1" outlineLevel="1" x14ac:dyDescent="0.2">
      <c r="D73" s="54" t="str">
        <f>TxPhase2Px</f>
        <v/>
      </c>
      <c r="E73" s="247">
        <f t="shared" ref="E73:J73" si="9">IF(TxPhase2&lt;&gt;"",IF($C70=1,E72,IF($C70=2,E62,0))*E68,0)</f>
        <v>0</v>
      </c>
      <c r="F73" s="247">
        <f t="shared" si="9"/>
        <v>0</v>
      </c>
      <c r="G73" s="247">
        <f t="shared" si="9"/>
        <v>0</v>
      </c>
      <c r="H73" s="247">
        <f t="shared" si="9"/>
        <v>0</v>
      </c>
      <c r="I73" s="247">
        <f t="shared" si="9"/>
        <v>0</v>
      </c>
      <c r="J73" s="247">
        <f t="shared" si="9"/>
        <v>0</v>
      </c>
    </row>
    <row r="74" spans="3:12" hidden="1" outlineLevel="1" x14ac:dyDescent="0.2">
      <c r="D74" s="1"/>
      <c r="E74" s="1"/>
    </row>
    <row r="75" spans="3:12" hidden="1" outlineLevel="1" x14ac:dyDescent="0.2">
      <c r="C75" s="246" t="str">
        <f>IF(E75&lt;&gt;"",E75,"")</f>
        <v/>
      </c>
      <c r="D75" s="81" t="s">
        <v>743</v>
      </c>
      <c r="E75" s="227"/>
    </row>
    <row r="76" spans="3:12" hidden="1" outlineLevel="1" x14ac:dyDescent="0.2"/>
    <row r="77" spans="3:12" collapsed="1" x14ac:dyDescent="0.2"/>
    <row r="78" spans="3:12" ht="15.75" x14ac:dyDescent="0.2">
      <c r="C78" s="396">
        <v>3</v>
      </c>
      <c r="D78" s="72" t="str">
        <f>IF(E83&lt;&gt;"",CONCATENATE("GF ",C78,": ",G83,L78),MsgNotUsed)</f>
        <v>** NOT USED **</v>
      </c>
      <c r="E78" s="116"/>
      <c r="F78" s="116"/>
      <c r="G78" s="116"/>
      <c r="H78" s="116"/>
      <c r="I78" s="118"/>
      <c r="J78" s="112"/>
      <c r="K78" s="21"/>
      <c r="L78" s="266" t="str">
        <f>IF(O82&lt;&gt;"",CONCATENATE(" (",O82,")"),"")</f>
        <v/>
      </c>
    </row>
    <row r="79" spans="3:12" hidden="1" outlineLevel="1" x14ac:dyDescent="0.2"/>
    <row r="80" spans="3:12" hidden="1" outlineLevel="1" x14ac:dyDescent="0.2">
      <c r="D80" t="s">
        <v>829</v>
      </c>
    </row>
    <row r="81" spans="2:12" hidden="1" outlineLevel="1" x14ac:dyDescent="0.2">
      <c r="D81" t="s">
        <v>834</v>
      </c>
    </row>
    <row r="82" spans="2:12" hidden="1" outlineLevel="1" x14ac:dyDescent="0.2">
      <c r="L82" s="31" t="s">
        <v>414</v>
      </c>
    </row>
    <row r="83" spans="2:12" hidden="1" outlineLevel="1" x14ac:dyDescent="0.2">
      <c r="B83" s="246">
        <f>IF(E83&lt;&gt;"",MATCH(E83,EPISource,0)-1,0)</f>
        <v>0</v>
      </c>
      <c r="C83" s="246">
        <f ca="1">IF(G83&lt;&gt;"",MATCH(G83,OFFSET(References!$AE$7,0,B83,PxPopMaxCount),0),0)</f>
        <v>0</v>
      </c>
      <c r="D83" s="8" t="s">
        <v>110</v>
      </c>
      <c r="E83" s="230"/>
      <c r="F83" s="119"/>
      <c r="G83" s="580"/>
      <c r="H83" s="581"/>
      <c r="I83" s="581"/>
      <c r="J83" s="581"/>
      <c r="K83" s="1"/>
      <c r="L83" s="206"/>
    </row>
    <row r="84" spans="2:12" hidden="1" outlineLevel="1" x14ac:dyDescent="0.2">
      <c r="B84" s="246">
        <f>INDEX(PxPopValid,,B83+1)</f>
        <v>0</v>
      </c>
      <c r="C84" s="246">
        <f ca="1">(B83*PxPopMaxCount)+C83</f>
        <v>0</v>
      </c>
      <c r="E84" s="319">
        <v>1</v>
      </c>
      <c r="F84" s="319">
        <v>2</v>
      </c>
      <c r="G84" s="319">
        <v>3</v>
      </c>
      <c r="H84" s="319">
        <v>4</v>
      </c>
      <c r="I84" s="319">
        <v>5</v>
      </c>
      <c r="J84" s="319">
        <v>6</v>
      </c>
    </row>
    <row r="85" spans="2:12" hidden="1" outlineLevel="1" x14ac:dyDescent="0.2">
      <c r="E85" s="582" t="s">
        <v>10</v>
      </c>
      <c r="F85" s="582"/>
      <c r="G85" s="582"/>
      <c r="H85" s="582"/>
      <c r="I85" s="582"/>
      <c r="J85" s="582"/>
      <c r="K85" s="119"/>
      <c r="L85" s="444" t="str">
        <f ca="1">IF(ISERROR($C84)=TRUE,MsgError &amp; VLOOKUP("BadPop",ErrorMessages,2,FALSE),"")</f>
        <v/>
      </c>
    </row>
    <row r="86" spans="2:12" hidden="1" outlineLevel="1" x14ac:dyDescent="0.2">
      <c r="D86" s="260"/>
      <c r="E86" s="74">
        <f>FirstYear</f>
        <v>2026</v>
      </c>
      <c r="F86" s="74">
        <f>E86+1</f>
        <v>2027</v>
      </c>
      <c r="G86" s="74">
        <f>F86+1</f>
        <v>2028</v>
      </c>
      <c r="H86" s="74">
        <f>G86+1</f>
        <v>2029</v>
      </c>
      <c r="I86" s="74">
        <f>H86+1</f>
        <v>2030</v>
      </c>
      <c r="J86" s="74">
        <f>I86+1</f>
        <v>2031</v>
      </c>
      <c r="K86" s="119"/>
    </row>
    <row r="87" spans="2:12" hidden="1" outlineLevel="1" x14ac:dyDescent="0.2">
      <c r="D87" s="334" t="s">
        <v>795</v>
      </c>
      <c r="E87" s="120">
        <f t="shared" ref="E87:J87" ca="1" si="10">IF(AND(ISERROR($C84)&lt;&gt;TRUE,$G83&lt;&gt;""),INDEX(PxPopNumbers,$C84,E84),0)</f>
        <v>0</v>
      </c>
      <c r="F87" s="120">
        <f t="shared" ca="1" si="10"/>
        <v>0</v>
      </c>
      <c r="G87" s="120">
        <f t="shared" ca="1" si="10"/>
        <v>0</v>
      </c>
      <c r="H87" s="120">
        <f t="shared" ca="1" si="10"/>
        <v>0</v>
      </c>
      <c r="I87" s="120">
        <f t="shared" ca="1" si="10"/>
        <v>0</v>
      </c>
      <c r="J87" s="120">
        <f t="shared" ca="1" si="10"/>
        <v>0</v>
      </c>
      <c r="K87" s="119"/>
    </row>
    <row r="88" spans="2:12" hidden="1" outlineLevel="1" x14ac:dyDescent="0.2"/>
    <row r="89" spans="2:12" hidden="1" outlineLevel="1" x14ac:dyDescent="0.2">
      <c r="D89" s="498" t="s">
        <v>196</v>
      </c>
      <c r="L89" s="31" t="s">
        <v>249</v>
      </c>
    </row>
    <row r="90" spans="2:12" hidden="1" outlineLevel="1" x14ac:dyDescent="0.2">
      <c r="D90" s="8" t="s">
        <v>848</v>
      </c>
      <c r="E90" s="48"/>
      <c r="F90" s="48"/>
      <c r="G90" s="48"/>
      <c r="H90" s="48"/>
      <c r="I90" s="48"/>
      <c r="J90" s="48"/>
      <c r="K90" s="201"/>
      <c r="L90" s="41"/>
    </row>
    <row r="91" spans="2:12" hidden="1" outlineLevel="1" x14ac:dyDescent="0.2">
      <c r="D91" s="8" t="s">
        <v>835</v>
      </c>
      <c r="E91" s="27">
        <f t="shared" ref="E91:J91" ca="1" si="11">IF(E87&lt;&gt;"",E87*E90,0)</f>
        <v>0</v>
      </c>
      <c r="F91" s="27">
        <f t="shared" ca="1" si="11"/>
        <v>0</v>
      </c>
      <c r="G91" s="27">
        <f t="shared" ca="1" si="11"/>
        <v>0</v>
      </c>
      <c r="H91" s="27">
        <f t="shared" ca="1" si="11"/>
        <v>0</v>
      </c>
      <c r="I91" s="27">
        <f t="shared" ca="1" si="11"/>
        <v>0</v>
      </c>
      <c r="J91" s="27">
        <f t="shared" ca="1" si="11"/>
        <v>0</v>
      </c>
      <c r="K91" s="119"/>
    </row>
    <row r="92" spans="2:12" hidden="1" outlineLevel="1" x14ac:dyDescent="0.2"/>
    <row r="93" spans="2:12" hidden="1" outlineLevel="1" x14ac:dyDescent="0.2">
      <c r="D93" s="54" t="str">
        <f>TxPhase1Tx</f>
        <v/>
      </c>
      <c r="E93" s="357">
        <f>IF($D$13&lt;&gt;"",VLOOKUP($D$13,TPShortCode,2,FALSE),0)</f>
        <v>0</v>
      </c>
      <c r="L93" s="31" t="s">
        <v>249</v>
      </c>
    </row>
    <row r="94" spans="2:12" hidden="1" outlineLevel="1" x14ac:dyDescent="0.2">
      <c r="D94" s="54" t="str">
        <f>D65</f>
        <v>Patients electing treatment (%)</v>
      </c>
      <c r="E94" s="48"/>
      <c r="F94" s="48"/>
      <c r="G94" s="48"/>
      <c r="H94" s="48"/>
      <c r="I94" s="48"/>
      <c r="J94" s="48"/>
      <c r="L94" s="41"/>
    </row>
    <row r="95" spans="2:12" ht="14.25" hidden="1" outlineLevel="1" x14ac:dyDescent="0.2">
      <c r="F95" s="136"/>
    </row>
    <row r="96" spans="2:12" hidden="1" outlineLevel="1" x14ac:dyDescent="0.2">
      <c r="D96" s="82" t="str">
        <f>TXPhase2Tx</f>
        <v/>
      </c>
      <c r="E96" s="319"/>
      <c r="F96" s="319"/>
      <c r="L96" s="31" t="s">
        <v>249</v>
      </c>
    </row>
    <row r="97" spans="2:12" hidden="1" outlineLevel="1" x14ac:dyDescent="0.2">
      <c r="D97" s="82" t="str">
        <f>D68</f>
        <v/>
      </c>
      <c r="E97" s="48"/>
      <c r="F97" s="48"/>
      <c r="G97" s="48"/>
      <c r="H97" s="48"/>
      <c r="I97" s="48"/>
      <c r="J97" s="48"/>
      <c r="L97" s="41"/>
    </row>
    <row r="98" spans="2:12" hidden="1" outlineLevel="1" x14ac:dyDescent="0.2"/>
    <row r="99" spans="2:12" hidden="1" outlineLevel="1" x14ac:dyDescent="0.2">
      <c r="C99" s="246">
        <f>IFERROR(VLOOKUP(E99,TxPhase2SourceCode,2,FALSE),0)</f>
        <v>1</v>
      </c>
      <c r="D99" s="54" t="s">
        <v>1152</v>
      </c>
      <c r="E99" s="227" t="s">
        <v>1153</v>
      </c>
    </row>
    <row r="100" spans="2:12" hidden="1" outlineLevel="1" x14ac:dyDescent="0.2"/>
    <row r="101" spans="2:12" hidden="1" outlineLevel="1" x14ac:dyDescent="0.2">
      <c r="D101" s="54" t="str">
        <f>TxPhase1Px</f>
        <v/>
      </c>
      <c r="E101" s="247">
        <f t="shared" ref="E101:J101" si="12">IF(TxPhase1&lt;&gt;"",E91*E94,0)</f>
        <v>0</v>
      </c>
      <c r="F101" s="247">
        <f t="shared" si="12"/>
        <v>0</v>
      </c>
      <c r="G101" s="247">
        <f t="shared" si="12"/>
        <v>0</v>
      </c>
      <c r="H101" s="247">
        <f t="shared" si="12"/>
        <v>0</v>
      </c>
      <c r="I101" s="247">
        <f t="shared" si="12"/>
        <v>0</v>
      </c>
      <c r="J101" s="247">
        <f t="shared" si="12"/>
        <v>0</v>
      </c>
    </row>
    <row r="102" spans="2:12" hidden="1" outlineLevel="1" x14ac:dyDescent="0.2">
      <c r="D102" s="54" t="str">
        <f>TxPhase2Px</f>
        <v/>
      </c>
      <c r="E102" s="247">
        <f t="shared" ref="E102:J102" si="13">IF(TxPhase2&lt;&gt;"",IF($C99=1,E101,IF($C99=2,E91,0))*E97,0)</f>
        <v>0</v>
      </c>
      <c r="F102" s="247">
        <f t="shared" si="13"/>
        <v>0</v>
      </c>
      <c r="G102" s="247">
        <f t="shared" si="13"/>
        <v>0</v>
      </c>
      <c r="H102" s="247">
        <f t="shared" si="13"/>
        <v>0</v>
      </c>
      <c r="I102" s="247">
        <f t="shared" si="13"/>
        <v>0</v>
      </c>
      <c r="J102" s="247">
        <f t="shared" si="13"/>
        <v>0</v>
      </c>
    </row>
    <row r="103" spans="2:12" hidden="1" outlineLevel="1" x14ac:dyDescent="0.2">
      <c r="D103" s="1"/>
      <c r="E103" s="1"/>
    </row>
    <row r="104" spans="2:12" hidden="1" outlineLevel="1" x14ac:dyDescent="0.2">
      <c r="C104" s="246" t="str">
        <f>IF(E104&lt;&gt;"",E104,"")</f>
        <v/>
      </c>
      <c r="D104" s="81" t="s">
        <v>743</v>
      </c>
      <c r="E104" s="227"/>
    </row>
    <row r="105" spans="2:12" hidden="1" outlineLevel="1" collapsed="1" x14ac:dyDescent="0.2"/>
    <row r="106" spans="2:12" collapsed="1" x14ac:dyDescent="0.2"/>
    <row r="107" spans="2:12" ht="15.75" x14ac:dyDescent="0.2">
      <c r="C107" s="396">
        <v>4</v>
      </c>
      <c r="D107" s="72" t="str">
        <f>IF(E112&lt;&gt;"",CONCATENATE("GF ",C107,": ",G112,L107),MsgNotUsed)</f>
        <v>** NOT USED **</v>
      </c>
      <c r="E107" s="116"/>
      <c r="F107" s="116"/>
      <c r="G107" s="116"/>
      <c r="H107" s="116"/>
      <c r="I107" s="118"/>
      <c r="J107" s="112"/>
      <c r="K107" s="21"/>
      <c r="L107" s="266" t="str">
        <f>IF(O111&lt;&gt;"",CONCATENATE(" (",O111,")"),"")</f>
        <v/>
      </c>
    </row>
    <row r="108" spans="2:12" hidden="1" outlineLevel="1" x14ac:dyDescent="0.2"/>
    <row r="109" spans="2:12" hidden="1" outlineLevel="1" x14ac:dyDescent="0.2">
      <c r="D109" t="s">
        <v>829</v>
      </c>
    </row>
    <row r="110" spans="2:12" hidden="1" outlineLevel="1" x14ac:dyDescent="0.2">
      <c r="D110" t="s">
        <v>834</v>
      </c>
    </row>
    <row r="111" spans="2:12" hidden="1" outlineLevel="1" x14ac:dyDescent="0.2">
      <c r="L111" s="31" t="s">
        <v>414</v>
      </c>
    </row>
    <row r="112" spans="2:12" hidden="1" outlineLevel="1" x14ac:dyDescent="0.2">
      <c r="B112" s="246">
        <f>IF(E112&lt;&gt;"",MATCH(E112,EPISource,0)-1,0)</f>
        <v>0</v>
      </c>
      <c r="C112" s="246">
        <f ca="1">IF(G112&lt;&gt;"",MATCH(G112,OFFSET(References!$AE$7,0,B112,PxPopMaxCount),0),0)</f>
        <v>0</v>
      </c>
      <c r="D112" s="8" t="s">
        <v>110</v>
      </c>
      <c r="E112" s="230"/>
      <c r="F112" s="119"/>
      <c r="G112" s="580"/>
      <c r="H112" s="581"/>
      <c r="I112" s="581"/>
      <c r="J112" s="581"/>
      <c r="K112" s="1"/>
      <c r="L112" s="206"/>
    </row>
    <row r="113" spans="2:12" hidden="1" outlineLevel="1" x14ac:dyDescent="0.2">
      <c r="B113" s="246">
        <f>INDEX(PxPopValid,,B112+1)</f>
        <v>0</v>
      </c>
      <c r="C113" s="246">
        <f ca="1">(B112*PxPopMaxCount)+C112</f>
        <v>0</v>
      </c>
      <c r="E113" s="319">
        <v>1</v>
      </c>
      <c r="F113" s="319">
        <v>2</v>
      </c>
      <c r="G113" s="319">
        <v>3</v>
      </c>
      <c r="H113" s="319">
        <v>4</v>
      </c>
      <c r="I113" s="319">
        <v>5</v>
      </c>
      <c r="J113" s="319">
        <v>6</v>
      </c>
    </row>
    <row r="114" spans="2:12" hidden="1" outlineLevel="1" x14ac:dyDescent="0.2">
      <c r="E114" s="582" t="s">
        <v>10</v>
      </c>
      <c r="F114" s="582"/>
      <c r="G114" s="582"/>
      <c r="H114" s="582"/>
      <c r="I114" s="582"/>
      <c r="J114" s="582"/>
      <c r="K114" s="119"/>
      <c r="L114" s="444" t="str">
        <f ca="1">IF(ISERROR($C113)=TRUE,MsgError &amp; VLOOKUP("BadPop",ErrorMessages,2,FALSE),"")</f>
        <v/>
      </c>
    </row>
    <row r="115" spans="2:12" hidden="1" outlineLevel="1" x14ac:dyDescent="0.2">
      <c r="D115" s="260"/>
      <c r="E115" s="74">
        <f>FirstYear</f>
        <v>2026</v>
      </c>
      <c r="F115" s="74">
        <f>E115+1</f>
        <v>2027</v>
      </c>
      <c r="G115" s="74">
        <f>F115+1</f>
        <v>2028</v>
      </c>
      <c r="H115" s="74">
        <f>G115+1</f>
        <v>2029</v>
      </c>
      <c r="I115" s="74">
        <f>H115+1</f>
        <v>2030</v>
      </c>
      <c r="J115" s="74">
        <f>I115+1</f>
        <v>2031</v>
      </c>
      <c r="K115" s="119"/>
    </row>
    <row r="116" spans="2:12" hidden="1" outlineLevel="1" x14ac:dyDescent="0.2">
      <c r="D116" s="334" t="s">
        <v>795</v>
      </c>
      <c r="E116" s="120">
        <f t="shared" ref="E116:J116" ca="1" si="14">IF(AND(ISERROR($C113)&lt;&gt;TRUE,$G112&lt;&gt;""),INDEX(PxPopNumbers,$C113,E113),0)</f>
        <v>0</v>
      </c>
      <c r="F116" s="120">
        <f t="shared" ca="1" si="14"/>
        <v>0</v>
      </c>
      <c r="G116" s="120">
        <f t="shared" ca="1" si="14"/>
        <v>0</v>
      </c>
      <c r="H116" s="120">
        <f t="shared" ca="1" si="14"/>
        <v>0</v>
      </c>
      <c r="I116" s="120">
        <f t="shared" ca="1" si="14"/>
        <v>0</v>
      </c>
      <c r="J116" s="120">
        <f t="shared" ca="1" si="14"/>
        <v>0</v>
      </c>
      <c r="K116" s="119"/>
    </row>
    <row r="117" spans="2:12" hidden="1" outlineLevel="1" x14ac:dyDescent="0.2"/>
    <row r="118" spans="2:12" hidden="1" outlineLevel="1" x14ac:dyDescent="0.2">
      <c r="D118" s="498" t="s">
        <v>196</v>
      </c>
      <c r="L118" s="31" t="s">
        <v>249</v>
      </c>
    </row>
    <row r="119" spans="2:12" hidden="1" outlineLevel="1" x14ac:dyDescent="0.2">
      <c r="D119" s="8" t="s">
        <v>848</v>
      </c>
      <c r="E119" s="48"/>
      <c r="F119" s="48"/>
      <c r="G119" s="48"/>
      <c r="H119" s="48"/>
      <c r="I119" s="48"/>
      <c r="J119" s="48"/>
      <c r="K119" s="201"/>
      <c r="L119" s="41"/>
    </row>
    <row r="120" spans="2:12" hidden="1" outlineLevel="1" x14ac:dyDescent="0.2">
      <c r="D120" s="8" t="s">
        <v>835</v>
      </c>
      <c r="E120" s="27">
        <f t="shared" ref="E120:J120" ca="1" si="15">IF(E116&lt;&gt;"",E116*E119,0)</f>
        <v>0</v>
      </c>
      <c r="F120" s="27">
        <f t="shared" ca="1" si="15"/>
        <v>0</v>
      </c>
      <c r="G120" s="27">
        <f t="shared" ca="1" si="15"/>
        <v>0</v>
      </c>
      <c r="H120" s="27">
        <f t="shared" ca="1" si="15"/>
        <v>0</v>
      </c>
      <c r="I120" s="27">
        <f t="shared" ca="1" si="15"/>
        <v>0</v>
      </c>
      <c r="J120" s="27">
        <f t="shared" ca="1" si="15"/>
        <v>0</v>
      </c>
      <c r="K120" s="119"/>
    </row>
    <row r="121" spans="2:12" hidden="1" outlineLevel="1" x14ac:dyDescent="0.2"/>
    <row r="122" spans="2:12" hidden="1" outlineLevel="1" x14ac:dyDescent="0.2">
      <c r="D122" s="54" t="str">
        <f>TxPhase1Tx</f>
        <v/>
      </c>
      <c r="E122" s="357"/>
      <c r="L122" s="31" t="s">
        <v>249</v>
      </c>
    </row>
    <row r="123" spans="2:12" hidden="1" outlineLevel="1" x14ac:dyDescent="0.2">
      <c r="D123" s="54" t="str">
        <f>D94</f>
        <v>Patients electing treatment (%)</v>
      </c>
      <c r="E123" s="48"/>
      <c r="F123" s="48"/>
      <c r="G123" s="48"/>
      <c r="H123" s="48"/>
      <c r="I123" s="48"/>
      <c r="J123" s="48"/>
      <c r="L123" s="41"/>
    </row>
    <row r="124" spans="2:12" ht="14.25" hidden="1" outlineLevel="1" x14ac:dyDescent="0.2">
      <c r="F124" s="136"/>
    </row>
    <row r="125" spans="2:12" hidden="1" outlineLevel="1" x14ac:dyDescent="0.2">
      <c r="D125" s="82" t="str">
        <f>TXPhase2Tx</f>
        <v/>
      </c>
      <c r="E125" s="319"/>
      <c r="F125" s="319"/>
      <c r="L125" s="31" t="s">
        <v>249</v>
      </c>
    </row>
    <row r="126" spans="2:12" hidden="1" outlineLevel="1" x14ac:dyDescent="0.2">
      <c r="D126" s="82" t="str">
        <f>D97</f>
        <v/>
      </c>
      <c r="E126" s="48"/>
      <c r="F126" s="48"/>
      <c r="G126" s="48"/>
      <c r="H126" s="48"/>
      <c r="I126" s="48"/>
      <c r="J126" s="48"/>
      <c r="L126" s="41"/>
    </row>
    <row r="127" spans="2:12" hidden="1" outlineLevel="1" x14ac:dyDescent="0.2"/>
    <row r="128" spans="2:12" hidden="1" outlineLevel="1" x14ac:dyDescent="0.2">
      <c r="C128" s="246">
        <f>IFERROR(VLOOKUP(E128,TxPhase2SourceCode,2,FALSE),0)</f>
        <v>1</v>
      </c>
      <c r="D128" s="54" t="s">
        <v>1152</v>
      </c>
      <c r="E128" s="227" t="s">
        <v>1153</v>
      </c>
    </row>
    <row r="129" spans="2:12" hidden="1" outlineLevel="1" x14ac:dyDescent="0.2"/>
    <row r="130" spans="2:12" hidden="1" outlineLevel="1" x14ac:dyDescent="0.2">
      <c r="D130" s="54" t="str">
        <f>TxPhase1Px</f>
        <v/>
      </c>
      <c r="E130" s="247">
        <f t="shared" ref="E130:J130" si="16">IF(TxPhase1&lt;&gt;"",E120*E123,0)</f>
        <v>0</v>
      </c>
      <c r="F130" s="247">
        <f t="shared" si="16"/>
        <v>0</v>
      </c>
      <c r="G130" s="247">
        <f t="shared" si="16"/>
        <v>0</v>
      </c>
      <c r="H130" s="247">
        <f t="shared" si="16"/>
        <v>0</v>
      </c>
      <c r="I130" s="247">
        <f t="shared" si="16"/>
        <v>0</v>
      </c>
      <c r="J130" s="247">
        <f t="shared" si="16"/>
        <v>0</v>
      </c>
    </row>
    <row r="131" spans="2:12" hidden="1" outlineLevel="1" x14ac:dyDescent="0.2">
      <c r="D131" s="54" t="str">
        <f>TxPhase2Px</f>
        <v/>
      </c>
      <c r="E131" s="247">
        <f t="shared" ref="E131:J131" si="17">IF(TxPhase2&lt;&gt;"",IF($C128=1,E130,IF($C128=2,E120,0))*E126,0)</f>
        <v>0</v>
      </c>
      <c r="F131" s="247">
        <f t="shared" si="17"/>
        <v>0</v>
      </c>
      <c r="G131" s="247">
        <f t="shared" si="17"/>
        <v>0</v>
      </c>
      <c r="H131" s="247">
        <f t="shared" si="17"/>
        <v>0</v>
      </c>
      <c r="I131" s="247">
        <f t="shared" si="17"/>
        <v>0</v>
      </c>
      <c r="J131" s="247">
        <f t="shared" si="17"/>
        <v>0</v>
      </c>
    </row>
    <row r="132" spans="2:12" hidden="1" outlineLevel="1" x14ac:dyDescent="0.2">
      <c r="D132" s="1"/>
      <c r="E132" s="1"/>
    </row>
    <row r="133" spans="2:12" hidden="1" outlineLevel="1" x14ac:dyDescent="0.2">
      <c r="C133" s="246" t="str">
        <f>IF(E133&lt;&gt;"",E133,"")</f>
        <v/>
      </c>
      <c r="D133" s="81" t="s">
        <v>743</v>
      </c>
      <c r="E133" s="227"/>
    </row>
    <row r="134" spans="2:12" hidden="1" outlineLevel="1" collapsed="1" x14ac:dyDescent="0.2"/>
    <row r="135" spans="2:12" collapsed="1" x14ac:dyDescent="0.2"/>
    <row r="136" spans="2:12" ht="15.75" x14ac:dyDescent="0.2">
      <c r="C136" s="396">
        <v>5</v>
      </c>
      <c r="D136" s="72" t="str">
        <f>IF(E141&lt;&gt;"",CONCATENATE("GF ",C136,": ",G141,L136),MsgNotUsed)</f>
        <v>** NOT USED **</v>
      </c>
      <c r="E136" s="116"/>
      <c r="F136" s="116"/>
      <c r="G136" s="116"/>
      <c r="H136" s="116"/>
      <c r="I136" s="118"/>
      <c r="J136" s="112"/>
      <c r="K136" s="21"/>
      <c r="L136" s="266" t="str">
        <f>IF(O140&lt;&gt;"",CONCATENATE(" (",O140,")"),"")</f>
        <v/>
      </c>
    </row>
    <row r="137" spans="2:12" hidden="1" outlineLevel="1" x14ac:dyDescent="0.2"/>
    <row r="138" spans="2:12" hidden="1" outlineLevel="1" x14ac:dyDescent="0.2">
      <c r="D138" t="s">
        <v>829</v>
      </c>
    </row>
    <row r="139" spans="2:12" hidden="1" outlineLevel="1" x14ac:dyDescent="0.2">
      <c r="D139" t="s">
        <v>834</v>
      </c>
    </row>
    <row r="140" spans="2:12" hidden="1" outlineLevel="1" x14ac:dyDescent="0.2">
      <c r="L140" s="31" t="s">
        <v>414</v>
      </c>
    </row>
    <row r="141" spans="2:12" hidden="1" outlineLevel="1" x14ac:dyDescent="0.2">
      <c r="B141" s="246">
        <f>IF(E141&lt;&gt;"",MATCH(E141,EPISource,0)-1,0)</f>
        <v>0</v>
      </c>
      <c r="C141" s="246">
        <f ca="1">IF(G141&lt;&gt;"",MATCH(G141,OFFSET(References!$AE$7,0,B141,PxPopMaxCount),0),0)</f>
        <v>0</v>
      </c>
      <c r="D141" s="8" t="s">
        <v>110</v>
      </c>
      <c r="E141" s="230"/>
      <c r="F141" s="119"/>
      <c r="G141" s="580"/>
      <c r="H141" s="581"/>
      <c r="I141" s="581"/>
      <c r="J141" s="581"/>
      <c r="L141" s="206"/>
    </row>
    <row r="142" spans="2:12" hidden="1" outlineLevel="1" x14ac:dyDescent="0.2">
      <c r="B142" s="246">
        <f>INDEX(PxPopValid,,B141+1)</f>
        <v>0</v>
      </c>
      <c r="C142" s="246">
        <f ca="1">(B141*PxPopMaxCount)+C141</f>
        <v>0</v>
      </c>
      <c r="E142" s="319">
        <v>1</v>
      </c>
      <c r="F142" s="319">
        <v>2</v>
      </c>
      <c r="G142" s="319">
        <v>3</v>
      </c>
      <c r="H142" s="319">
        <v>4</v>
      </c>
      <c r="I142" s="319">
        <v>5</v>
      </c>
      <c r="J142" s="319">
        <v>6</v>
      </c>
    </row>
    <row r="143" spans="2:12" hidden="1" outlineLevel="1" x14ac:dyDescent="0.2">
      <c r="E143" s="582" t="s">
        <v>10</v>
      </c>
      <c r="F143" s="582"/>
      <c r="G143" s="582"/>
      <c r="H143" s="582"/>
      <c r="I143" s="582"/>
      <c r="J143" s="582"/>
      <c r="K143" s="119"/>
      <c r="L143" s="444" t="str">
        <f ca="1">IF(ISERROR($C142)=TRUE,MsgError &amp; VLOOKUP("BadPop",ErrorMessages,2,FALSE),"")</f>
        <v/>
      </c>
    </row>
    <row r="144" spans="2:12" hidden="1" outlineLevel="1" x14ac:dyDescent="0.2">
      <c r="D144" s="260"/>
      <c r="E144" s="74">
        <f>FirstYear</f>
        <v>2026</v>
      </c>
      <c r="F144" s="74">
        <f>E144+1</f>
        <v>2027</v>
      </c>
      <c r="G144" s="74">
        <f>F144+1</f>
        <v>2028</v>
      </c>
      <c r="H144" s="74">
        <f>G144+1</f>
        <v>2029</v>
      </c>
      <c r="I144" s="74">
        <f>H144+1</f>
        <v>2030</v>
      </c>
      <c r="J144" s="74">
        <f>I144+1</f>
        <v>2031</v>
      </c>
      <c r="K144" s="119"/>
    </row>
    <row r="145" spans="3:12" hidden="1" outlineLevel="1" x14ac:dyDescent="0.2">
      <c r="D145" s="334" t="s">
        <v>795</v>
      </c>
      <c r="E145" s="120">
        <f t="shared" ref="E145:J145" ca="1" si="18">IF(AND(ISERROR($C142)&lt;&gt;TRUE,$G141&lt;&gt;""),INDEX(PxPopNumbers,$C142,E142),0)</f>
        <v>0</v>
      </c>
      <c r="F145" s="120">
        <f t="shared" ca="1" si="18"/>
        <v>0</v>
      </c>
      <c r="G145" s="120">
        <f t="shared" ca="1" si="18"/>
        <v>0</v>
      </c>
      <c r="H145" s="120">
        <f t="shared" ca="1" si="18"/>
        <v>0</v>
      </c>
      <c r="I145" s="120">
        <f t="shared" ca="1" si="18"/>
        <v>0</v>
      </c>
      <c r="J145" s="120">
        <f t="shared" ca="1" si="18"/>
        <v>0</v>
      </c>
      <c r="K145" s="119"/>
    </row>
    <row r="146" spans="3:12" hidden="1" outlineLevel="1" x14ac:dyDescent="0.2"/>
    <row r="147" spans="3:12" hidden="1" outlineLevel="1" x14ac:dyDescent="0.2">
      <c r="D147" s="498" t="s">
        <v>196</v>
      </c>
      <c r="L147" s="31" t="s">
        <v>249</v>
      </c>
    </row>
    <row r="148" spans="3:12" hidden="1" outlineLevel="1" x14ac:dyDescent="0.2">
      <c r="D148" s="8" t="s">
        <v>848</v>
      </c>
      <c r="E148" s="48"/>
      <c r="F148" s="48"/>
      <c r="G148" s="48"/>
      <c r="H148" s="48"/>
      <c r="I148" s="48"/>
      <c r="J148" s="48"/>
      <c r="K148" s="497"/>
      <c r="L148" s="41"/>
    </row>
    <row r="149" spans="3:12" hidden="1" outlineLevel="1" x14ac:dyDescent="0.2">
      <c r="D149" s="8" t="s">
        <v>835</v>
      </c>
      <c r="E149" s="27">
        <f t="shared" ref="E149:J149" ca="1" si="19">IF(E145&lt;&gt;"",E145*E148,0)</f>
        <v>0</v>
      </c>
      <c r="F149" s="27">
        <f t="shared" ca="1" si="19"/>
        <v>0</v>
      </c>
      <c r="G149" s="27">
        <f t="shared" ca="1" si="19"/>
        <v>0</v>
      </c>
      <c r="H149" s="27">
        <f t="shared" ca="1" si="19"/>
        <v>0</v>
      </c>
      <c r="I149" s="27">
        <f t="shared" ca="1" si="19"/>
        <v>0</v>
      </c>
      <c r="J149" s="27">
        <f t="shared" ca="1" si="19"/>
        <v>0</v>
      </c>
      <c r="K149" s="119"/>
    </row>
    <row r="150" spans="3:12" hidden="1" outlineLevel="1" x14ac:dyDescent="0.2"/>
    <row r="151" spans="3:12" hidden="1" outlineLevel="1" x14ac:dyDescent="0.2">
      <c r="D151" s="54" t="str">
        <f>TxPhase1Tx</f>
        <v/>
      </c>
      <c r="E151" s="357"/>
      <c r="L151" s="31" t="s">
        <v>249</v>
      </c>
    </row>
    <row r="152" spans="3:12" hidden="1" outlineLevel="1" x14ac:dyDescent="0.2">
      <c r="D152" s="54" t="str">
        <f>D123</f>
        <v>Patients electing treatment (%)</v>
      </c>
      <c r="E152" s="48"/>
      <c r="F152" s="48"/>
      <c r="G152" s="48"/>
      <c r="H152" s="48"/>
      <c r="I152" s="48"/>
      <c r="J152" s="48"/>
      <c r="L152" s="41"/>
    </row>
    <row r="153" spans="3:12" ht="14.25" hidden="1" outlineLevel="1" x14ac:dyDescent="0.2">
      <c r="F153" s="136"/>
    </row>
    <row r="154" spans="3:12" hidden="1" outlineLevel="1" x14ac:dyDescent="0.2">
      <c r="D154" s="82" t="str">
        <f>TXPhase2Tx</f>
        <v/>
      </c>
      <c r="E154" s="319"/>
      <c r="F154" s="319"/>
      <c r="L154" s="31" t="s">
        <v>249</v>
      </c>
    </row>
    <row r="155" spans="3:12" hidden="1" outlineLevel="1" x14ac:dyDescent="0.2">
      <c r="D155" s="82" t="str">
        <f>D126</f>
        <v/>
      </c>
      <c r="E155" s="48"/>
      <c r="F155" s="48"/>
      <c r="G155" s="48"/>
      <c r="H155" s="48"/>
      <c r="I155" s="48"/>
      <c r="J155" s="48"/>
      <c r="L155" s="41"/>
    </row>
    <row r="156" spans="3:12" hidden="1" outlineLevel="1" x14ac:dyDescent="0.2"/>
    <row r="157" spans="3:12" hidden="1" outlineLevel="1" x14ac:dyDescent="0.2">
      <c r="C157" s="246">
        <f>IFERROR(VLOOKUP(E157,TxPhase2SourceCode,2,FALSE),0)</f>
        <v>1</v>
      </c>
      <c r="D157" s="54" t="s">
        <v>1152</v>
      </c>
      <c r="E157" s="227" t="s">
        <v>1153</v>
      </c>
    </row>
    <row r="158" spans="3:12" hidden="1" outlineLevel="1" x14ac:dyDescent="0.2"/>
    <row r="159" spans="3:12" hidden="1" outlineLevel="1" x14ac:dyDescent="0.2">
      <c r="D159" s="54" t="str">
        <f>TxPhase1Px</f>
        <v/>
      </c>
      <c r="E159" s="247">
        <f t="shared" ref="E159:J159" si="20">IF(TxPhase1&lt;&gt;"",E149*E152,0)</f>
        <v>0</v>
      </c>
      <c r="F159" s="247">
        <f t="shared" si="20"/>
        <v>0</v>
      </c>
      <c r="G159" s="247">
        <f t="shared" si="20"/>
        <v>0</v>
      </c>
      <c r="H159" s="247">
        <f t="shared" si="20"/>
        <v>0</v>
      </c>
      <c r="I159" s="247">
        <f t="shared" si="20"/>
        <v>0</v>
      </c>
      <c r="J159" s="247">
        <f t="shared" si="20"/>
        <v>0</v>
      </c>
    </row>
    <row r="160" spans="3:12" hidden="1" outlineLevel="1" x14ac:dyDescent="0.2">
      <c r="D160" s="54" t="str">
        <f>TxPhase2Px</f>
        <v/>
      </c>
      <c r="E160" s="247">
        <f t="shared" ref="E160:J160" si="21">IF(TxPhase2&lt;&gt;"",IF($C157=1,E159,IF($C157=2,E149,0))*E155,0)</f>
        <v>0</v>
      </c>
      <c r="F160" s="247">
        <f t="shared" si="21"/>
        <v>0</v>
      </c>
      <c r="G160" s="247">
        <f t="shared" si="21"/>
        <v>0</v>
      </c>
      <c r="H160" s="247">
        <f t="shared" si="21"/>
        <v>0</v>
      </c>
      <c r="I160" s="247">
        <f t="shared" si="21"/>
        <v>0</v>
      </c>
      <c r="J160" s="247">
        <f t="shared" si="21"/>
        <v>0</v>
      </c>
    </row>
    <row r="161" spans="3:12" hidden="1" outlineLevel="1" x14ac:dyDescent="0.2"/>
    <row r="162" spans="3:12" hidden="1" outlineLevel="1" x14ac:dyDescent="0.2">
      <c r="C162" s="246" t="str">
        <f>IF(E162&lt;&gt;"",E162,"")</f>
        <v/>
      </c>
      <c r="D162" s="81" t="s">
        <v>743</v>
      </c>
      <c r="E162" s="227"/>
    </row>
    <row r="163" spans="3:12" hidden="1" outlineLevel="1" x14ac:dyDescent="0.2"/>
    <row r="164" spans="3:12" collapsed="1" x14ac:dyDescent="0.2"/>
    <row r="165" spans="3:12" ht="15.75" x14ac:dyDescent="0.2">
      <c r="D165" s="111" t="s">
        <v>27</v>
      </c>
      <c r="E165" s="112"/>
      <c r="F165" s="112"/>
      <c r="G165" s="112"/>
      <c r="H165" s="112"/>
      <c r="I165" s="112"/>
      <c r="J165" s="112"/>
      <c r="K165" s="21"/>
      <c r="L165" s="21"/>
    </row>
    <row r="166" spans="3:12" x14ac:dyDescent="0.2"/>
    <row r="167" spans="3:12" x14ac:dyDescent="0.2">
      <c r="D167" t="s">
        <v>208</v>
      </c>
    </row>
    <row r="168" spans="3:12" x14ac:dyDescent="0.2">
      <c r="D168" t="s">
        <v>210</v>
      </c>
    </row>
    <row r="169" spans="3:12" x14ac:dyDescent="0.2"/>
    <row r="170" spans="3:12" ht="15" x14ac:dyDescent="0.2">
      <c r="D170" s="122" t="s">
        <v>847</v>
      </c>
      <c r="E170" s="112"/>
      <c r="F170" s="112"/>
      <c r="G170" s="112"/>
      <c r="H170" s="112"/>
      <c r="I170" s="112"/>
      <c r="J170" s="112"/>
      <c r="K170" s="21"/>
      <c r="L170" s="112"/>
    </row>
  </sheetData>
  <mergeCells count="10">
    <mergeCell ref="E27:J27"/>
    <mergeCell ref="G25:J25"/>
    <mergeCell ref="E114:J114"/>
    <mergeCell ref="G141:J141"/>
    <mergeCell ref="E143:J143"/>
    <mergeCell ref="E56:J56"/>
    <mergeCell ref="G54:J54"/>
    <mergeCell ref="G83:J83"/>
    <mergeCell ref="E85:J85"/>
    <mergeCell ref="G112:J112"/>
  </mergeCells>
  <conditionalFormatting sqref="D38 D39:J39 L39 E41 D44:J44">
    <cfRule type="expression" dxfId="318" priority="176">
      <formula>TPCont=0</formula>
    </cfRule>
  </conditionalFormatting>
  <conditionalFormatting sqref="D44">
    <cfRule type="expression" dxfId="317" priority="173">
      <formula>$D$44=""</formula>
    </cfRule>
  </conditionalFormatting>
  <conditionalFormatting sqref="D67">
    <cfRule type="expression" dxfId="316" priority="33">
      <formula>TPCont=0</formula>
    </cfRule>
  </conditionalFormatting>
  <conditionalFormatting sqref="D73">
    <cfRule type="expression" dxfId="315" priority="29">
      <formula>$D$44=""</formula>
    </cfRule>
  </conditionalFormatting>
  <conditionalFormatting sqref="D96">
    <cfRule type="expression" dxfId="314" priority="32">
      <formula>TPCont=0</formula>
    </cfRule>
  </conditionalFormatting>
  <conditionalFormatting sqref="D102">
    <cfRule type="expression" dxfId="313" priority="28">
      <formula>$D$44=""</formula>
    </cfRule>
  </conditionalFormatting>
  <conditionalFormatting sqref="D125">
    <cfRule type="expression" dxfId="312" priority="31">
      <formula>TPCont=0</formula>
    </cfRule>
  </conditionalFormatting>
  <conditionalFormatting sqref="D131">
    <cfRule type="expression" dxfId="311" priority="27">
      <formula>$D$44=""</formula>
    </cfRule>
  </conditionalFormatting>
  <conditionalFormatting sqref="D154">
    <cfRule type="expression" dxfId="310" priority="30">
      <formula>TPCont=0</formula>
    </cfRule>
  </conditionalFormatting>
  <conditionalFormatting sqref="D160">
    <cfRule type="expression" dxfId="309" priority="26">
      <formula>$D$44=""</formula>
    </cfRule>
  </conditionalFormatting>
  <conditionalFormatting sqref="D15:J15">
    <cfRule type="expression" dxfId="308" priority="725">
      <formula>#REF!=""</formula>
    </cfRule>
  </conditionalFormatting>
  <conditionalFormatting sqref="D68:J68 L68 E70 D73:J73">
    <cfRule type="expression" dxfId="307" priority="47">
      <formula>TPCont=0</formula>
    </cfRule>
  </conditionalFormatting>
  <conditionalFormatting sqref="D97:J97 L97 E99 D102:J102">
    <cfRule type="expression" dxfId="306" priority="46">
      <formula>TPCont=0</formula>
    </cfRule>
  </conditionalFormatting>
  <conditionalFormatting sqref="D126:J126 L126 E128 D131:J131">
    <cfRule type="expression" dxfId="305" priority="45">
      <formula>TPCont=0</formula>
    </cfRule>
  </conditionalFormatting>
  <conditionalFormatting sqref="D155:J155 L155 E157 D160:J160">
    <cfRule type="expression" dxfId="304" priority="44">
      <formula>TPCont=0</formula>
    </cfRule>
  </conditionalFormatting>
  <conditionalFormatting sqref="E25 G25 L25 E32:J32 L32 E36:J36 L36 E39:J39 L39 E41 E46">
    <cfRule type="expression" dxfId="303" priority="185">
      <formula>PxGrandfathered&lt;&gt;1</formula>
    </cfRule>
  </conditionalFormatting>
  <conditionalFormatting sqref="E54 G54 L54 E61:J61 L61 E65:J65 L65 E68:J68 L68 E70 E75">
    <cfRule type="expression" dxfId="302" priority="60">
      <formula>PxGrandfathered&lt;&gt;1</formula>
    </cfRule>
  </conditionalFormatting>
  <conditionalFormatting sqref="E83 G83 L83 E90:J90 L90 E94:J94 L94 E97:J97 L97 E99 E104">
    <cfRule type="expression" dxfId="301" priority="59">
      <formula>PxGrandfathered&lt;&gt;1</formula>
    </cfRule>
  </conditionalFormatting>
  <conditionalFormatting sqref="E112 G112 L112 E119:J119 L119 E123:J123 L123 E126:J126 L126 E128 E133">
    <cfRule type="expression" dxfId="300" priority="58">
      <formula>PxGrandfathered&lt;&gt;1</formula>
    </cfRule>
  </conditionalFormatting>
  <conditionalFormatting sqref="E141 G141 L141 E148:J148 L148 E152:J152 L152 E155:J155 L155 E157 E162">
    <cfRule type="expression" dxfId="299" priority="57">
      <formula>PxGrandfathered&lt;&gt;1</formula>
    </cfRule>
  </conditionalFormatting>
  <conditionalFormatting sqref="E29:J29">
    <cfRule type="expression" dxfId="298" priority="17">
      <formula>PxGrandfathered&lt;&gt;1</formula>
    </cfRule>
  </conditionalFormatting>
  <conditionalFormatting sqref="E58:J58">
    <cfRule type="expression" dxfId="297" priority="12">
      <formula>PxGrandfathered&lt;&gt;1</formula>
    </cfRule>
  </conditionalFormatting>
  <conditionalFormatting sqref="E87:J87">
    <cfRule type="expression" dxfId="296" priority="11">
      <formula>PxGrandfathered&lt;&gt;1</formula>
    </cfRule>
  </conditionalFormatting>
  <conditionalFormatting sqref="E116:J116">
    <cfRule type="expression" dxfId="295" priority="10">
      <formula>PxGrandfathered&lt;&gt;1</formula>
    </cfRule>
  </conditionalFormatting>
  <conditionalFormatting sqref="E145:J145">
    <cfRule type="expression" dxfId="294" priority="9">
      <formula>PxGrandfathered&lt;&gt;1</formula>
    </cfRule>
  </conditionalFormatting>
  <conditionalFormatting sqref="L25">
    <cfRule type="expression" dxfId="293" priority="41">
      <formula>G25=""</formula>
    </cfRule>
  </conditionalFormatting>
  <conditionalFormatting sqref="L27">
    <cfRule type="notContainsBlanks" dxfId="292" priority="726">
      <formula>LEN(TRIM(L27))&gt;0</formula>
    </cfRule>
  </conditionalFormatting>
  <conditionalFormatting sqref="L54">
    <cfRule type="expression" dxfId="291" priority="37">
      <formula>$G$54=""</formula>
    </cfRule>
  </conditionalFormatting>
  <conditionalFormatting sqref="L56">
    <cfRule type="notContainsBlanks" dxfId="290" priority="727">
      <formula>LEN(TRIM(L56))&gt;0</formula>
    </cfRule>
  </conditionalFormatting>
  <conditionalFormatting sqref="L83">
    <cfRule type="expression" dxfId="289" priority="38">
      <formula>$G$83=""</formula>
    </cfRule>
  </conditionalFormatting>
  <conditionalFormatting sqref="L85">
    <cfRule type="notContainsBlanks" dxfId="288" priority="728">
      <formula>LEN(TRIM(L85))&gt;0</formula>
    </cfRule>
  </conditionalFormatting>
  <conditionalFormatting sqref="L112">
    <cfRule type="expression" dxfId="287" priority="39">
      <formula>$G$112=""</formula>
    </cfRule>
  </conditionalFormatting>
  <conditionalFormatting sqref="L114">
    <cfRule type="notContainsBlanks" dxfId="286" priority="729">
      <formula>LEN(TRIM(L114))&gt;0</formula>
    </cfRule>
  </conditionalFormatting>
  <conditionalFormatting sqref="L141">
    <cfRule type="expression" dxfId="285" priority="40">
      <formula>$G$141=""</formula>
    </cfRule>
  </conditionalFormatting>
  <conditionalFormatting sqref="L143">
    <cfRule type="notContainsBlanks" dxfId="284" priority="730">
      <formula>LEN(TRIM(L143))&gt;0</formula>
    </cfRule>
  </conditionalFormatting>
  <dataValidations count="8">
    <dataValidation type="list" allowBlank="1" showInputMessage="1" showErrorMessage="1" sqref="E25 E54 E83 E112 E141" xr:uid="{00000000-0002-0000-0400-000000000000}">
      <formula1>EPISource</formula1>
    </dataValidation>
    <dataValidation type="list" allowBlank="1" showInputMessage="1" showErrorMessage="1" sqref="G25:J25" xr:uid="{00000000-0002-0000-0400-000001000000}">
      <formula1>GFPops01</formula1>
    </dataValidation>
    <dataValidation type="list" allowBlank="1" showInputMessage="1" showErrorMessage="1" sqref="G54:J54" xr:uid="{00000000-0002-0000-0400-000002000000}">
      <formula1>GFPops02</formula1>
    </dataValidation>
    <dataValidation type="list" allowBlank="1" showInputMessage="1" showErrorMessage="1" sqref="G83:J83" xr:uid="{00000000-0002-0000-0400-000003000000}">
      <formula1>GFPops03</formula1>
    </dataValidation>
    <dataValidation type="list" allowBlank="1" showInputMessage="1" showErrorMessage="1" sqref="G112:J112" xr:uid="{00000000-0002-0000-0400-000004000000}">
      <formula1>GFPops04</formula1>
    </dataValidation>
    <dataValidation type="list" allowBlank="1" showInputMessage="1" showErrorMessage="1" sqref="G141:J141" xr:uid="{00000000-0002-0000-0400-000005000000}">
      <formula1>GFPops05</formula1>
    </dataValidation>
    <dataValidation type="list" allowBlank="1" showInputMessage="1" showErrorMessage="1" sqref="E46 E75 E104 E133 E162" xr:uid="{00000000-0002-0000-0400-000006000000}">
      <formula1>CoPayBands</formula1>
    </dataValidation>
    <dataValidation type="list" allowBlank="1" showInputMessage="1" showErrorMessage="1" sqref="E41 E70 E99 E128 E157" xr:uid="{00000000-0002-0000-0400-000007000000}">
      <formula1>TxPhase2Source</formula1>
    </dataValidation>
  </dataValidations>
  <pageMargins left="0.11811023622047245" right="0.11811023622047245" top="0.19685039370078741" bottom="0.15748031496062992" header="0.31496062992125984" footer="0.31496062992125984"/>
  <pageSetup paperSize="9" scale="66" orientation="landscape" horizontalDpi="300" verticalDpi="300" r:id="rId1"/>
  <headerFooter>
    <oddHeader>&amp;C&amp;"Calibri"&amp;12&amp;KFF0000 OFFICIAL&amp;1#_x000D_</oddHeader>
    <oddFooter>&amp;C_x000D_&amp;1#&amp;"Calibri"&amp;12&amp;KFF0000 OFFICIAL</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6"/>
  </sheetPr>
  <dimension ref="A1:AA571"/>
  <sheetViews>
    <sheetView showGridLines="0" zoomScaleNormal="100" workbookViewId="0"/>
  </sheetViews>
  <sheetFormatPr defaultRowHeight="12.75" outlineLevelRow="1" x14ac:dyDescent="0.2"/>
  <cols>
    <col min="1" max="1" width="3.7109375" customWidth="1"/>
    <col min="2" max="4" width="3.7109375" hidden="1" customWidth="1"/>
    <col min="5" max="5" width="45.7109375" customWidth="1"/>
    <col min="6" max="11" width="15.7109375" customWidth="1"/>
    <col min="12" max="12" width="3.7109375" customWidth="1"/>
    <col min="13" max="13" width="45.7109375" customWidth="1"/>
    <col min="14" max="19" width="15.7109375" customWidth="1"/>
    <col min="20" max="20" width="3.7109375" hidden="1" customWidth="1"/>
    <col min="21" max="27" width="10.7109375" hidden="1" customWidth="1"/>
  </cols>
  <sheetData>
    <row r="1" spans="1:27" ht="23.25" x14ac:dyDescent="0.2">
      <c r="A1" s="97">
        <f ca="1">IF((SUM(F15:K15)+SUM(F16:K16)&lt;&gt;0),2,0)</f>
        <v>0</v>
      </c>
      <c r="B1" s="97"/>
      <c r="C1" s="97"/>
      <c r="D1" s="97"/>
      <c r="E1" s="98" t="s">
        <v>1192</v>
      </c>
      <c r="F1" s="99"/>
      <c r="G1" s="99"/>
      <c r="H1" s="99"/>
      <c r="I1" s="99"/>
      <c r="J1" s="99"/>
      <c r="K1" s="587" t="str">
        <f>IF(OR(ScriptSourceCode=0,ScriptSourceCode=2),MsgNotRequired,"")</f>
        <v>** NOT REQUIRED **</v>
      </c>
      <c r="L1" s="587"/>
      <c r="M1" s="587"/>
      <c r="N1" s="99"/>
      <c r="O1" s="99"/>
      <c r="P1" s="99"/>
      <c r="Q1" s="99"/>
      <c r="R1" s="99"/>
      <c r="S1" s="99"/>
      <c r="T1" s="99"/>
      <c r="U1" s="99"/>
      <c r="V1" s="99"/>
      <c r="W1" s="99"/>
      <c r="X1" s="99"/>
      <c r="Y1" s="99"/>
      <c r="Z1" s="99"/>
      <c r="AA1" s="99"/>
    </row>
    <row r="2" spans="1:27" ht="15.75" x14ac:dyDescent="0.2">
      <c r="A2" s="99"/>
      <c r="B2" s="99"/>
      <c r="C2" s="99"/>
      <c r="D2" s="99"/>
      <c r="E2" s="100" t="str">
        <f>CONCATENATE("Name of medicine: ",MedicineBrand)</f>
        <v xml:space="preserve">Name of medicine: </v>
      </c>
      <c r="F2" s="99"/>
      <c r="G2" s="99"/>
      <c r="H2" s="99"/>
      <c r="I2" s="99"/>
      <c r="J2" s="99"/>
      <c r="K2" s="99"/>
      <c r="L2" s="101"/>
      <c r="M2" s="101"/>
      <c r="N2" s="99"/>
      <c r="O2" s="99"/>
      <c r="P2" s="99"/>
      <c r="Q2" s="99"/>
      <c r="R2" s="99"/>
      <c r="S2" s="99"/>
      <c r="T2" s="99"/>
      <c r="U2" s="99"/>
      <c r="V2" s="99"/>
      <c r="W2" s="99"/>
      <c r="X2" s="99"/>
      <c r="Y2" s="99"/>
      <c r="Z2" s="99"/>
      <c r="AA2" s="99"/>
    </row>
    <row r="3" spans="1:27" ht="15.75" x14ac:dyDescent="0.2">
      <c r="A3" s="99"/>
      <c r="B3" s="99"/>
      <c r="C3" s="99"/>
      <c r="D3" s="99"/>
      <c r="E3" s="100" t="str">
        <f>CONCATENATE("Indication: ", Indication)</f>
        <v xml:space="preserve">Indication: </v>
      </c>
      <c r="F3" s="99"/>
      <c r="G3" s="99"/>
      <c r="H3" s="99"/>
      <c r="I3" s="99"/>
      <c r="J3" s="99"/>
      <c r="K3" s="99"/>
      <c r="L3" s="101"/>
      <c r="M3" s="101"/>
      <c r="N3" s="99"/>
      <c r="O3" s="99"/>
      <c r="P3" s="99"/>
      <c r="Q3" s="99"/>
      <c r="R3" s="99"/>
      <c r="S3" s="99"/>
      <c r="T3" s="99"/>
      <c r="U3" s="99"/>
      <c r="V3" s="99"/>
      <c r="W3" s="99"/>
      <c r="X3" s="99"/>
      <c r="Y3" s="99"/>
      <c r="Z3" s="99"/>
      <c r="AA3" s="99"/>
    </row>
    <row r="5" spans="1:27" ht="15.75" x14ac:dyDescent="0.2">
      <c r="E5" s="72" t="s">
        <v>2</v>
      </c>
      <c r="F5" s="102"/>
      <c r="G5" s="102"/>
      <c r="H5" s="102"/>
      <c r="I5" s="102"/>
      <c r="J5" s="102"/>
      <c r="K5" s="102"/>
      <c r="L5" s="102"/>
      <c r="M5" s="102"/>
      <c r="N5" s="102"/>
      <c r="O5" s="102"/>
      <c r="P5" s="102"/>
      <c r="Q5" s="102"/>
      <c r="R5" s="102"/>
      <c r="S5" s="102"/>
      <c r="T5" s="102"/>
      <c r="U5" s="102"/>
      <c r="V5" s="102"/>
      <c r="W5" s="102"/>
      <c r="X5" s="102"/>
      <c r="Y5" s="102"/>
      <c r="Z5" s="102"/>
      <c r="AA5" s="102"/>
    </row>
    <row r="7" spans="1:27" x14ac:dyDescent="0.2">
      <c r="E7" s="103" t="s">
        <v>1189</v>
      </c>
    </row>
    <row r="8" spans="1:27" x14ac:dyDescent="0.2">
      <c r="E8" s="103" t="s">
        <v>1190</v>
      </c>
    </row>
    <row r="9" spans="1:27" x14ac:dyDescent="0.2">
      <c r="E9" s="103"/>
    </row>
    <row r="10" spans="1:27" ht="15.75" x14ac:dyDescent="0.2">
      <c r="E10" s="72" t="s">
        <v>1284</v>
      </c>
      <c r="F10" s="104"/>
      <c r="G10" s="104"/>
      <c r="H10" s="104"/>
      <c r="I10" s="104"/>
      <c r="J10" s="104"/>
      <c r="K10" s="105"/>
      <c r="L10" s="102"/>
      <c r="M10" s="102"/>
      <c r="N10" s="102"/>
      <c r="O10" s="102"/>
      <c r="P10" s="102"/>
      <c r="Q10" s="102"/>
      <c r="R10" s="102"/>
      <c r="S10" s="102"/>
      <c r="T10" s="102"/>
      <c r="U10" s="102"/>
      <c r="V10" s="102"/>
      <c r="W10" s="102"/>
      <c r="X10" s="102"/>
      <c r="Y10" s="102"/>
      <c r="Z10" s="102"/>
      <c r="AA10" s="102"/>
    </row>
    <row r="11" spans="1:27" x14ac:dyDescent="0.2">
      <c r="E11" s="103"/>
      <c r="F11" s="103"/>
      <c r="G11" s="103"/>
      <c r="H11" s="103"/>
      <c r="I11" s="103"/>
      <c r="J11" s="103"/>
      <c r="K11" s="103"/>
    </row>
    <row r="12" spans="1:27" x14ac:dyDescent="0.2">
      <c r="E12" s="103" t="s">
        <v>1191</v>
      </c>
      <c r="F12" s="103"/>
      <c r="G12" s="103"/>
      <c r="H12" s="103"/>
      <c r="I12" s="103"/>
      <c r="J12" s="103"/>
      <c r="K12" s="103"/>
    </row>
    <row r="13" spans="1:27" x14ac:dyDescent="0.2">
      <c r="E13" s="357" t="str">
        <f>UPPER(LEFT(E14,1)) &amp; MID(E14,2,99)</f>
        <v/>
      </c>
      <c r="F13" s="357">
        <v>1</v>
      </c>
      <c r="G13" s="357">
        <v>2</v>
      </c>
      <c r="H13" s="357">
        <v>3</v>
      </c>
      <c r="I13" s="357">
        <v>4</v>
      </c>
      <c r="J13" s="357">
        <v>5</v>
      </c>
      <c r="K13" s="357">
        <v>6</v>
      </c>
    </row>
    <row r="14" spans="1:27" x14ac:dyDescent="0.2">
      <c r="E14" s="357"/>
      <c r="F14" s="74">
        <f>FirstYear</f>
        <v>2026</v>
      </c>
      <c r="G14" s="74">
        <f>F14+1</f>
        <v>2027</v>
      </c>
      <c r="H14" s="74">
        <f>G14+1</f>
        <v>2028</v>
      </c>
      <c r="I14" s="74">
        <f>H14+1</f>
        <v>2029</v>
      </c>
      <c r="J14" s="74">
        <f>I14+1</f>
        <v>2030</v>
      </c>
      <c r="K14" s="74">
        <f>J14+1</f>
        <v>2031</v>
      </c>
    </row>
    <row r="15" spans="1:27" x14ac:dyDescent="0.2">
      <c r="C15" s="246">
        <f>SUM(B22:B550)</f>
        <v>0</v>
      </c>
      <c r="D15" s="396">
        <v>31</v>
      </c>
      <c r="E15" s="53" t="str">
        <f>TxPhase1PxUnitsTx</f>
        <v/>
      </c>
      <c r="F15" s="27">
        <f t="shared" ref="F15:K15" ca="1" si="0">INDEX(PxTxPhase1Adj,$D15,F13)</f>
        <v>0</v>
      </c>
      <c r="G15" s="27">
        <f t="shared" ca="1" si="0"/>
        <v>0</v>
      </c>
      <c r="H15" s="27">
        <f t="shared" ca="1" si="0"/>
        <v>0</v>
      </c>
      <c r="I15" s="27">
        <f t="shared" ca="1" si="0"/>
        <v>0</v>
      </c>
      <c r="J15" s="27">
        <f t="shared" ca="1" si="0"/>
        <v>0</v>
      </c>
      <c r="K15" s="27">
        <f t="shared" ca="1" si="0"/>
        <v>0</v>
      </c>
    </row>
    <row r="16" spans="1:27" x14ac:dyDescent="0.2">
      <c r="D16" s="396">
        <v>31</v>
      </c>
      <c r="E16" s="53" t="str">
        <f>TxPhase2PxUnitsTx</f>
        <v/>
      </c>
      <c r="F16" s="27">
        <f t="shared" ref="F16:K16" ca="1" si="1">INDEX(PxTxPhase2Adj,$D16,F13)</f>
        <v>0</v>
      </c>
      <c r="G16" s="27">
        <f t="shared" ca="1" si="1"/>
        <v>0</v>
      </c>
      <c r="H16" s="27">
        <f t="shared" ca="1" si="1"/>
        <v>0</v>
      </c>
      <c r="I16" s="27">
        <f t="shared" ca="1" si="1"/>
        <v>0</v>
      </c>
      <c r="J16" s="27">
        <f t="shared" ca="1" si="1"/>
        <v>0</v>
      </c>
      <c r="K16" s="27">
        <f t="shared" ca="1" si="1"/>
        <v>0</v>
      </c>
    </row>
    <row r="17" spans="2:27" hidden="1" x14ac:dyDescent="0.2">
      <c r="F17" s="214">
        <f ca="1">SUM(F15:F16)</f>
        <v>0</v>
      </c>
      <c r="G17" s="214">
        <f t="shared" ref="G17:K17" ca="1" si="2">SUM(G15:G16)</f>
        <v>0</v>
      </c>
      <c r="H17" s="214">
        <f t="shared" ca="1" si="2"/>
        <v>0</v>
      </c>
      <c r="I17" s="214">
        <f t="shared" ca="1" si="2"/>
        <v>0</v>
      </c>
      <c r="J17" s="214">
        <f t="shared" ca="1" si="2"/>
        <v>0</v>
      </c>
      <c r="K17" s="214">
        <f t="shared" ca="1" si="2"/>
        <v>0</v>
      </c>
    </row>
    <row r="20" spans="2:27" ht="15.75" x14ac:dyDescent="0.2">
      <c r="E20" s="72" t="s">
        <v>1231</v>
      </c>
      <c r="F20" s="104"/>
      <c r="G20" s="104"/>
      <c r="H20" s="104"/>
      <c r="I20" s="104"/>
      <c r="J20" s="104"/>
      <c r="K20" s="105"/>
      <c r="L20" s="102"/>
      <c r="M20" s="102"/>
      <c r="N20" s="102"/>
      <c r="O20" s="102"/>
      <c r="P20" s="102"/>
      <c r="Q20" s="102"/>
      <c r="R20" s="102"/>
      <c r="S20" s="102"/>
      <c r="T20" s="102"/>
      <c r="U20" s="102"/>
      <c r="V20" s="102"/>
      <c r="W20" s="102"/>
      <c r="X20" s="102"/>
      <c r="Y20" s="102"/>
      <c r="Z20" s="102"/>
      <c r="AA20" s="102"/>
    </row>
    <row r="22" spans="2:27" ht="15.75" x14ac:dyDescent="0.2">
      <c r="B22" s="246">
        <f>IF(F32+N32&gt;12,1,0)</f>
        <v>0</v>
      </c>
      <c r="C22" s="246">
        <f ca="1">IFERROR(INDEX(PxTxPhase1,$D27,7),0)</f>
        <v>0</v>
      </c>
      <c r="D22" s="396">
        <v>1</v>
      </c>
      <c r="E22" s="72" t="str">
        <f>IF(F26&lt;&gt;"",CONCATENATE("DTG ",D22,": ",H26,": ",N22),MsgNotUsed)</f>
        <v>** NOT USED **</v>
      </c>
      <c r="F22" s="116"/>
      <c r="G22" s="116"/>
      <c r="H22" s="116"/>
      <c r="I22" s="116"/>
      <c r="J22" s="118"/>
      <c r="K22" s="118"/>
      <c r="L22" s="118"/>
      <c r="M22" s="266"/>
      <c r="N22" s="445" t="str">
        <f>IF(AND(F32="",N32=""),"Full year",IF(AND(F32&lt;&gt;"",N32=""),CONCATENATE(F32," ",G32),IF(AND(F32="",N32&lt;&gt;""),CONCATENATE(N32," ",G32),CONCATENATE(F32," + ",N32," ",G32))))</f>
        <v>Full year</v>
      </c>
      <c r="O22" s="266"/>
      <c r="P22" s="266"/>
      <c r="Q22" s="266"/>
      <c r="R22" s="266"/>
      <c r="S22" s="266"/>
      <c r="T22" s="266"/>
      <c r="U22" s="266"/>
      <c r="V22" s="266"/>
      <c r="W22" s="266"/>
      <c r="X22" s="266"/>
      <c r="Y22" s="266"/>
      <c r="Z22" s="266"/>
      <c r="AA22" s="266"/>
    </row>
    <row r="23" spans="2:27" hidden="1" outlineLevel="1" x14ac:dyDescent="0.2">
      <c r="F23" s="319">
        <v>1</v>
      </c>
      <c r="G23" s="319">
        <v>2</v>
      </c>
      <c r="H23" s="319">
        <v>3</v>
      </c>
      <c r="I23" s="319">
        <v>4</v>
      </c>
      <c r="J23" s="319">
        <v>5</v>
      </c>
      <c r="K23" s="319">
        <v>6</v>
      </c>
      <c r="N23" s="319">
        <v>1</v>
      </c>
      <c r="O23" s="319">
        <v>2</v>
      </c>
      <c r="P23" s="319">
        <v>3</v>
      </c>
      <c r="Q23" s="319">
        <v>4</v>
      </c>
      <c r="R23" s="319">
        <v>5</v>
      </c>
      <c r="S23" s="319">
        <v>6</v>
      </c>
    </row>
    <row r="24" spans="2:27" hidden="1" outlineLevel="1" x14ac:dyDescent="0.2">
      <c r="C24" s="103"/>
      <c r="D24" s="103"/>
      <c r="E24" t="s">
        <v>1193</v>
      </c>
    </row>
    <row r="25" spans="2:27" hidden="1" outlineLevel="1" x14ac:dyDescent="0.2">
      <c r="C25" s="103"/>
      <c r="D25" s="103"/>
      <c r="E25" s="260"/>
    </row>
    <row r="26" spans="2:27" hidden="1" outlineLevel="1" x14ac:dyDescent="0.2">
      <c r="C26" s="246">
        <f>IF(F26&lt;&gt;"",MATCH(F26,PxTxSource,0)-1,0)</f>
        <v>0</v>
      </c>
      <c r="D26" s="246">
        <f ca="1">IF(H26&lt;&gt;"",MATCH(H26,OFFSET(References!$AE$23,0,C26,PxPopMaxCount),0),0)</f>
        <v>0</v>
      </c>
      <c r="E26" s="8" t="s">
        <v>110</v>
      </c>
      <c r="F26" s="230"/>
      <c r="H26" s="580"/>
      <c r="I26" s="581"/>
      <c r="J26" s="581"/>
      <c r="K26" s="581"/>
      <c r="M26" s="217"/>
      <c r="N26" s="542" t="str">
        <f ca="1">IF(ISERROR($D27)=TRUE,MsgError &amp; VLOOKUP("BadPop",ErrorMessages,2,FALSE),"")</f>
        <v/>
      </c>
      <c r="O26" s="542"/>
      <c r="P26" s="542"/>
      <c r="Q26" s="542"/>
      <c r="R26" s="542"/>
      <c r="S26" s="542"/>
    </row>
    <row r="27" spans="2:27" hidden="1" outlineLevel="1" x14ac:dyDescent="0.2">
      <c r="C27" s="246">
        <f>INDEX(PxTxValid,,C26+1)</f>
        <v>1</v>
      </c>
      <c r="D27" s="246" t="str">
        <f ca="1">IF(AND(C26=0,D26=0),"",(C26*PxPopMaxCount)+D26)</f>
        <v/>
      </c>
      <c r="E27" s="103"/>
    </row>
    <row r="28" spans="2:27" hidden="1" outlineLevel="1" x14ac:dyDescent="0.2">
      <c r="E28" s="357"/>
      <c r="F28" s="74">
        <f>FirstYear</f>
        <v>2026</v>
      </c>
      <c r="G28" s="74">
        <f>F28+1</f>
        <v>2027</v>
      </c>
      <c r="H28" s="74">
        <f>G28+1</f>
        <v>2028</v>
      </c>
      <c r="I28" s="74">
        <f>H28+1</f>
        <v>2029</v>
      </c>
      <c r="J28" s="74">
        <f>I28+1</f>
        <v>2030</v>
      </c>
      <c r="K28" s="74">
        <f>J28+1</f>
        <v>2031</v>
      </c>
      <c r="L28" s="103"/>
      <c r="N28" s="74">
        <f>FirstYear</f>
        <v>2026</v>
      </c>
      <c r="O28" s="74">
        <f>N28+1</f>
        <v>2027</v>
      </c>
      <c r="P28" s="74">
        <f>O28+1</f>
        <v>2028</v>
      </c>
      <c r="Q28" s="74">
        <f>P28+1</f>
        <v>2029</v>
      </c>
      <c r="R28" s="74">
        <f>Q28+1</f>
        <v>2030</v>
      </c>
      <c r="S28" s="74">
        <f>R28+1</f>
        <v>2031</v>
      </c>
    </row>
    <row r="29" spans="2:27" hidden="1" outlineLevel="1" x14ac:dyDescent="0.2">
      <c r="E29" s="53" t="str">
        <f>TxPhase1Px</f>
        <v/>
      </c>
      <c r="F29" s="27">
        <f ca="1">IFERROR(INDEX(PxTxPhase1,$D27,F23),0)</f>
        <v>0</v>
      </c>
      <c r="G29" s="27">
        <f t="shared" ref="G29:K29" ca="1" si="3">IFERROR(INDEX(PxTxPhase1,$D27,G23),0)</f>
        <v>0</v>
      </c>
      <c r="H29" s="27">
        <f t="shared" ca="1" si="3"/>
        <v>0</v>
      </c>
      <c r="I29" s="27">
        <f t="shared" ca="1" si="3"/>
        <v>0</v>
      </c>
      <c r="J29" s="27">
        <f t="shared" ca="1" si="3"/>
        <v>0</v>
      </c>
      <c r="K29" s="27">
        <f t="shared" ca="1" si="3"/>
        <v>0</v>
      </c>
      <c r="L29" s="103"/>
      <c r="M29" s="53" t="str">
        <f>TxPhase2Px</f>
        <v/>
      </c>
      <c r="N29" s="27">
        <f t="shared" ref="N29:S29" ca="1" si="4">IFERROR(INDEX(PxTxPhase2,$D27,N23),0)</f>
        <v>0</v>
      </c>
      <c r="O29" s="27">
        <f t="shared" ca="1" si="4"/>
        <v>0</v>
      </c>
      <c r="P29" s="27">
        <f t="shared" ca="1" si="4"/>
        <v>0</v>
      </c>
      <c r="Q29" s="27">
        <f t="shared" ca="1" si="4"/>
        <v>0</v>
      </c>
      <c r="R29" s="27">
        <f t="shared" ca="1" si="4"/>
        <v>0</v>
      </c>
      <c r="S29" s="27">
        <f t="shared" ca="1" si="4"/>
        <v>0</v>
      </c>
    </row>
    <row r="30" spans="2:27" hidden="1" outlineLevel="1" x14ac:dyDescent="0.2">
      <c r="L30" s="103"/>
    </row>
    <row r="31" spans="2:27" hidden="1" outlineLevel="1" x14ac:dyDescent="0.2">
      <c r="E31" s="103"/>
      <c r="F31" s="103"/>
      <c r="G31" s="103"/>
      <c r="H31" s="103"/>
      <c r="I31" s="103"/>
      <c r="J31" s="103"/>
      <c r="K31" s="103"/>
      <c r="L31" s="103"/>
      <c r="M31" s="103"/>
      <c r="U31" s="411"/>
      <c r="V31" s="412">
        <f>$W41*1</f>
        <v>0</v>
      </c>
      <c r="W31" s="412">
        <f>$W41*2</f>
        <v>0</v>
      </c>
      <c r="X31" s="412">
        <f>$W41*3</f>
        <v>0</v>
      </c>
      <c r="Y31" s="412">
        <f>$W41*4</f>
        <v>0</v>
      </c>
      <c r="Z31" s="412">
        <f>$W41*5</f>
        <v>0</v>
      </c>
      <c r="AA31" s="412">
        <f>$W41*6</f>
        <v>0</v>
      </c>
    </row>
    <row r="32" spans="2:27" hidden="1" outlineLevel="1" x14ac:dyDescent="0.2">
      <c r="E32" s="82" t="s">
        <v>1147</v>
      </c>
      <c r="F32" s="390"/>
      <c r="G32" s="227"/>
      <c r="H32" s="378"/>
      <c r="I32" s="378"/>
      <c r="J32" s="378"/>
      <c r="K32" s="378"/>
      <c r="L32" s="103"/>
      <c r="M32" s="82" t="s">
        <v>1147</v>
      </c>
      <c r="N32" s="390"/>
      <c r="O32" s="418" t="str">
        <f>IF(G32&lt;&gt;"",G32,"")</f>
        <v/>
      </c>
      <c r="P32" s="378"/>
      <c r="Q32" s="378"/>
      <c r="R32" s="378"/>
      <c r="S32" s="378"/>
      <c r="U32" s="413" t="s">
        <v>1143</v>
      </c>
      <c r="V32" s="414">
        <f>IF($F32&gt;=V31,$W41,IF($F32&gt;0,$F32,0))</f>
        <v>0</v>
      </c>
      <c r="W32" s="414">
        <f>IF($F32&gt;=W31,$W$41,IF($F32&gt;V31,($F32-V31),0))</f>
        <v>0</v>
      </c>
      <c r="X32" s="414">
        <f>IF($F32&gt;=X31,$W$41,IF($F32&gt;W31,($F32-W31),0))</f>
        <v>0</v>
      </c>
      <c r="Y32" s="414">
        <f>IF($F32&gt;=Y31,$W$41,IF($F32&gt;X31,($F32-X31),0))</f>
        <v>0</v>
      </c>
      <c r="Z32" s="414">
        <f>IF($F32&gt;=Z31,$W$41,IF($F32&gt;Y31,($F32-Y31),0))</f>
        <v>0</v>
      </c>
      <c r="AA32" s="414">
        <f>IF($F32&gt;=AA31,$W$41,IF($F32&gt;Z31,($F32-Z31),0))</f>
        <v>0</v>
      </c>
    </row>
    <row r="33" spans="2:27" hidden="1" outlineLevel="1" x14ac:dyDescent="0.2">
      <c r="L33" s="103"/>
      <c r="M33" s="437"/>
      <c r="N33" s="438"/>
      <c r="O33" s="438"/>
      <c r="P33" s="438"/>
      <c r="Q33" s="438"/>
      <c r="R33" s="438"/>
      <c r="S33" s="438"/>
      <c r="U33" s="415" t="s">
        <v>1144</v>
      </c>
      <c r="V33" s="412">
        <f t="shared" ref="V33:AA33" si="5">IF(V32&gt;0,$W41-V32,$W41)</f>
        <v>0</v>
      </c>
      <c r="W33" s="412">
        <f t="shared" si="5"/>
        <v>0</v>
      </c>
      <c r="X33" s="412">
        <f t="shared" si="5"/>
        <v>0</v>
      </c>
      <c r="Y33" s="412">
        <f t="shared" si="5"/>
        <v>0</v>
      </c>
      <c r="Z33" s="412">
        <f t="shared" si="5"/>
        <v>0</v>
      </c>
      <c r="AA33" s="412">
        <f t="shared" si="5"/>
        <v>0</v>
      </c>
    </row>
    <row r="34" spans="2:27" hidden="1" outlineLevel="1" x14ac:dyDescent="0.2">
      <c r="E34" s="437" t="str">
        <f>E29</f>
        <v/>
      </c>
      <c r="F34" s="419"/>
      <c r="G34" s="419"/>
      <c r="H34" s="419"/>
      <c r="I34" s="419"/>
      <c r="J34" s="419"/>
      <c r="K34" s="419"/>
      <c r="L34" s="103"/>
      <c r="M34" s="437" t="str">
        <f>M29</f>
        <v/>
      </c>
      <c r="N34" s="439"/>
      <c r="O34" s="440"/>
      <c r="P34" s="440"/>
      <c r="Q34" s="440"/>
      <c r="R34" s="440"/>
      <c r="S34" s="440"/>
      <c r="U34" s="378"/>
      <c r="V34" s="378"/>
      <c r="W34" s="378"/>
      <c r="X34" s="378"/>
      <c r="Y34" s="378"/>
      <c r="Z34" s="378"/>
      <c r="AA34" s="378"/>
    </row>
    <row r="35" spans="2:27" hidden="1" outlineLevel="1" x14ac:dyDescent="0.2">
      <c r="E35" s="81" t="s">
        <v>1194</v>
      </c>
      <c r="F35" s="57">
        <f ca="1">$F29*V38</f>
        <v>0</v>
      </c>
      <c r="G35" s="57">
        <f t="shared" ref="G35:K35" ca="1" si="6">$F29*W38</f>
        <v>0</v>
      </c>
      <c r="H35" s="57">
        <f t="shared" ca="1" si="6"/>
        <v>0</v>
      </c>
      <c r="I35" s="57">
        <f t="shared" ca="1" si="6"/>
        <v>0</v>
      </c>
      <c r="J35" s="57">
        <f t="shared" ca="1" si="6"/>
        <v>0</v>
      </c>
      <c r="K35" s="57">
        <f t="shared" ca="1" si="6"/>
        <v>0</v>
      </c>
      <c r="L35" s="103"/>
      <c r="M35" s="81" t="s">
        <v>1194</v>
      </c>
      <c r="N35" s="57">
        <f ca="1">$N29*V39</f>
        <v>0</v>
      </c>
      <c r="O35" s="57">
        <f ca="1">$N29*W39</f>
        <v>0</v>
      </c>
      <c r="P35" s="57">
        <f t="shared" ref="P35:S35" ca="1" si="7">$N29*X39</f>
        <v>0</v>
      </c>
      <c r="Q35" s="57">
        <f t="shared" ca="1" si="7"/>
        <v>0</v>
      </c>
      <c r="R35" s="57">
        <f t="shared" ca="1" si="7"/>
        <v>0</v>
      </c>
      <c r="S35" s="57">
        <f t="shared" ca="1" si="7"/>
        <v>0</v>
      </c>
      <c r="U35" s="415" t="s">
        <v>1145</v>
      </c>
      <c r="V35" s="414">
        <f>IF($N32&gt;=V33,V33,N32)</f>
        <v>0</v>
      </c>
      <c r="W35" s="414">
        <f>IF(V36&gt;=W33,W33,V36)</f>
        <v>0</v>
      </c>
      <c r="X35" s="414">
        <f>IF(W36&gt;=X33,X33,W36)</f>
        <v>0</v>
      </c>
      <c r="Y35" s="414">
        <f>IF(X36&gt;=Y33,Y33,X36)</f>
        <v>0</v>
      </c>
      <c r="Z35" s="414">
        <f>IF(Y36&gt;=Z33,Z33,Y36)</f>
        <v>0</v>
      </c>
      <c r="AA35" s="414">
        <f>IF(Z36&gt;=AA33,AA33,Z36)</f>
        <v>0</v>
      </c>
    </row>
    <row r="36" spans="2:27" hidden="1" outlineLevel="1" x14ac:dyDescent="0.2">
      <c r="E36" s="81" t="s">
        <v>1195</v>
      </c>
      <c r="F36" s="115"/>
      <c r="G36" s="57">
        <f ca="1">$G29*V38</f>
        <v>0</v>
      </c>
      <c r="H36" s="57">
        <f t="shared" ref="H36:K36" ca="1" si="8">$G29*W38</f>
        <v>0</v>
      </c>
      <c r="I36" s="57">
        <f t="shared" ca="1" si="8"/>
        <v>0</v>
      </c>
      <c r="J36" s="57">
        <f t="shared" ca="1" si="8"/>
        <v>0</v>
      </c>
      <c r="K36" s="57">
        <f t="shared" ca="1" si="8"/>
        <v>0</v>
      </c>
      <c r="L36" s="103"/>
      <c r="M36" s="81" t="s">
        <v>1195</v>
      </c>
      <c r="N36" s="115"/>
      <c r="O36" s="57">
        <f ca="1">$O29*V39</f>
        <v>0</v>
      </c>
      <c r="P36" s="57">
        <f t="shared" ref="P36:S36" ca="1" si="9">$O29*W39</f>
        <v>0</v>
      </c>
      <c r="Q36" s="57">
        <f t="shared" ca="1" si="9"/>
        <v>0</v>
      </c>
      <c r="R36" s="57">
        <f t="shared" ca="1" si="9"/>
        <v>0</v>
      </c>
      <c r="S36" s="57">
        <f t="shared" ca="1" si="9"/>
        <v>0</v>
      </c>
      <c r="U36" s="415" t="s">
        <v>1146</v>
      </c>
      <c r="V36" s="412">
        <f>$N32-V35</f>
        <v>0</v>
      </c>
      <c r="W36" s="412">
        <f>$N32-SUM($V35:W35)</f>
        <v>0</v>
      </c>
      <c r="X36" s="412">
        <f>$N32-SUM($V35:X35)</f>
        <v>0</v>
      </c>
      <c r="Y36" s="412">
        <f>$N32-SUM($V35:Y35)</f>
        <v>0</v>
      </c>
      <c r="Z36" s="412">
        <f>$N32-SUM($V35:Z35)</f>
        <v>0</v>
      </c>
      <c r="AA36" s="412">
        <f>$N32-SUM($V35:AA35)</f>
        <v>0</v>
      </c>
    </row>
    <row r="37" spans="2:27" hidden="1" outlineLevel="1" x14ac:dyDescent="0.2">
      <c r="E37" s="81" t="s">
        <v>1196</v>
      </c>
      <c r="F37" s="115"/>
      <c r="G37" s="115"/>
      <c r="H37" s="57">
        <f ca="1">$H29*V38</f>
        <v>0</v>
      </c>
      <c r="I37" s="57">
        <f t="shared" ref="I37:K37" ca="1" si="10">$H29*W38</f>
        <v>0</v>
      </c>
      <c r="J37" s="57">
        <f t="shared" ca="1" si="10"/>
        <v>0</v>
      </c>
      <c r="K37" s="57">
        <f t="shared" ca="1" si="10"/>
        <v>0</v>
      </c>
      <c r="L37" s="103"/>
      <c r="M37" s="81" t="s">
        <v>1196</v>
      </c>
      <c r="N37" s="115"/>
      <c r="O37" s="115"/>
      <c r="P37" s="57">
        <f ca="1">$P29*V39</f>
        <v>0</v>
      </c>
      <c r="Q37" s="57">
        <f t="shared" ref="Q37:S37" ca="1" si="11">$P29*W39</f>
        <v>0</v>
      </c>
      <c r="R37" s="57">
        <f t="shared" ca="1" si="11"/>
        <v>0</v>
      </c>
      <c r="S37" s="57">
        <f t="shared" ca="1" si="11"/>
        <v>0</v>
      </c>
      <c r="V37" s="416"/>
      <c r="AA37" s="378"/>
    </row>
    <row r="38" spans="2:27" hidden="1" outlineLevel="1" x14ac:dyDescent="0.2">
      <c r="E38" s="81" t="s">
        <v>1197</v>
      </c>
      <c r="F38" s="115"/>
      <c r="G38" s="115"/>
      <c r="H38" s="115"/>
      <c r="I38" s="57">
        <f ca="1">$I29*V38</f>
        <v>0</v>
      </c>
      <c r="J38" s="57">
        <f t="shared" ref="J38:K38" ca="1" si="12">$I29*W38</f>
        <v>0</v>
      </c>
      <c r="K38" s="57">
        <f t="shared" ca="1" si="12"/>
        <v>0</v>
      </c>
      <c r="L38" s="103"/>
      <c r="M38" s="81" t="s">
        <v>1197</v>
      </c>
      <c r="N38" s="115"/>
      <c r="O38" s="115"/>
      <c r="P38" s="115"/>
      <c r="Q38" s="57">
        <f ca="1">$Q29*V39</f>
        <v>0</v>
      </c>
      <c r="R38" s="57">
        <f t="shared" ref="R38:S38" ca="1" si="13">$Q29*W39</f>
        <v>0</v>
      </c>
      <c r="S38" s="57">
        <f t="shared" ca="1" si="13"/>
        <v>0</v>
      </c>
      <c r="U38" s="413" t="s">
        <v>1143</v>
      </c>
      <c r="V38" s="417">
        <f t="shared" ref="V38:AA38" si="14">IFERROR(V32/$W41,0)</f>
        <v>0</v>
      </c>
      <c r="W38" s="417">
        <f t="shared" si="14"/>
        <v>0</v>
      </c>
      <c r="X38" s="417">
        <f t="shared" si="14"/>
        <v>0</v>
      </c>
      <c r="Y38" s="417">
        <f t="shared" si="14"/>
        <v>0</v>
      </c>
      <c r="Z38" s="417">
        <f t="shared" si="14"/>
        <v>0</v>
      </c>
      <c r="AA38" s="417">
        <f t="shared" si="14"/>
        <v>0</v>
      </c>
    </row>
    <row r="39" spans="2:27" hidden="1" outlineLevel="1" x14ac:dyDescent="0.2">
      <c r="E39" s="81" t="s">
        <v>1198</v>
      </c>
      <c r="F39" s="115"/>
      <c r="G39" s="115"/>
      <c r="H39" s="115"/>
      <c r="I39" s="115"/>
      <c r="J39" s="57">
        <f ca="1">$J29*V38</f>
        <v>0</v>
      </c>
      <c r="K39" s="57">
        <f ca="1">$J29*W38</f>
        <v>0</v>
      </c>
      <c r="L39" s="103"/>
      <c r="M39" s="81" t="s">
        <v>1198</v>
      </c>
      <c r="N39" s="115"/>
      <c r="O39" s="115"/>
      <c r="P39" s="115"/>
      <c r="Q39" s="115"/>
      <c r="R39" s="57">
        <f ca="1">$R29*V39</f>
        <v>0</v>
      </c>
      <c r="S39" s="57">
        <f ca="1">$R29*W39</f>
        <v>0</v>
      </c>
      <c r="U39" s="415" t="s">
        <v>1145</v>
      </c>
      <c r="V39" s="417">
        <f t="shared" ref="V39:AA39" si="15">IFERROR(V35/$W41,0)</f>
        <v>0</v>
      </c>
      <c r="W39" s="417">
        <f t="shared" si="15"/>
        <v>0</v>
      </c>
      <c r="X39" s="417">
        <f t="shared" si="15"/>
        <v>0</v>
      </c>
      <c r="Y39" s="417">
        <f t="shared" si="15"/>
        <v>0</v>
      </c>
      <c r="Z39" s="417">
        <f t="shared" si="15"/>
        <v>0</v>
      </c>
      <c r="AA39" s="417">
        <f t="shared" si="15"/>
        <v>0</v>
      </c>
    </row>
    <row r="40" spans="2:27" hidden="1" outlineLevel="1" x14ac:dyDescent="0.2">
      <c r="E40" s="81" t="s">
        <v>1199</v>
      </c>
      <c r="F40" s="115"/>
      <c r="G40" s="115"/>
      <c r="H40" s="115"/>
      <c r="I40" s="115"/>
      <c r="J40" s="115"/>
      <c r="K40" s="57">
        <f ca="1">$K29*V38</f>
        <v>0</v>
      </c>
      <c r="L40" s="103"/>
      <c r="M40" s="81" t="s">
        <v>1199</v>
      </c>
      <c r="N40" s="115"/>
      <c r="O40" s="115"/>
      <c r="P40" s="115"/>
      <c r="Q40" s="115"/>
      <c r="R40" s="115"/>
      <c r="S40" s="57">
        <f ca="1">$S29*V39</f>
        <v>0</v>
      </c>
    </row>
    <row r="41" spans="2:27" hidden="1" outlineLevel="1" x14ac:dyDescent="0.2">
      <c r="E41" s="420" t="str">
        <f>TxPhase1PxUnitsTx</f>
        <v/>
      </c>
      <c r="F41" s="421">
        <f ca="1">IF(F32&lt;&gt;"",SUM(F35:F40),F29)</f>
        <v>0</v>
      </c>
      <c r="G41" s="421">
        <f ca="1">IF(F32&lt;&gt;"",SUM(G35:G40),G29)</f>
        <v>0</v>
      </c>
      <c r="H41" s="421">
        <f ca="1">IF(F32&lt;&gt;"",SUM(H35:H40),H29)</f>
        <v>0</v>
      </c>
      <c r="I41" s="421">
        <f ca="1">IF(F32&lt;&gt;"",SUM(I35:I40),I29)</f>
        <v>0</v>
      </c>
      <c r="J41" s="421">
        <f ca="1">IF(F32&lt;&gt;"",SUM(J35:J40),J29)</f>
        <v>0</v>
      </c>
      <c r="K41" s="421">
        <f ca="1">IF(F32&lt;&gt;"",SUM(K35:K40),K29)</f>
        <v>0</v>
      </c>
      <c r="L41" s="103"/>
      <c r="M41" s="420" t="str">
        <f>TxPhase2PxUnitsTx</f>
        <v/>
      </c>
      <c r="N41" s="421">
        <f ca="1">IF(N32&lt;&gt;"",SUM(N35:N40),N29)</f>
        <v>0</v>
      </c>
      <c r="O41" s="421">
        <f ca="1">IF(N32&lt;&gt;"",SUM(O35:O40),O29)</f>
        <v>0</v>
      </c>
      <c r="P41" s="421">
        <f ca="1">IF(N32&lt;&gt;"",SUM(P35:P40),P29)</f>
        <v>0</v>
      </c>
      <c r="Q41" s="421">
        <f ca="1">IF(N32&lt;&gt;"",SUM(Q35:Q40),Q29)</f>
        <v>0</v>
      </c>
      <c r="R41" s="421">
        <f ca="1">IF(N32&lt;&gt;"",SUM(R35:R40),R29)</f>
        <v>0</v>
      </c>
      <c r="S41" s="421">
        <f ca="1">IF(N32&lt;&gt;"",SUM(S35:S40),S29)</f>
        <v>0</v>
      </c>
      <c r="U41" s="415" t="s">
        <v>1148</v>
      </c>
      <c r="V41" s="412">
        <f>IFERROR(VLOOKUP(G32,TimeUnitCode,2,FALSE),0)</f>
        <v>0</v>
      </c>
      <c r="W41" s="412">
        <f>IFERROR(INDEX(TimeUnitCount,V41,2),0)</f>
        <v>0</v>
      </c>
    </row>
    <row r="42" spans="2:27" hidden="1" outlineLevel="1" x14ac:dyDescent="0.2"/>
    <row r="43" spans="2:27" collapsed="1" x14ac:dyDescent="0.2"/>
    <row r="44" spans="2:27" ht="15.75" x14ac:dyDescent="0.2">
      <c r="B44" s="246">
        <f>IF(F54+N54&gt;12,1,0)</f>
        <v>0</v>
      </c>
      <c r="C44" s="246">
        <f ca="1">IFERROR(INDEX(PxTxPhase1,$D49,7),0)</f>
        <v>0</v>
      </c>
      <c r="D44" s="396">
        <v>2</v>
      </c>
      <c r="E44" s="72" t="str">
        <f>IF(F48&lt;&gt;"",CONCATENATE("DTG ",D44,": ",H48,": ",N44),MsgNotUsed)</f>
        <v>** NOT USED **</v>
      </c>
      <c r="F44" s="116"/>
      <c r="G44" s="116"/>
      <c r="H44" s="116"/>
      <c r="I44" s="116"/>
      <c r="J44" s="118"/>
      <c r="K44" s="118"/>
      <c r="L44" s="118"/>
      <c r="M44" s="266"/>
      <c r="N44" s="445" t="str">
        <f>IF(AND(F54="",N54=""),"Full year",IF(AND(F54&lt;&gt;"",N54=""),CONCATENATE(F54," ",G54),IF(AND(F54="",N54&lt;&gt;""),CONCATENATE(N54," ",G54),CONCATENATE(F54," + ",N54," ",G54))))</f>
        <v>Full year</v>
      </c>
      <c r="O44" s="266"/>
      <c r="P44" s="266"/>
      <c r="Q44" s="266"/>
      <c r="R44" s="266"/>
      <c r="S44" s="266"/>
      <c r="T44" s="266"/>
      <c r="U44" s="266"/>
      <c r="V44" s="266"/>
      <c r="W44" s="266"/>
      <c r="X44" s="266"/>
      <c r="Y44" s="266"/>
      <c r="Z44" s="266"/>
      <c r="AA44" s="266"/>
    </row>
    <row r="45" spans="2:27" hidden="1" outlineLevel="1" x14ac:dyDescent="0.2">
      <c r="F45" s="319">
        <v>1</v>
      </c>
      <c r="G45" s="319">
        <v>2</v>
      </c>
      <c r="H45" s="319">
        <v>3</v>
      </c>
      <c r="I45" s="319">
        <v>4</v>
      </c>
      <c r="J45" s="319">
        <v>5</v>
      </c>
      <c r="K45" s="319">
        <v>6</v>
      </c>
      <c r="N45" s="319">
        <v>1</v>
      </c>
      <c r="O45" s="319">
        <v>2</v>
      </c>
      <c r="P45" s="319">
        <v>3</v>
      </c>
      <c r="Q45" s="319">
        <v>4</v>
      </c>
      <c r="R45" s="319">
        <v>5</v>
      </c>
      <c r="S45" s="319">
        <v>6</v>
      </c>
    </row>
    <row r="46" spans="2:27" hidden="1" outlineLevel="1" x14ac:dyDescent="0.2">
      <c r="C46" s="103"/>
      <c r="D46" s="103"/>
      <c r="E46" t="s">
        <v>1193</v>
      </c>
    </row>
    <row r="47" spans="2:27" hidden="1" outlineLevel="1" x14ac:dyDescent="0.2">
      <c r="C47" s="103"/>
      <c r="D47" s="103"/>
      <c r="E47" s="260"/>
    </row>
    <row r="48" spans="2:27" hidden="1" outlineLevel="1" x14ac:dyDescent="0.2">
      <c r="C48" s="246">
        <f>IF(F48&lt;&gt;"",MATCH(F48,PxTxSource,0)-1,0)</f>
        <v>0</v>
      </c>
      <c r="D48" s="246">
        <f ca="1">IF(H48&lt;&gt;"",MATCH(H48,OFFSET(References!$AE$23,0,C48,PxPopMaxCount),0),0)</f>
        <v>0</v>
      </c>
      <c r="E48" s="8" t="s">
        <v>110</v>
      </c>
      <c r="F48" s="230"/>
      <c r="H48" s="580"/>
      <c r="I48" s="581"/>
      <c r="J48" s="581"/>
      <c r="K48" s="581"/>
      <c r="M48" s="217"/>
      <c r="N48" s="542" t="str">
        <f ca="1">IF(ISERROR($D49)=TRUE,MsgError &amp; VLOOKUP("BadPop",ErrorMessages,2,FALSE),"")</f>
        <v/>
      </c>
      <c r="O48" s="542"/>
      <c r="P48" s="542"/>
      <c r="Q48" s="542"/>
      <c r="R48" s="542"/>
      <c r="S48" s="542"/>
    </row>
    <row r="49" spans="3:27" hidden="1" outlineLevel="1" x14ac:dyDescent="0.2">
      <c r="C49" s="246">
        <f>INDEX(PxTxValid,,C48+1)</f>
        <v>1</v>
      </c>
      <c r="D49" s="246" t="str">
        <f ca="1">IF(AND(C48=0,D48=0),"",(C48*PxPopMaxCount)+D48)</f>
        <v/>
      </c>
      <c r="E49" s="103"/>
    </row>
    <row r="50" spans="3:27" hidden="1" outlineLevel="1" x14ac:dyDescent="0.2">
      <c r="E50" s="357"/>
      <c r="F50" s="74">
        <f>FirstYear</f>
        <v>2026</v>
      </c>
      <c r="G50" s="74">
        <f>F50+1</f>
        <v>2027</v>
      </c>
      <c r="H50" s="74">
        <f>G50+1</f>
        <v>2028</v>
      </c>
      <c r="I50" s="74">
        <f>H50+1</f>
        <v>2029</v>
      </c>
      <c r="J50" s="74">
        <f>I50+1</f>
        <v>2030</v>
      </c>
      <c r="K50" s="74">
        <f>J50+1</f>
        <v>2031</v>
      </c>
      <c r="L50" s="103"/>
      <c r="N50" s="74">
        <f>FirstYear</f>
        <v>2026</v>
      </c>
      <c r="O50" s="74">
        <f>N50+1</f>
        <v>2027</v>
      </c>
      <c r="P50" s="74">
        <f>O50+1</f>
        <v>2028</v>
      </c>
      <c r="Q50" s="74">
        <f>P50+1</f>
        <v>2029</v>
      </c>
      <c r="R50" s="74">
        <f>Q50+1</f>
        <v>2030</v>
      </c>
      <c r="S50" s="74">
        <f>R50+1</f>
        <v>2031</v>
      </c>
    </row>
    <row r="51" spans="3:27" hidden="1" outlineLevel="1" x14ac:dyDescent="0.2">
      <c r="E51" s="53" t="str">
        <f>TxPhase1Px</f>
        <v/>
      </c>
      <c r="F51" s="27">
        <f ca="1">IFERROR(INDEX(PxTxPhase1,$D49,F45),0)</f>
        <v>0</v>
      </c>
      <c r="G51" s="27">
        <f t="shared" ref="G51:K51" ca="1" si="16">IFERROR(INDEX(PxTxPhase1,$D49,G45),0)</f>
        <v>0</v>
      </c>
      <c r="H51" s="27">
        <f t="shared" ca="1" si="16"/>
        <v>0</v>
      </c>
      <c r="I51" s="27">
        <f t="shared" ca="1" si="16"/>
        <v>0</v>
      </c>
      <c r="J51" s="27">
        <f t="shared" ca="1" si="16"/>
        <v>0</v>
      </c>
      <c r="K51" s="27">
        <f t="shared" ca="1" si="16"/>
        <v>0</v>
      </c>
      <c r="L51" s="103"/>
      <c r="M51" s="53" t="str">
        <f>TxPhase2Px</f>
        <v/>
      </c>
      <c r="N51" s="27">
        <f t="shared" ref="N51:S51" ca="1" si="17">IFERROR(INDEX(PxTxPhase2,$D49,N45),0)</f>
        <v>0</v>
      </c>
      <c r="O51" s="27">
        <f t="shared" ca="1" si="17"/>
        <v>0</v>
      </c>
      <c r="P51" s="27">
        <f t="shared" ca="1" si="17"/>
        <v>0</v>
      </c>
      <c r="Q51" s="27">
        <f t="shared" ca="1" si="17"/>
        <v>0</v>
      </c>
      <c r="R51" s="27">
        <f t="shared" ca="1" si="17"/>
        <v>0</v>
      </c>
      <c r="S51" s="27">
        <f t="shared" ca="1" si="17"/>
        <v>0</v>
      </c>
    </row>
    <row r="52" spans="3:27" hidden="1" outlineLevel="1" x14ac:dyDescent="0.2">
      <c r="L52" s="103"/>
    </row>
    <row r="53" spans="3:27" hidden="1" outlineLevel="1" x14ac:dyDescent="0.2">
      <c r="E53" s="103"/>
      <c r="F53" s="103"/>
      <c r="G53" s="103"/>
      <c r="H53" s="103"/>
      <c r="I53" s="103"/>
      <c r="J53" s="103"/>
      <c r="K53" s="103"/>
      <c r="L53" s="103"/>
      <c r="M53" s="103"/>
      <c r="U53" s="411"/>
      <c r="V53" s="412">
        <f>$W63*1</f>
        <v>0</v>
      </c>
      <c r="W53" s="412">
        <f>$W63*2</f>
        <v>0</v>
      </c>
      <c r="X53" s="412">
        <f>$W63*3</f>
        <v>0</v>
      </c>
      <c r="Y53" s="412">
        <f>$W63*4</f>
        <v>0</v>
      </c>
      <c r="Z53" s="412">
        <f>$W63*5</f>
        <v>0</v>
      </c>
      <c r="AA53" s="412">
        <f>$W63*6</f>
        <v>0</v>
      </c>
    </row>
    <row r="54" spans="3:27" hidden="1" outlineLevel="1" x14ac:dyDescent="0.2">
      <c r="E54" s="82" t="s">
        <v>1147</v>
      </c>
      <c r="F54" s="390"/>
      <c r="G54" s="227"/>
      <c r="H54" s="378"/>
      <c r="I54" s="378"/>
      <c r="J54" s="378"/>
      <c r="K54" s="378"/>
      <c r="L54" s="103"/>
      <c r="M54" s="82" t="s">
        <v>1147</v>
      </c>
      <c r="N54" s="390"/>
      <c r="O54" s="418" t="str">
        <f>IF(G54&lt;&gt;"",G54,"")</f>
        <v/>
      </c>
      <c r="P54" s="378"/>
      <c r="Q54" s="378"/>
      <c r="R54" s="378"/>
      <c r="S54" s="378"/>
      <c r="U54" s="413" t="s">
        <v>1143</v>
      </c>
      <c r="V54" s="414">
        <f>IF($F54&gt;=V53,$W63,IF($F54&gt;0,$F54,0))</f>
        <v>0</v>
      </c>
      <c r="W54" s="414">
        <f>IF($F54&gt;=W53,$W$41,IF($F54&gt;V53,($F54-V53),0))</f>
        <v>0</v>
      </c>
      <c r="X54" s="414">
        <f>IF($F54&gt;=X53,$W$41,IF($F54&gt;W53,($F54-W53),0))</f>
        <v>0</v>
      </c>
      <c r="Y54" s="414">
        <f>IF($F54&gt;=Y53,$W$41,IF($F54&gt;X53,($F54-X53),0))</f>
        <v>0</v>
      </c>
      <c r="Z54" s="414">
        <f>IF($F54&gt;=Z53,$W$41,IF($F54&gt;Y53,($F54-Y53),0))</f>
        <v>0</v>
      </c>
      <c r="AA54" s="414">
        <f>IF($F54&gt;=AA53,$W$41,IF($F54&gt;Z53,($F54-Z53),0))</f>
        <v>0</v>
      </c>
    </row>
    <row r="55" spans="3:27" hidden="1" outlineLevel="1" x14ac:dyDescent="0.2">
      <c r="L55" s="103"/>
      <c r="M55" s="437"/>
      <c r="N55" s="438"/>
      <c r="O55" s="438"/>
      <c r="P55" s="438"/>
      <c r="Q55" s="438"/>
      <c r="R55" s="438"/>
      <c r="S55" s="438"/>
      <c r="U55" s="415" t="s">
        <v>1144</v>
      </c>
      <c r="V55" s="412">
        <f t="shared" ref="V55:AA55" si="18">IF(V54&gt;0,$W63-V54,$W63)</f>
        <v>0</v>
      </c>
      <c r="W55" s="412">
        <f t="shared" si="18"/>
        <v>0</v>
      </c>
      <c r="X55" s="412">
        <f t="shared" si="18"/>
        <v>0</v>
      </c>
      <c r="Y55" s="412">
        <f t="shared" si="18"/>
        <v>0</v>
      </c>
      <c r="Z55" s="412">
        <f t="shared" si="18"/>
        <v>0</v>
      </c>
      <c r="AA55" s="412">
        <f t="shared" si="18"/>
        <v>0</v>
      </c>
    </row>
    <row r="56" spans="3:27" hidden="1" outlineLevel="1" x14ac:dyDescent="0.2">
      <c r="E56" s="437" t="str">
        <f>E51</f>
        <v/>
      </c>
      <c r="F56" s="419"/>
      <c r="G56" s="419"/>
      <c r="H56" s="419"/>
      <c r="I56" s="419"/>
      <c r="J56" s="419"/>
      <c r="K56" s="419"/>
      <c r="L56" s="103"/>
      <c r="M56" s="437" t="str">
        <f>M51</f>
        <v/>
      </c>
      <c r="N56" s="439"/>
      <c r="O56" s="440"/>
      <c r="P56" s="440"/>
      <c r="Q56" s="440"/>
      <c r="R56" s="440"/>
      <c r="S56" s="440"/>
      <c r="U56" s="378"/>
      <c r="V56" s="378"/>
      <c r="W56" s="378"/>
      <c r="X56" s="378"/>
      <c r="Y56" s="378"/>
      <c r="Z56" s="378"/>
      <c r="AA56" s="378"/>
    </row>
    <row r="57" spans="3:27" hidden="1" outlineLevel="1" x14ac:dyDescent="0.2">
      <c r="E57" s="81" t="s">
        <v>1194</v>
      </c>
      <c r="F57" s="57">
        <f ca="1">$F51*V60</f>
        <v>0</v>
      </c>
      <c r="G57" s="57">
        <f t="shared" ref="G57" ca="1" si="19">$F51*W60</f>
        <v>0</v>
      </c>
      <c r="H57" s="57">
        <f t="shared" ref="H57" ca="1" si="20">$F51*X60</f>
        <v>0</v>
      </c>
      <c r="I57" s="57">
        <f t="shared" ref="I57" ca="1" si="21">$F51*Y60</f>
        <v>0</v>
      </c>
      <c r="J57" s="57">
        <f t="shared" ref="J57" ca="1" si="22">$F51*Z60</f>
        <v>0</v>
      </c>
      <c r="K57" s="57">
        <f t="shared" ref="K57" ca="1" si="23">$F51*AA60</f>
        <v>0</v>
      </c>
      <c r="L57" s="103"/>
      <c r="M57" s="81" t="s">
        <v>1194</v>
      </c>
      <c r="N57" s="57">
        <f ca="1">$N51*V61</f>
        <v>0</v>
      </c>
      <c r="O57" s="57">
        <f ca="1">$N51*W61</f>
        <v>0</v>
      </c>
      <c r="P57" s="57">
        <f t="shared" ref="P57" ca="1" si="24">$N51*X61</f>
        <v>0</v>
      </c>
      <c r="Q57" s="57">
        <f t="shared" ref="Q57" ca="1" si="25">$N51*Y61</f>
        <v>0</v>
      </c>
      <c r="R57" s="57">
        <f t="shared" ref="R57" ca="1" si="26">$N51*Z61</f>
        <v>0</v>
      </c>
      <c r="S57" s="57">
        <f t="shared" ref="S57" ca="1" si="27">$N51*AA61</f>
        <v>0</v>
      </c>
      <c r="U57" s="415" t="s">
        <v>1145</v>
      </c>
      <c r="V57" s="414">
        <f>IF($N54&gt;=V55,V55,N54)</f>
        <v>0</v>
      </c>
      <c r="W57" s="414">
        <f>IF(V58&gt;=W55,W55,V58)</f>
        <v>0</v>
      </c>
      <c r="X57" s="414">
        <f>IF(W58&gt;=X55,X55,W58)</f>
        <v>0</v>
      </c>
      <c r="Y57" s="414">
        <f>IF(X58&gt;=Y55,Y55,X58)</f>
        <v>0</v>
      </c>
      <c r="Z57" s="414">
        <f>IF(Y58&gt;=Z55,Z55,Y58)</f>
        <v>0</v>
      </c>
      <c r="AA57" s="414">
        <f>IF(Z58&gt;=AA55,AA55,Z58)</f>
        <v>0</v>
      </c>
    </row>
    <row r="58" spans="3:27" hidden="1" outlineLevel="1" x14ac:dyDescent="0.2">
      <c r="E58" s="81" t="s">
        <v>1195</v>
      </c>
      <c r="F58" s="115"/>
      <c r="G58" s="57">
        <f ca="1">$G51*V60</f>
        <v>0</v>
      </c>
      <c r="H58" s="57">
        <f t="shared" ref="H58" ca="1" si="28">$G51*W60</f>
        <v>0</v>
      </c>
      <c r="I58" s="57">
        <f t="shared" ref="I58" ca="1" si="29">$G51*X60</f>
        <v>0</v>
      </c>
      <c r="J58" s="57">
        <f t="shared" ref="J58" ca="1" si="30">$G51*Y60</f>
        <v>0</v>
      </c>
      <c r="K58" s="57">
        <f t="shared" ref="K58" ca="1" si="31">$G51*Z60</f>
        <v>0</v>
      </c>
      <c r="L58" s="103"/>
      <c r="M58" s="81" t="s">
        <v>1195</v>
      </c>
      <c r="N58" s="115"/>
      <c r="O58" s="57">
        <f ca="1">$O51*V61</f>
        <v>0</v>
      </c>
      <c r="P58" s="57">
        <f t="shared" ref="P58" ca="1" si="32">$O51*W61</f>
        <v>0</v>
      </c>
      <c r="Q58" s="57">
        <f t="shared" ref="Q58" ca="1" si="33">$O51*X61</f>
        <v>0</v>
      </c>
      <c r="R58" s="57">
        <f t="shared" ref="R58" ca="1" si="34">$O51*Y61</f>
        <v>0</v>
      </c>
      <c r="S58" s="57">
        <f t="shared" ref="S58" ca="1" si="35">$O51*Z61</f>
        <v>0</v>
      </c>
      <c r="U58" s="415" t="s">
        <v>1146</v>
      </c>
      <c r="V58" s="412">
        <f>$N54-V57</f>
        <v>0</v>
      </c>
      <c r="W58" s="412">
        <f>$N54-SUM($V57:W57)</f>
        <v>0</v>
      </c>
      <c r="X58" s="412">
        <f>$N54-SUM($V57:X57)</f>
        <v>0</v>
      </c>
      <c r="Y58" s="412">
        <f>$N54-SUM($V57:Y57)</f>
        <v>0</v>
      </c>
      <c r="Z58" s="412">
        <f>$N54-SUM($V57:Z57)</f>
        <v>0</v>
      </c>
      <c r="AA58" s="412">
        <f>$N54-SUM($V57:AA57)</f>
        <v>0</v>
      </c>
    </row>
    <row r="59" spans="3:27" hidden="1" outlineLevel="1" x14ac:dyDescent="0.2">
      <c r="E59" s="81" t="s">
        <v>1196</v>
      </c>
      <c r="F59" s="115"/>
      <c r="G59" s="115"/>
      <c r="H59" s="57">
        <f ca="1">$H51*V60</f>
        <v>0</v>
      </c>
      <c r="I59" s="57">
        <f t="shared" ref="I59" ca="1" si="36">$H51*W60</f>
        <v>0</v>
      </c>
      <c r="J59" s="57">
        <f t="shared" ref="J59" ca="1" si="37">$H51*X60</f>
        <v>0</v>
      </c>
      <c r="K59" s="57">
        <f t="shared" ref="K59" ca="1" si="38">$H51*Y60</f>
        <v>0</v>
      </c>
      <c r="L59" s="103"/>
      <c r="M59" s="81" t="s">
        <v>1196</v>
      </c>
      <c r="N59" s="115"/>
      <c r="O59" s="115"/>
      <c r="P59" s="57">
        <f ca="1">$P51*V61</f>
        <v>0</v>
      </c>
      <c r="Q59" s="57">
        <f t="shared" ref="Q59" ca="1" si="39">$P51*W61</f>
        <v>0</v>
      </c>
      <c r="R59" s="57">
        <f t="shared" ref="R59" ca="1" si="40">$P51*X61</f>
        <v>0</v>
      </c>
      <c r="S59" s="57">
        <f t="shared" ref="S59" ca="1" si="41">$P51*Y61</f>
        <v>0</v>
      </c>
      <c r="V59" s="416"/>
      <c r="AA59" s="378"/>
    </row>
    <row r="60" spans="3:27" hidden="1" outlineLevel="1" x14ac:dyDescent="0.2">
      <c r="E60" s="81" t="s">
        <v>1197</v>
      </c>
      <c r="F60" s="115"/>
      <c r="G60" s="115"/>
      <c r="H60" s="115"/>
      <c r="I60" s="57">
        <f ca="1">$I51*V60</f>
        <v>0</v>
      </c>
      <c r="J60" s="57">
        <f t="shared" ref="J60" ca="1" si="42">$I51*W60</f>
        <v>0</v>
      </c>
      <c r="K60" s="57">
        <f t="shared" ref="K60" ca="1" si="43">$I51*X60</f>
        <v>0</v>
      </c>
      <c r="L60" s="103"/>
      <c r="M60" s="81" t="s">
        <v>1197</v>
      </c>
      <c r="N60" s="115"/>
      <c r="O60" s="115"/>
      <c r="P60" s="115"/>
      <c r="Q60" s="57">
        <f ca="1">$Q51*V61</f>
        <v>0</v>
      </c>
      <c r="R60" s="57">
        <f t="shared" ref="R60" ca="1" si="44">$Q51*W61</f>
        <v>0</v>
      </c>
      <c r="S60" s="57">
        <f t="shared" ref="S60" ca="1" si="45">$Q51*X61</f>
        <v>0</v>
      </c>
      <c r="U60" s="413" t="s">
        <v>1143</v>
      </c>
      <c r="V60" s="417">
        <f t="shared" ref="V60:AA60" si="46">IFERROR(V54/$W63,0)</f>
        <v>0</v>
      </c>
      <c r="W60" s="417">
        <f t="shared" si="46"/>
        <v>0</v>
      </c>
      <c r="X60" s="417">
        <f t="shared" si="46"/>
        <v>0</v>
      </c>
      <c r="Y60" s="417">
        <f t="shared" si="46"/>
        <v>0</v>
      </c>
      <c r="Z60" s="417">
        <f t="shared" si="46"/>
        <v>0</v>
      </c>
      <c r="AA60" s="417">
        <f t="shared" si="46"/>
        <v>0</v>
      </c>
    </row>
    <row r="61" spans="3:27" hidden="1" outlineLevel="1" x14ac:dyDescent="0.2">
      <c r="E61" s="81" t="s">
        <v>1198</v>
      </c>
      <c r="F61" s="115"/>
      <c r="G61" s="115"/>
      <c r="H61" s="115"/>
      <c r="I61" s="115"/>
      <c r="J61" s="57">
        <f ca="1">$J51*V60</f>
        <v>0</v>
      </c>
      <c r="K61" s="57">
        <f ca="1">$J51*W60</f>
        <v>0</v>
      </c>
      <c r="L61" s="103"/>
      <c r="M61" s="81" t="s">
        <v>1198</v>
      </c>
      <c r="N61" s="115"/>
      <c r="O61" s="115"/>
      <c r="P61" s="115"/>
      <c r="Q61" s="115"/>
      <c r="R61" s="57">
        <f ca="1">$R51*V61</f>
        <v>0</v>
      </c>
      <c r="S61" s="57">
        <f ca="1">$R51*W61</f>
        <v>0</v>
      </c>
      <c r="U61" s="415" t="s">
        <v>1145</v>
      </c>
      <c r="V61" s="417">
        <f t="shared" ref="V61:AA61" si="47">IFERROR(V57/$W63,0)</f>
        <v>0</v>
      </c>
      <c r="W61" s="417">
        <f t="shared" si="47"/>
        <v>0</v>
      </c>
      <c r="X61" s="417">
        <f t="shared" si="47"/>
        <v>0</v>
      </c>
      <c r="Y61" s="417">
        <f t="shared" si="47"/>
        <v>0</v>
      </c>
      <c r="Z61" s="417">
        <f t="shared" si="47"/>
        <v>0</v>
      </c>
      <c r="AA61" s="417">
        <f t="shared" si="47"/>
        <v>0</v>
      </c>
    </row>
    <row r="62" spans="3:27" hidden="1" outlineLevel="1" x14ac:dyDescent="0.2">
      <c r="E62" s="81" t="s">
        <v>1199</v>
      </c>
      <c r="F62" s="115"/>
      <c r="G62" s="115"/>
      <c r="H62" s="115"/>
      <c r="I62" s="115"/>
      <c r="J62" s="115"/>
      <c r="K62" s="57">
        <f ca="1">$K51*V60</f>
        <v>0</v>
      </c>
      <c r="L62" s="103"/>
      <c r="M62" s="81" t="s">
        <v>1199</v>
      </c>
      <c r="N62" s="115"/>
      <c r="O62" s="115"/>
      <c r="P62" s="115"/>
      <c r="Q62" s="115"/>
      <c r="R62" s="115"/>
      <c r="S62" s="57">
        <f ca="1">$S51*V61</f>
        <v>0</v>
      </c>
    </row>
    <row r="63" spans="3:27" hidden="1" outlineLevel="1" x14ac:dyDescent="0.2">
      <c r="E63" s="420" t="str">
        <f>TxPhase1PxUnitsTx</f>
        <v/>
      </c>
      <c r="F63" s="421">
        <f ca="1">IF(F54&lt;&gt;"",SUM(F57:F62),F51)</f>
        <v>0</v>
      </c>
      <c r="G63" s="421">
        <f ca="1">IF(F54&lt;&gt;"",SUM(G57:G62),G51)</f>
        <v>0</v>
      </c>
      <c r="H63" s="421">
        <f ca="1">IF(F54&lt;&gt;"",SUM(H57:H62),H51)</f>
        <v>0</v>
      </c>
      <c r="I63" s="421">
        <f ca="1">IF(F54&lt;&gt;"",SUM(I57:I62),I51)</f>
        <v>0</v>
      </c>
      <c r="J63" s="421">
        <f ca="1">IF(F54&lt;&gt;"",SUM(J57:J62),J51)</f>
        <v>0</v>
      </c>
      <c r="K63" s="421">
        <f ca="1">IF(F54&lt;&gt;"",SUM(K57:K62),K51)</f>
        <v>0</v>
      </c>
      <c r="L63" s="103"/>
      <c r="M63" s="420" t="str">
        <f>TxPhase2PxUnitsTx</f>
        <v/>
      </c>
      <c r="N63" s="421">
        <f ca="1">IF(N54&lt;&gt;"",SUM(N57:N62),N51)</f>
        <v>0</v>
      </c>
      <c r="O63" s="421">
        <f ca="1">IF(N54&lt;&gt;"",SUM(O57:O62),O51)</f>
        <v>0</v>
      </c>
      <c r="P63" s="421">
        <f ca="1">IF(N54&lt;&gt;"",SUM(P57:P62),P51)</f>
        <v>0</v>
      </c>
      <c r="Q63" s="421">
        <f ca="1">IF(N54&lt;&gt;"",SUM(Q57:Q62),Q51)</f>
        <v>0</v>
      </c>
      <c r="R63" s="421">
        <f ca="1">IF(N54&lt;&gt;"",SUM(R57:R62),R51)</f>
        <v>0</v>
      </c>
      <c r="S63" s="421">
        <f ca="1">IF(N54&lt;&gt;"",SUM(S57:S62),S51)</f>
        <v>0</v>
      </c>
      <c r="U63" s="415" t="s">
        <v>1148</v>
      </c>
      <c r="V63" s="412">
        <f>IFERROR(VLOOKUP(G54,TimeUnitCode,2,FALSE),0)</f>
        <v>0</v>
      </c>
      <c r="W63" s="412">
        <f>IFERROR(INDEX(TimeUnitCount,V63,2),0)</f>
        <v>0</v>
      </c>
    </row>
    <row r="64" spans="3:27" hidden="1" outlineLevel="1" x14ac:dyDescent="0.2"/>
    <row r="65" spans="2:27" collapsed="1" x14ac:dyDescent="0.2"/>
    <row r="66" spans="2:27" ht="15.75" x14ac:dyDescent="0.2">
      <c r="B66" s="246">
        <f>IF(F76+N76&gt;12,1,0)</f>
        <v>0</v>
      </c>
      <c r="C66" s="246">
        <f ca="1">IFERROR(INDEX(PxTxPhase1,$D71,7),0)</f>
        <v>0</v>
      </c>
      <c r="D66" s="396">
        <v>3</v>
      </c>
      <c r="E66" s="72" t="str">
        <f>IF(F70&lt;&gt;"",CONCATENATE("DTG ",D66,": ",H70,": ",N66),MsgNotUsed)</f>
        <v>** NOT USED **</v>
      </c>
      <c r="F66" s="116"/>
      <c r="G66" s="116"/>
      <c r="H66" s="116"/>
      <c r="I66" s="116"/>
      <c r="J66" s="118"/>
      <c r="K66" s="118"/>
      <c r="L66" s="118"/>
      <c r="M66" s="266"/>
      <c r="N66" s="445" t="str">
        <f>IF(AND(F76="",N76=""),"Full year",IF(AND(F76&lt;&gt;"",N76=""),CONCATENATE(F76," ",G76),IF(AND(F76="",N76&lt;&gt;""),CONCATENATE(N76," ",G76),CONCATENATE(F76," + ",N76," ",G76))))</f>
        <v>Full year</v>
      </c>
      <c r="O66" s="266"/>
      <c r="P66" s="266"/>
      <c r="Q66" s="266"/>
      <c r="R66" s="266"/>
      <c r="S66" s="266"/>
      <c r="T66" s="266"/>
      <c r="U66" s="266"/>
      <c r="V66" s="266"/>
      <c r="W66" s="266"/>
      <c r="X66" s="266"/>
      <c r="Y66" s="266"/>
      <c r="Z66" s="266"/>
      <c r="AA66" s="266"/>
    </row>
    <row r="67" spans="2:27" hidden="1" outlineLevel="1" x14ac:dyDescent="0.2">
      <c r="F67" s="319">
        <v>1</v>
      </c>
      <c r="G67" s="319">
        <v>2</v>
      </c>
      <c r="H67" s="319">
        <v>3</v>
      </c>
      <c r="I67" s="319">
        <v>4</v>
      </c>
      <c r="J67" s="319">
        <v>5</v>
      </c>
      <c r="K67" s="319">
        <v>6</v>
      </c>
      <c r="N67" s="319">
        <v>1</v>
      </c>
      <c r="O67" s="319">
        <v>2</v>
      </c>
      <c r="P67" s="319">
        <v>3</v>
      </c>
      <c r="Q67" s="319">
        <v>4</v>
      </c>
      <c r="R67" s="319">
        <v>5</v>
      </c>
      <c r="S67" s="319">
        <v>6</v>
      </c>
    </row>
    <row r="68" spans="2:27" hidden="1" outlineLevel="1" x14ac:dyDescent="0.2">
      <c r="C68" s="103"/>
      <c r="D68" s="103"/>
      <c r="E68" t="s">
        <v>1193</v>
      </c>
    </row>
    <row r="69" spans="2:27" hidden="1" outlineLevel="1" x14ac:dyDescent="0.2">
      <c r="C69" s="103"/>
      <c r="D69" s="103"/>
      <c r="E69" s="260"/>
    </row>
    <row r="70" spans="2:27" hidden="1" outlineLevel="1" x14ac:dyDescent="0.2">
      <c r="C70" s="246">
        <f>IF(F70&lt;&gt;"",MATCH(F70,PxTxSource,0)-1,0)</f>
        <v>0</v>
      </c>
      <c r="D70" s="246">
        <f ca="1">IF(H70&lt;&gt;"",MATCH(H70,OFFSET(References!$AE$23,0,C70,PxPopMaxCount),0),0)</f>
        <v>0</v>
      </c>
      <c r="E70" s="8" t="s">
        <v>110</v>
      </c>
      <c r="F70" s="230"/>
      <c r="H70" s="580"/>
      <c r="I70" s="581"/>
      <c r="J70" s="581"/>
      <c r="K70" s="581"/>
      <c r="M70" s="217"/>
      <c r="N70" s="542" t="str">
        <f ca="1">IF(ISERROR($D71)=TRUE,MsgError &amp; VLOOKUP("BadPop",ErrorMessages,2,FALSE),"")</f>
        <v/>
      </c>
      <c r="O70" s="542"/>
      <c r="P70" s="542"/>
      <c r="Q70" s="542"/>
      <c r="R70" s="542"/>
      <c r="S70" s="542"/>
    </row>
    <row r="71" spans="2:27" hidden="1" outlineLevel="1" x14ac:dyDescent="0.2">
      <c r="C71" s="246">
        <f>INDEX(PxTxValid,,C70+1)</f>
        <v>1</v>
      </c>
      <c r="D71" s="246" t="str">
        <f ca="1">IF(AND(C70=0,D70=0),"",(C70*PxPopMaxCount)+D70)</f>
        <v/>
      </c>
      <c r="E71" s="103"/>
    </row>
    <row r="72" spans="2:27" hidden="1" outlineLevel="1" x14ac:dyDescent="0.2">
      <c r="E72" s="357"/>
      <c r="F72" s="74">
        <f>FirstYear</f>
        <v>2026</v>
      </c>
      <c r="G72" s="74">
        <f>F72+1</f>
        <v>2027</v>
      </c>
      <c r="H72" s="74">
        <f>G72+1</f>
        <v>2028</v>
      </c>
      <c r="I72" s="74">
        <f>H72+1</f>
        <v>2029</v>
      </c>
      <c r="J72" s="74">
        <f>I72+1</f>
        <v>2030</v>
      </c>
      <c r="K72" s="74">
        <f>J72+1</f>
        <v>2031</v>
      </c>
      <c r="L72" s="103"/>
      <c r="N72" s="74">
        <f>FirstYear</f>
        <v>2026</v>
      </c>
      <c r="O72" s="74">
        <f>N72+1</f>
        <v>2027</v>
      </c>
      <c r="P72" s="74">
        <f>O72+1</f>
        <v>2028</v>
      </c>
      <c r="Q72" s="74">
        <f>P72+1</f>
        <v>2029</v>
      </c>
      <c r="R72" s="74">
        <f>Q72+1</f>
        <v>2030</v>
      </c>
      <c r="S72" s="74">
        <f>R72+1</f>
        <v>2031</v>
      </c>
    </row>
    <row r="73" spans="2:27" hidden="1" outlineLevel="1" x14ac:dyDescent="0.2">
      <c r="E73" s="53" t="str">
        <f>TxPhase1Px</f>
        <v/>
      </c>
      <c r="F73" s="27">
        <f t="shared" ref="F73:K73" ca="1" si="48">IFERROR(INDEX(PxTxPhase1,$D71,F67),0)</f>
        <v>0</v>
      </c>
      <c r="G73" s="27">
        <f t="shared" ca="1" si="48"/>
        <v>0</v>
      </c>
      <c r="H73" s="27">
        <f t="shared" ca="1" si="48"/>
        <v>0</v>
      </c>
      <c r="I73" s="27">
        <f t="shared" ca="1" si="48"/>
        <v>0</v>
      </c>
      <c r="J73" s="27">
        <f t="shared" ca="1" si="48"/>
        <v>0</v>
      </c>
      <c r="K73" s="27">
        <f t="shared" ca="1" si="48"/>
        <v>0</v>
      </c>
      <c r="L73" s="103"/>
      <c r="M73" s="53" t="str">
        <f>TxPhase2Px</f>
        <v/>
      </c>
      <c r="N73" s="27">
        <f t="shared" ref="N73:S73" ca="1" si="49">IFERROR(INDEX(PxTxPhase2,$D71,N67),0)</f>
        <v>0</v>
      </c>
      <c r="O73" s="27">
        <f t="shared" ca="1" si="49"/>
        <v>0</v>
      </c>
      <c r="P73" s="27">
        <f t="shared" ca="1" si="49"/>
        <v>0</v>
      </c>
      <c r="Q73" s="27">
        <f t="shared" ca="1" si="49"/>
        <v>0</v>
      </c>
      <c r="R73" s="27">
        <f t="shared" ca="1" si="49"/>
        <v>0</v>
      </c>
      <c r="S73" s="27">
        <f t="shared" ca="1" si="49"/>
        <v>0</v>
      </c>
    </row>
    <row r="74" spans="2:27" hidden="1" outlineLevel="1" x14ac:dyDescent="0.2">
      <c r="L74" s="103"/>
    </row>
    <row r="75" spans="2:27" hidden="1" outlineLevel="1" x14ac:dyDescent="0.2">
      <c r="E75" s="103"/>
      <c r="F75" s="103"/>
      <c r="G75" s="103"/>
      <c r="H75" s="103"/>
      <c r="I75" s="103"/>
      <c r="J75" s="103"/>
      <c r="K75" s="103"/>
      <c r="L75" s="103"/>
      <c r="M75" s="103"/>
      <c r="U75" s="411"/>
      <c r="V75" s="412">
        <f>$W85*1</f>
        <v>0</v>
      </c>
      <c r="W75" s="412">
        <f>$W85*2</f>
        <v>0</v>
      </c>
      <c r="X75" s="412">
        <f>$W85*3</f>
        <v>0</v>
      </c>
      <c r="Y75" s="412">
        <f>$W85*4</f>
        <v>0</v>
      </c>
      <c r="Z75" s="412">
        <f>$W85*5</f>
        <v>0</v>
      </c>
      <c r="AA75" s="412">
        <f>$W85*6</f>
        <v>0</v>
      </c>
    </row>
    <row r="76" spans="2:27" hidden="1" outlineLevel="1" x14ac:dyDescent="0.2">
      <c r="E76" s="82" t="s">
        <v>1147</v>
      </c>
      <c r="F76" s="390"/>
      <c r="G76" s="227"/>
      <c r="H76" s="378"/>
      <c r="I76" s="378"/>
      <c r="J76" s="378"/>
      <c r="K76" s="378"/>
      <c r="L76" s="103"/>
      <c r="M76" s="82" t="s">
        <v>1147</v>
      </c>
      <c r="N76" s="390"/>
      <c r="O76" s="418" t="str">
        <f>IF(G76&lt;&gt;"",G76,"")</f>
        <v/>
      </c>
      <c r="P76" s="378"/>
      <c r="Q76" s="378"/>
      <c r="R76" s="378"/>
      <c r="S76" s="378"/>
      <c r="U76" s="413" t="s">
        <v>1143</v>
      </c>
      <c r="V76" s="414">
        <f>IF($F76&gt;=V75,$W85,IF($F76&gt;0,$F76,0))</f>
        <v>0</v>
      </c>
      <c r="W76" s="414">
        <f>IF($F76&gt;=W75,$W$41,IF($F76&gt;V75,($F76-V75),0))</f>
        <v>0</v>
      </c>
      <c r="X76" s="414">
        <f>IF($F76&gt;=X75,$W$41,IF($F76&gt;W75,($F76-W75),0))</f>
        <v>0</v>
      </c>
      <c r="Y76" s="414">
        <f>IF($F76&gt;=Y75,$W$41,IF($F76&gt;X75,($F76-X75),0))</f>
        <v>0</v>
      </c>
      <c r="Z76" s="414">
        <f>IF($F76&gt;=Z75,$W$41,IF($F76&gt;Y75,($F76-Y75),0))</f>
        <v>0</v>
      </c>
      <c r="AA76" s="414">
        <f>IF($F76&gt;=AA75,$W$41,IF($F76&gt;Z75,($F76-Z75),0))</f>
        <v>0</v>
      </c>
    </row>
    <row r="77" spans="2:27" hidden="1" outlineLevel="1" x14ac:dyDescent="0.2">
      <c r="L77" s="103"/>
      <c r="M77" s="437"/>
      <c r="N77" s="438"/>
      <c r="O77" s="438"/>
      <c r="P77" s="438"/>
      <c r="Q77" s="438"/>
      <c r="R77" s="438"/>
      <c r="S77" s="438"/>
      <c r="U77" s="415" t="s">
        <v>1144</v>
      </c>
      <c r="V77" s="412">
        <f t="shared" ref="V77:AA77" si="50">IF(V76&gt;0,$W85-V76,$W85)</f>
        <v>0</v>
      </c>
      <c r="W77" s="412">
        <f t="shared" si="50"/>
        <v>0</v>
      </c>
      <c r="X77" s="412">
        <f t="shared" si="50"/>
        <v>0</v>
      </c>
      <c r="Y77" s="412">
        <f t="shared" si="50"/>
        <v>0</v>
      </c>
      <c r="Z77" s="412">
        <f t="shared" si="50"/>
        <v>0</v>
      </c>
      <c r="AA77" s="412">
        <f t="shared" si="50"/>
        <v>0</v>
      </c>
    </row>
    <row r="78" spans="2:27" hidden="1" outlineLevel="1" x14ac:dyDescent="0.2">
      <c r="E78" s="437" t="str">
        <f>E73</f>
        <v/>
      </c>
      <c r="F78" s="419"/>
      <c r="G78" s="419"/>
      <c r="H78" s="419"/>
      <c r="I78" s="419"/>
      <c r="J78" s="419"/>
      <c r="K78" s="419"/>
      <c r="L78" s="103"/>
      <c r="M78" s="437" t="str">
        <f>M73</f>
        <v/>
      </c>
      <c r="N78" s="439"/>
      <c r="O78" s="440"/>
      <c r="P78" s="440"/>
      <c r="Q78" s="440"/>
      <c r="R78" s="440"/>
      <c r="S78" s="440"/>
      <c r="U78" s="378"/>
      <c r="V78" s="378"/>
      <c r="W78" s="378"/>
      <c r="X78" s="378"/>
      <c r="Y78" s="378"/>
      <c r="Z78" s="378"/>
      <c r="AA78" s="378"/>
    </row>
    <row r="79" spans="2:27" hidden="1" outlineLevel="1" x14ac:dyDescent="0.2">
      <c r="E79" s="81" t="s">
        <v>1194</v>
      </c>
      <c r="F79" s="57">
        <f ca="1">$F73*V82</f>
        <v>0</v>
      </c>
      <c r="G79" s="57">
        <f t="shared" ref="G79" ca="1" si="51">$F73*W82</f>
        <v>0</v>
      </c>
      <c r="H79" s="57">
        <f t="shared" ref="H79" ca="1" si="52">$F73*X82</f>
        <v>0</v>
      </c>
      <c r="I79" s="57">
        <f t="shared" ref="I79" ca="1" si="53">$F73*Y82</f>
        <v>0</v>
      </c>
      <c r="J79" s="57">
        <f t="shared" ref="J79" ca="1" si="54">$F73*Z82</f>
        <v>0</v>
      </c>
      <c r="K79" s="57">
        <f t="shared" ref="K79" ca="1" si="55">$F73*AA82</f>
        <v>0</v>
      </c>
      <c r="L79" s="103"/>
      <c r="M79" s="81" t="s">
        <v>1194</v>
      </c>
      <c r="N79" s="57">
        <f ca="1">$N73*V83</f>
        <v>0</v>
      </c>
      <c r="O79" s="57">
        <f ca="1">$N73*W83</f>
        <v>0</v>
      </c>
      <c r="P79" s="57">
        <f t="shared" ref="P79" ca="1" si="56">$N73*X83</f>
        <v>0</v>
      </c>
      <c r="Q79" s="57">
        <f t="shared" ref="Q79" ca="1" si="57">$N73*Y83</f>
        <v>0</v>
      </c>
      <c r="R79" s="57">
        <f t="shared" ref="R79" ca="1" si="58">$N73*Z83</f>
        <v>0</v>
      </c>
      <c r="S79" s="57">
        <f t="shared" ref="S79" ca="1" si="59">$N73*AA83</f>
        <v>0</v>
      </c>
      <c r="U79" s="415" t="s">
        <v>1145</v>
      </c>
      <c r="V79" s="414">
        <f>IF($N76&gt;=V77,V77,N76)</f>
        <v>0</v>
      </c>
      <c r="W79" s="414">
        <f>IF(V80&gt;=W77,W77,V80)</f>
        <v>0</v>
      </c>
      <c r="X79" s="414">
        <f>IF(W80&gt;=X77,X77,W80)</f>
        <v>0</v>
      </c>
      <c r="Y79" s="414">
        <f>IF(X80&gt;=Y77,Y77,X80)</f>
        <v>0</v>
      </c>
      <c r="Z79" s="414">
        <f>IF(Y80&gt;=Z77,Z77,Y80)</f>
        <v>0</v>
      </c>
      <c r="AA79" s="414">
        <f>IF(Z80&gt;=AA77,AA77,Z80)</f>
        <v>0</v>
      </c>
    </row>
    <row r="80" spans="2:27" hidden="1" outlineLevel="1" x14ac:dyDescent="0.2">
      <c r="E80" s="81" t="s">
        <v>1195</v>
      </c>
      <c r="F80" s="115"/>
      <c r="G80" s="57">
        <f ca="1">$G73*V82</f>
        <v>0</v>
      </c>
      <c r="H80" s="57">
        <f t="shared" ref="H80" ca="1" si="60">$G73*W82</f>
        <v>0</v>
      </c>
      <c r="I80" s="57">
        <f t="shared" ref="I80" ca="1" si="61">$G73*X82</f>
        <v>0</v>
      </c>
      <c r="J80" s="57">
        <f t="shared" ref="J80" ca="1" si="62">$G73*Y82</f>
        <v>0</v>
      </c>
      <c r="K80" s="57">
        <f t="shared" ref="K80" ca="1" si="63">$G73*Z82</f>
        <v>0</v>
      </c>
      <c r="L80" s="103"/>
      <c r="M80" s="81" t="s">
        <v>1195</v>
      </c>
      <c r="N80" s="115"/>
      <c r="O80" s="57">
        <f ca="1">$O73*V83</f>
        <v>0</v>
      </c>
      <c r="P80" s="57">
        <f t="shared" ref="P80" ca="1" si="64">$O73*W83</f>
        <v>0</v>
      </c>
      <c r="Q80" s="57">
        <f t="shared" ref="Q80" ca="1" si="65">$O73*X83</f>
        <v>0</v>
      </c>
      <c r="R80" s="57">
        <f t="shared" ref="R80" ca="1" si="66">$O73*Y83</f>
        <v>0</v>
      </c>
      <c r="S80" s="57">
        <f t="shared" ref="S80" ca="1" si="67">$O73*Z83</f>
        <v>0</v>
      </c>
      <c r="U80" s="415" t="s">
        <v>1146</v>
      </c>
      <c r="V80" s="412">
        <f>$N76-V79</f>
        <v>0</v>
      </c>
      <c r="W80" s="412">
        <f>$N76-SUM($V79:W79)</f>
        <v>0</v>
      </c>
      <c r="X80" s="412">
        <f>$N76-SUM($V79:X79)</f>
        <v>0</v>
      </c>
      <c r="Y80" s="412">
        <f>$N76-SUM($V79:Y79)</f>
        <v>0</v>
      </c>
      <c r="Z80" s="412">
        <f>$N76-SUM($V79:Z79)</f>
        <v>0</v>
      </c>
      <c r="AA80" s="412">
        <f>$N76-SUM($V79:AA79)</f>
        <v>0</v>
      </c>
    </row>
    <row r="81" spans="2:27" hidden="1" outlineLevel="1" x14ac:dyDescent="0.2">
      <c r="E81" s="81" t="s">
        <v>1196</v>
      </c>
      <c r="F81" s="115"/>
      <c r="G81" s="115"/>
      <c r="H81" s="57">
        <f ca="1">$H73*V82</f>
        <v>0</v>
      </c>
      <c r="I81" s="57">
        <f t="shared" ref="I81" ca="1" si="68">$H73*W82</f>
        <v>0</v>
      </c>
      <c r="J81" s="57">
        <f t="shared" ref="J81" ca="1" si="69">$H73*X82</f>
        <v>0</v>
      </c>
      <c r="K81" s="57">
        <f t="shared" ref="K81" ca="1" si="70">$H73*Y82</f>
        <v>0</v>
      </c>
      <c r="L81" s="103"/>
      <c r="M81" s="81" t="s">
        <v>1196</v>
      </c>
      <c r="N81" s="115"/>
      <c r="O81" s="115"/>
      <c r="P81" s="57">
        <f ca="1">$P73*V83</f>
        <v>0</v>
      </c>
      <c r="Q81" s="57">
        <f t="shared" ref="Q81" ca="1" si="71">$P73*W83</f>
        <v>0</v>
      </c>
      <c r="R81" s="57">
        <f t="shared" ref="R81" ca="1" si="72">$P73*X83</f>
        <v>0</v>
      </c>
      <c r="S81" s="57">
        <f t="shared" ref="S81" ca="1" si="73">$P73*Y83</f>
        <v>0</v>
      </c>
      <c r="V81" s="416"/>
      <c r="AA81" s="378"/>
    </row>
    <row r="82" spans="2:27" hidden="1" outlineLevel="1" x14ac:dyDescent="0.2">
      <c r="E82" s="81" t="s">
        <v>1197</v>
      </c>
      <c r="F82" s="115"/>
      <c r="G82" s="115"/>
      <c r="H82" s="115"/>
      <c r="I82" s="57">
        <f ca="1">$I73*V82</f>
        <v>0</v>
      </c>
      <c r="J82" s="57">
        <f t="shared" ref="J82" ca="1" si="74">$I73*W82</f>
        <v>0</v>
      </c>
      <c r="K82" s="57">
        <f t="shared" ref="K82" ca="1" si="75">$I73*X82</f>
        <v>0</v>
      </c>
      <c r="L82" s="103"/>
      <c r="M82" s="81" t="s">
        <v>1197</v>
      </c>
      <c r="N82" s="115"/>
      <c r="O82" s="115"/>
      <c r="P82" s="115"/>
      <c r="Q82" s="57">
        <f ca="1">$Q73*V83</f>
        <v>0</v>
      </c>
      <c r="R82" s="57">
        <f t="shared" ref="R82" ca="1" si="76">$Q73*W83</f>
        <v>0</v>
      </c>
      <c r="S82" s="57">
        <f t="shared" ref="S82" ca="1" si="77">$Q73*X83</f>
        <v>0</v>
      </c>
      <c r="U82" s="413" t="s">
        <v>1143</v>
      </c>
      <c r="V82" s="417">
        <f t="shared" ref="V82:AA82" si="78">IFERROR(V76/$W85,0)</f>
        <v>0</v>
      </c>
      <c r="W82" s="417">
        <f t="shared" si="78"/>
        <v>0</v>
      </c>
      <c r="X82" s="417">
        <f t="shared" si="78"/>
        <v>0</v>
      </c>
      <c r="Y82" s="417">
        <f t="shared" si="78"/>
        <v>0</v>
      </c>
      <c r="Z82" s="417">
        <f t="shared" si="78"/>
        <v>0</v>
      </c>
      <c r="AA82" s="417">
        <f t="shared" si="78"/>
        <v>0</v>
      </c>
    </row>
    <row r="83" spans="2:27" hidden="1" outlineLevel="1" x14ac:dyDescent="0.2">
      <c r="E83" s="81" t="s">
        <v>1198</v>
      </c>
      <c r="F83" s="115"/>
      <c r="G83" s="115"/>
      <c r="H83" s="115"/>
      <c r="I83" s="115"/>
      <c r="J83" s="57">
        <f ca="1">$J73*V82</f>
        <v>0</v>
      </c>
      <c r="K83" s="57">
        <f ca="1">$J73*W82</f>
        <v>0</v>
      </c>
      <c r="L83" s="103"/>
      <c r="M83" s="81" t="s">
        <v>1198</v>
      </c>
      <c r="N83" s="115"/>
      <c r="O83" s="115"/>
      <c r="P83" s="115"/>
      <c r="Q83" s="115"/>
      <c r="R83" s="57">
        <f ca="1">$R73*V83</f>
        <v>0</v>
      </c>
      <c r="S83" s="57">
        <f ca="1">$R73*W83</f>
        <v>0</v>
      </c>
      <c r="U83" s="415" t="s">
        <v>1145</v>
      </c>
      <c r="V83" s="417">
        <f t="shared" ref="V83:AA83" si="79">IFERROR(V79/$W85,0)</f>
        <v>0</v>
      </c>
      <c r="W83" s="417">
        <f t="shared" si="79"/>
        <v>0</v>
      </c>
      <c r="X83" s="417">
        <f t="shared" si="79"/>
        <v>0</v>
      </c>
      <c r="Y83" s="417">
        <f t="shared" si="79"/>
        <v>0</v>
      </c>
      <c r="Z83" s="417">
        <f t="shared" si="79"/>
        <v>0</v>
      </c>
      <c r="AA83" s="417">
        <f t="shared" si="79"/>
        <v>0</v>
      </c>
    </row>
    <row r="84" spans="2:27" hidden="1" outlineLevel="1" x14ac:dyDescent="0.2">
      <c r="E84" s="81" t="s">
        <v>1199</v>
      </c>
      <c r="F84" s="115"/>
      <c r="G84" s="115"/>
      <c r="H84" s="115"/>
      <c r="I84" s="115"/>
      <c r="J84" s="115"/>
      <c r="K84" s="57">
        <f ca="1">$K73*V82</f>
        <v>0</v>
      </c>
      <c r="L84" s="103"/>
      <c r="M84" s="81" t="s">
        <v>1199</v>
      </c>
      <c r="N84" s="115"/>
      <c r="O84" s="115"/>
      <c r="P84" s="115"/>
      <c r="Q84" s="115"/>
      <c r="R84" s="115"/>
      <c r="S84" s="57">
        <f ca="1">$S73*V83</f>
        <v>0</v>
      </c>
    </row>
    <row r="85" spans="2:27" hidden="1" outlineLevel="1" x14ac:dyDescent="0.2">
      <c r="E85" s="420" t="str">
        <f>TxPhase1PxUnitsTx</f>
        <v/>
      </c>
      <c r="F85" s="421">
        <f ca="1">IF(F76&lt;&gt;"",SUM(F79:F84),F73)</f>
        <v>0</v>
      </c>
      <c r="G85" s="421">
        <f ca="1">IF(F76&lt;&gt;"",SUM(G79:G84),G73)</f>
        <v>0</v>
      </c>
      <c r="H85" s="421">
        <f ca="1">IF(F76&lt;&gt;"",SUM(H79:H84),H73)</f>
        <v>0</v>
      </c>
      <c r="I85" s="421">
        <f ca="1">IF(F76&lt;&gt;"",SUM(I79:I84),I73)</f>
        <v>0</v>
      </c>
      <c r="J85" s="421">
        <f ca="1">IF(F76&lt;&gt;"",SUM(J79:J84),J73)</f>
        <v>0</v>
      </c>
      <c r="K85" s="421">
        <f ca="1">IF(F76&lt;&gt;"",SUM(K79:K84),K73)</f>
        <v>0</v>
      </c>
      <c r="L85" s="103"/>
      <c r="M85" s="420" t="str">
        <f>TxPhase2PxUnitsTx</f>
        <v/>
      </c>
      <c r="N85" s="421">
        <f ca="1">IF(N76&lt;&gt;"",SUM(N79:N84),N73)</f>
        <v>0</v>
      </c>
      <c r="O85" s="421">
        <f ca="1">IF(N76&lt;&gt;"",SUM(O79:O84),O73)</f>
        <v>0</v>
      </c>
      <c r="P85" s="421">
        <f ca="1">IF(N76&lt;&gt;"",SUM(P79:P84),P73)</f>
        <v>0</v>
      </c>
      <c r="Q85" s="421">
        <f ca="1">IF(N76&lt;&gt;"",SUM(Q79:Q84),Q73)</f>
        <v>0</v>
      </c>
      <c r="R85" s="421">
        <f ca="1">IF(N76&lt;&gt;"",SUM(R79:R84),R73)</f>
        <v>0</v>
      </c>
      <c r="S85" s="421">
        <f ca="1">IF(N76&lt;&gt;"",SUM(S79:S84),S73)</f>
        <v>0</v>
      </c>
      <c r="U85" s="415" t="s">
        <v>1148</v>
      </c>
      <c r="V85" s="412">
        <f>IFERROR(VLOOKUP(G76,TimeUnitCode,2,FALSE),0)</f>
        <v>0</v>
      </c>
      <c r="W85" s="412">
        <f>IFERROR(INDEX(TimeUnitCount,V85,2),0)</f>
        <v>0</v>
      </c>
    </row>
    <row r="86" spans="2:27" hidden="1" outlineLevel="1" x14ac:dyDescent="0.2"/>
    <row r="87" spans="2:27" collapsed="1" x14ac:dyDescent="0.2"/>
    <row r="88" spans="2:27" ht="15.75" x14ac:dyDescent="0.2">
      <c r="B88" s="246">
        <f>IF(F98+N98&gt;12,1,0)</f>
        <v>0</v>
      </c>
      <c r="C88" s="246">
        <f ca="1">IFERROR(INDEX(PxTxPhase1,$D93,7),0)</f>
        <v>0</v>
      </c>
      <c r="D88" s="396">
        <v>4</v>
      </c>
      <c r="E88" s="72" t="str">
        <f>IF(F92&lt;&gt;"",CONCATENATE("DTG ",D88,": ",H92,": ",N88),MsgNotUsed)</f>
        <v>** NOT USED **</v>
      </c>
      <c r="F88" s="116"/>
      <c r="G88" s="116"/>
      <c r="H88" s="116"/>
      <c r="I88" s="116"/>
      <c r="J88" s="118"/>
      <c r="K88" s="118"/>
      <c r="L88" s="118"/>
      <c r="M88" s="266"/>
      <c r="N88" s="445" t="str">
        <f>IF(AND(F98="",N98=""),"Full year",IF(AND(F98&lt;&gt;"",N98=""),CONCATENATE(F98," ",G98),IF(AND(F98="",N98&lt;&gt;""),CONCATENATE(N98," ",G98),CONCATENATE(F98," + ",N98," ",G98))))</f>
        <v>Full year</v>
      </c>
      <c r="O88" s="266"/>
      <c r="P88" s="266"/>
      <c r="Q88" s="266"/>
      <c r="R88" s="266"/>
      <c r="S88" s="266"/>
      <c r="T88" s="266"/>
      <c r="U88" s="266"/>
      <c r="V88" s="266"/>
      <c r="W88" s="266"/>
      <c r="X88" s="266"/>
      <c r="Y88" s="266"/>
      <c r="Z88" s="266"/>
      <c r="AA88" s="266"/>
    </row>
    <row r="89" spans="2:27" hidden="1" outlineLevel="1" x14ac:dyDescent="0.2">
      <c r="F89" s="319">
        <v>1</v>
      </c>
      <c r="G89" s="319">
        <v>2</v>
      </c>
      <c r="H89" s="319">
        <v>3</v>
      </c>
      <c r="I89" s="319">
        <v>4</v>
      </c>
      <c r="J89" s="319">
        <v>5</v>
      </c>
      <c r="K89" s="319">
        <v>6</v>
      </c>
      <c r="N89" s="319">
        <v>1</v>
      </c>
      <c r="O89" s="319">
        <v>2</v>
      </c>
      <c r="P89" s="319">
        <v>3</v>
      </c>
      <c r="Q89" s="319">
        <v>4</v>
      </c>
      <c r="R89" s="319">
        <v>5</v>
      </c>
      <c r="S89" s="319">
        <v>6</v>
      </c>
    </row>
    <row r="90" spans="2:27" hidden="1" outlineLevel="1" x14ac:dyDescent="0.2">
      <c r="C90" s="103"/>
      <c r="D90" s="103"/>
      <c r="E90" t="s">
        <v>1193</v>
      </c>
    </row>
    <row r="91" spans="2:27" hidden="1" outlineLevel="1" x14ac:dyDescent="0.2">
      <c r="C91" s="103"/>
      <c r="D91" s="103"/>
      <c r="E91" s="260"/>
    </row>
    <row r="92" spans="2:27" hidden="1" outlineLevel="1" x14ac:dyDescent="0.2">
      <c r="C92" s="246">
        <f>IF(F92&lt;&gt;"",MATCH(F92,PxTxSource,0)-1,0)</f>
        <v>0</v>
      </c>
      <c r="D92" s="246">
        <f ca="1">IF(H92&lt;&gt;"",MATCH(H92,OFFSET(References!$AE$23,0,C92,PxPopMaxCount),0),0)</f>
        <v>0</v>
      </c>
      <c r="E92" s="8" t="s">
        <v>110</v>
      </c>
      <c r="F92" s="230"/>
      <c r="H92" s="580"/>
      <c r="I92" s="581"/>
      <c r="J92" s="581"/>
      <c r="K92" s="581"/>
      <c r="M92" s="217"/>
      <c r="N92" s="542" t="str">
        <f ca="1">IF(ISERROR($D93)=TRUE,MsgError &amp; VLOOKUP("BadPop",ErrorMessages,2,FALSE),"")</f>
        <v/>
      </c>
      <c r="O92" s="542"/>
      <c r="P92" s="542"/>
      <c r="Q92" s="542"/>
      <c r="R92" s="542"/>
      <c r="S92" s="542"/>
    </row>
    <row r="93" spans="2:27" hidden="1" outlineLevel="1" x14ac:dyDescent="0.2">
      <c r="C93" s="246">
        <f>INDEX(PxTxValid,,C92+1)</f>
        <v>1</v>
      </c>
      <c r="D93" s="246" t="str">
        <f ca="1">IF(AND(C92=0,D92=0),"",(C92*PxPopMaxCount)+D92)</f>
        <v/>
      </c>
      <c r="E93" s="103"/>
    </row>
    <row r="94" spans="2:27" hidden="1" outlineLevel="1" x14ac:dyDescent="0.2">
      <c r="E94" s="357"/>
      <c r="F94" s="74">
        <f>FirstYear</f>
        <v>2026</v>
      </c>
      <c r="G94" s="74">
        <f>F94+1</f>
        <v>2027</v>
      </c>
      <c r="H94" s="74">
        <f>G94+1</f>
        <v>2028</v>
      </c>
      <c r="I94" s="74">
        <f>H94+1</f>
        <v>2029</v>
      </c>
      <c r="J94" s="74">
        <f>I94+1</f>
        <v>2030</v>
      </c>
      <c r="K94" s="74">
        <f>J94+1</f>
        <v>2031</v>
      </c>
      <c r="L94" s="103"/>
      <c r="N94" s="74">
        <f>FirstYear</f>
        <v>2026</v>
      </c>
      <c r="O94" s="74">
        <f>N94+1</f>
        <v>2027</v>
      </c>
      <c r="P94" s="74">
        <f>O94+1</f>
        <v>2028</v>
      </c>
      <c r="Q94" s="74">
        <f>P94+1</f>
        <v>2029</v>
      </c>
      <c r="R94" s="74">
        <f>Q94+1</f>
        <v>2030</v>
      </c>
      <c r="S94" s="74">
        <f>R94+1</f>
        <v>2031</v>
      </c>
    </row>
    <row r="95" spans="2:27" hidden="1" outlineLevel="1" x14ac:dyDescent="0.2">
      <c r="E95" s="53" t="str">
        <f>TxPhase1Px</f>
        <v/>
      </c>
      <c r="F95" s="27">
        <f t="shared" ref="F95:K95" ca="1" si="80">IFERROR(INDEX(PxTxPhase1,$D93,F89),0)</f>
        <v>0</v>
      </c>
      <c r="G95" s="27">
        <f t="shared" ca="1" si="80"/>
        <v>0</v>
      </c>
      <c r="H95" s="27">
        <f t="shared" ca="1" si="80"/>
        <v>0</v>
      </c>
      <c r="I95" s="27">
        <f t="shared" ca="1" si="80"/>
        <v>0</v>
      </c>
      <c r="J95" s="27">
        <f t="shared" ca="1" si="80"/>
        <v>0</v>
      </c>
      <c r="K95" s="27">
        <f t="shared" ca="1" si="80"/>
        <v>0</v>
      </c>
      <c r="L95" s="103"/>
      <c r="M95" s="53" t="str">
        <f>TxPhase2Px</f>
        <v/>
      </c>
      <c r="N95" s="27">
        <f t="shared" ref="N95:S95" ca="1" si="81">IFERROR(INDEX(PxTxPhase2,$D93,N89),0)</f>
        <v>0</v>
      </c>
      <c r="O95" s="27">
        <f t="shared" ca="1" si="81"/>
        <v>0</v>
      </c>
      <c r="P95" s="27">
        <f t="shared" ca="1" si="81"/>
        <v>0</v>
      </c>
      <c r="Q95" s="27">
        <f t="shared" ca="1" si="81"/>
        <v>0</v>
      </c>
      <c r="R95" s="27">
        <f t="shared" ca="1" si="81"/>
        <v>0</v>
      </c>
      <c r="S95" s="27">
        <f t="shared" ca="1" si="81"/>
        <v>0</v>
      </c>
    </row>
    <row r="96" spans="2:27" hidden="1" outlineLevel="1" x14ac:dyDescent="0.2">
      <c r="L96" s="103"/>
    </row>
    <row r="97" spans="2:27" hidden="1" outlineLevel="1" x14ac:dyDescent="0.2">
      <c r="E97" s="103"/>
      <c r="F97" s="103"/>
      <c r="G97" s="103"/>
      <c r="H97" s="103"/>
      <c r="I97" s="103"/>
      <c r="J97" s="103"/>
      <c r="K97" s="103"/>
      <c r="L97" s="103"/>
      <c r="M97" s="103"/>
      <c r="U97" s="411"/>
      <c r="V97" s="412">
        <f>$W107*1</f>
        <v>0</v>
      </c>
      <c r="W97" s="412">
        <f>$W107*2</f>
        <v>0</v>
      </c>
      <c r="X97" s="412">
        <f>$W107*3</f>
        <v>0</v>
      </c>
      <c r="Y97" s="412">
        <f>$W107*4</f>
        <v>0</v>
      </c>
      <c r="Z97" s="412">
        <f>$W107*5</f>
        <v>0</v>
      </c>
      <c r="AA97" s="412">
        <f>$W107*6</f>
        <v>0</v>
      </c>
    </row>
    <row r="98" spans="2:27" hidden="1" outlineLevel="1" x14ac:dyDescent="0.2">
      <c r="E98" s="82" t="s">
        <v>1147</v>
      </c>
      <c r="F98" s="390"/>
      <c r="G98" s="227"/>
      <c r="H98" s="378"/>
      <c r="I98" s="378"/>
      <c r="J98" s="378"/>
      <c r="K98" s="378"/>
      <c r="L98" s="103"/>
      <c r="M98" s="82" t="s">
        <v>1147</v>
      </c>
      <c r="N98" s="390"/>
      <c r="O98" s="418" t="str">
        <f>IF(G98&lt;&gt;"",G98,"")</f>
        <v/>
      </c>
      <c r="P98" s="378"/>
      <c r="Q98" s="378"/>
      <c r="R98" s="378"/>
      <c r="S98" s="378"/>
      <c r="U98" s="413" t="s">
        <v>1143</v>
      </c>
      <c r="V98" s="414">
        <f>IF($F98&gt;=V97,$W107,IF($F98&gt;0,$F98,0))</f>
        <v>0</v>
      </c>
      <c r="W98" s="414">
        <f>IF($F98&gt;=W97,$W$41,IF($F98&gt;V97,($F98-V97),0))</f>
        <v>0</v>
      </c>
      <c r="X98" s="414">
        <f>IF($F98&gt;=X97,$W$41,IF($F98&gt;W97,($F98-W97),0))</f>
        <v>0</v>
      </c>
      <c r="Y98" s="414">
        <f>IF($F98&gt;=Y97,$W$41,IF($F98&gt;X97,($F98-X97),0))</f>
        <v>0</v>
      </c>
      <c r="Z98" s="414">
        <f>IF($F98&gt;=Z97,$W$41,IF($F98&gt;Y97,($F98-Y97),0))</f>
        <v>0</v>
      </c>
      <c r="AA98" s="414">
        <f>IF($F98&gt;=AA97,$W$41,IF($F98&gt;Z97,($F98-Z97),0))</f>
        <v>0</v>
      </c>
    </row>
    <row r="99" spans="2:27" hidden="1" outlineLevel="1" x14ac:dyDescent="0.2">
      <c r="L99" s="103"/>
      <c r="M99" s="437"/>
      <c r="N99" s="438"/>
      <c r="O99" s="438"/>
      <c r="P99" s="438"/>
      <c r="Q99" s="438"/>
      <c r="R99" s="438"/>
      <c r="S99" s="438"/>
      <c r="U99" s="415" t="s">
        <v>1144</v>
      </c>
      <c r="V99" s="412">
        <f t="shared" ref="V99:AA99" si="82">IF(V98&gt;0,$W107-V98,$W107)</f>
        <v>0</v>
      </c>
      <c r="W99" s="412">
        <f t="shared" si="82"/>
        <v>0</v>
      </c>
      <c r="X99" s="412">
        <f t="shared" si="82"/>
        <v>0</v>
      </c>
      <c r="Y99" s="412">
        <f t="shared" si="82"/>
        <v>0</v>
      </c>
      <c r="Z99" s="412">
        <f t="shared" si="82"/>
        <v>0</v>
      </c>
      <c r="AA99" s="412">
        <f t="shared" si="82"/>
        <v>0</v>
      </c>
    </row>
    <row r="100" spans="2:27" hidden="1" outlineLevel="1" x14ac:dyDescent="0.2">
      <c r="E100" s="437" t="str">
        <f>E95</f>
        <v/>
      </c>
      <c r="F100" s="419"/>
      <c r="G100" s="419"/>
      <c r="H100" s="419"/>
      <c r="I100" s="419"/>
      <c r="J100" s="419"/>
      <c r="K100" s="419"/>
      <c r="L100" s="103"/>
      <c r="M100" s="437" t="str">
        <f>M95</f>
        <v/>
      </c>
      <c r="N100" s="439"/>
      <c r="O100" s="440"/>
      <c r="P100" s="440"/>
      <c r="Q100" s="440"/>
      <c r="R100" s="440"/>
      <c r="S100" s="440"/>
      <c r="U100" s="378"/>
      <c r="V100" s="378"/>
      <c r="W100" s="378"/>
      <c r="X100" s="378"/>
      <c r="Y100" s="378"/>
      <c r="Z100" s="378"/>
      <c r="AA100" s="378"/>
    </row>
    <row r="101" spans="2:27" hidden="1" outlineLevel="1" x14ac:dyDescent="0.2">
      <c r="E101" s="81" t="s">
        <v>1194</v>
      </c>
      <c r="F101" s="57">
        <f ca="1">$F95*V104</f>
        <v>0</v>
      </c>
      <c r="G101" s="57">
        <f t="shared" ref="G101" ca="1" si="83">$F95*W104</f>
        <v>0</v>
      </c>
      <c r="H101" s="57">
        <f t="shared" ref="H101" ca="1" si="84">$F95*X104</f>
        <v>0</v>
      </c>
      <c r="I101" s="57">
        <f t="shared" ref="I101" ca="1" si="85">$F95*Y104</f>
        <v>0</v>
      </c>
      <c r="J101" s="57">
        <f t="shared" ref="J101" ca="1" si="86">$F95*Z104</f>
        <v>0</v>
      </c>
      <c r="K101" s="57">
        <f t="shared" ref="K101" ca="1" si="87">$F95*AA104</f>
        <v>0</v>
      </c>
      <c r="L101" s="103"/>
      <c r="M101" s="81" t="s">
        <v>1194</v>
      </c>
      <c r="N101" s="57">
        <f ca="1">$N95*V105</f>
        <v>0</v>
      </c>
      <c r="O101" s="57">
        <f ca="1">$N95*W105</f>
        <v>0</v>
      </c>
      <c r="P101" s="57">
        <f t="shared" ref="P101" ca="1" si="88">$N95*X105</f>
        <v>0</v>
      </c>
      <c r="Q101" s="57">
        <f t="shared" ref="Q101" ca="1" si="89">$N95*Y105</f>
        <v>0</v>
      </c>
      <c r="R101" s="57">
        <f t="shared" ref="R101" ca="1" si="90">$N95*Z105</f>
        <v>0</v>
      </c>
      <c r="S101" s="57">
        <f t="shared" ref="S101" ca="1" si="91">$N95*AA105</f>
        <v>0</v>
      </c>
      <c r="U101" s="415" t="s">
        <v>1145</v>
      </c>
      <c r="V101" s="414">
        <f>IF($N98&gt;=V99,V99,N98)</f>
        <v>0</v>
      </c>
      <c r="W101" s="414">
        <f>IF(V102&gt;=W99,W99,V102)</f>
        <v>0</v>
      </c>
      <c r="X101" s="414">
        <f>IF(W102&gt;=X99,X99,W102)</f>
        <v>0</v>
      </c>
      <c r="Y101" s="414">
        <f>IF(X102&gt;=Y99,Y99,X102)</f>
        <v>0</v>
      </c>
      <c r="Z101" s="414">
        <f>IF(Y102&gt;=Z99,Z99,Y102)</f>
        <v>0</v>
      </c>
      <c r="AA101" s="414">
        <f>IF(Z102&gt;=AA99,AA99,Z102)</f>
        <v>0</v>
      </c>
    </row>
    <row r="102" spans="2:27" hidden="1" outlineLevel="1" x14ac:dyDescent="0.2">
      <c r="E102" s="81" t="s">
        <v>1195</v>
      </c>
      <c r="F102" s="115"/>
      <c r="G102" s="57">
        <f ca="1">$G95*V104</f>
        <v>0</v>
      </c>
      <c r="H102" s="57">
        <f t="shared" ref="H102" ca="1" si="92">$G95*W104</f>
        <v>0</v>
      </c>
      <c r="I102" s="57">
        <f t="shared" ref="I102" ca="1" si="93">$G95*X104</f>
        <v>0</v>
      </c>
      <c r="J102" s="57">
        <f t="shared" ref="J102" ca="1" si="94">$G95*Y104</f>
        <v>0</v>
      </c>
      <c r="K102" s="57">
        <f t="shared" ref="K102" ca="1" si="95">$G95*Z104</f>
        <v>0</v>
      </c>
      <c r="L102" s="103"/>
      <c r="M102" s="81" t="s">
        <v>1195</v>
      </c>
      <c r="N102" s="115"/>
      <c r="O102" s="57">
        <f ca="1">$O95*V105</f>
        <v>0</v>
      </c>
      <c r="P102" s="57">
        <f t="shared" ref="P102" ca="1" si="96">$O95*W105</f>
        <v>0</v>
      </c>
      <c r="Q102" s="57">
        <f t="shared" ref="Q102" ca="1" si="97">$O95*X105</f>
        <v>0</v>
      </c>
      <c r="R102" s="57">
        <f t="shared" ref="R102" ca="1" si="98">$O95*Y105</f>
        <v>0</v>
      </c>
      <c r="S102" s="57">
        <f t="shared" ref="S102" ca="1" si="99">$O95*Z105</f>
        <v>0</v>
      </c>
      <c r="U102" s="415" t="s">
        <v>1146</v>
      </c>
      <c r="V102" s="412">
        <f>$N98-V101</f>
        <v>0</v>
      </c>
      <c r="W102" s="412">
        <f>$N98-SUM($V101:W101)</f>
        <v>0</v>
      </c>
      <c r="X102" s="412">
        <f>$N98-SUM($V101:X101)</f>
        <v>0</v>
      </c>
      <c r="Y102" s="412">
        <f>$N98-SUM($V101:Y101)</f>
        <v>0</v>
      </c>
      <c r="Z102" s="412">
        <f>$N98-SUM($V101:Z101)</f>
        <v>0</v>
      </c>
      <c r="AA102" s="412">
        <f>$N98-SUM($V101:AA101)</f>
        <v>0</v>
      </c>
    </row>
    <row r="103" spans="2:27" hidden="1" outlineLevel="1" x14ac:dyDescent="0.2">
      <c r="E103" s="81" t="s">
        <v>1196</v>
      </c>
      <c r="F103" s="115"/>
      <c r="G103" s="115"/>
      <c r="H103" s="57">
        <f ca="1">$H95*V104</f>
        <v>0</v>
      </c>
      <c r="I103" s="57">
        <f t="shared" ref="I103" ca="1" si="100">$H95*W104</f>
        <v>0</v>
      </c>
      <c r="J103" s="57">
        <f t="shared" ref="J103" ca="1" si="101">$H95*X104</f>
        <v>0</v>
      </c>
      <c r="K103" s="57">
        <f t="shared" ref="K103" ca="1" si="102">$H95*Y104</f>
        <v>0</v>
      </c>
      <c r="L103" s="103"/>
      <c r="M103" s="81" t="s">
        <v>1196</v>
      </c>
      <c r="N103" s="115"/>
      <c r="O103" s="115"/>
      <c r="P103" s="57">
        <f ca="1">$P95*V105</f>
        <v>0</v>
      </c>
      <c r="Q103" s="57">
        <f t="shared" ref="Q103" ca="1" si="103">$P95*W105</f>
        <v>0</v>
      </c>
      <c r="R103" s="57">
        <f t="shared" ref="R103" ca="1" si="104">$P95*X105</f>
        <v>0</v>
      </c>
      <c r="S103" s="57">
        <f t="shared" ref="S103" ca="1" si="105">$P95*Y105</f>
        <v>0</v>
      </c>
      <c r="V103" s="416"/>
      <c r="AA103" s="378"/>
    </row>
    <row r="104" spans="2:27" hidden="1" outlineLevel="1" x14ac:dyDescent="0.2">
      <c r="E104" s="81" t="s">
        <v>1197</v>
      </c>
      <c r="F104" s="115"/>
      <c r="G104" s="115"/>
      <c r="H104" s="115"/>
      <c r="I104" s="57">
        <f ca="1">$I95*V104</f>
        <v>0</v>
      </c>
      <c r="J104" s="57">
        <f t="shared" ref="J104" ca="1" si="106">$I95*W104</f>
        <v>0</v>
      </c>
      <c r="K104" s="57">
        <f t="shared" ref="K104" ca="1" si="107">$I95*X104</f>
        <v>0</v>
      </c>
      <c r="L104" s="103"/>
      <c r="M104" s="81" t="s">
        <v>1197</v>
      </c>
      <c r="N104" s="115"/>
      <c r="O104" s="115"/>
      <c r="P104" s="115"/>
      <c r="Q104" s="57">
        <f ca="1">$Q95*V105</f>
        <v>0</v>
      </c>
      <c r="R104" s="57">
        <f t="shared" ref="R104" ca="1" si="108">$Q95*W105</f>
        <v>0</v>
      </c>
      <c r="S104" s="57">
        <f t="shared" ref="S104" ca="1" si="109">$Q95*X105</f>
        <v>0</v>
      </c>
      <c r="U104" s="413" t="s">
        <v>1143</v>
      </c>
      <c r="V104" s="417">
        <f t="shared" ref="V104:AA104" si="110">IFERROR(V98/$W107,0)</f>
        <v>0</v>
      </c>
      <c r="W104" s="417">
        <f t="shared" si="110"/>
        <v>0</v>
      </c>
      <c r="X104" s="417">
        <f t="shared" si="110"/>
        <v>0</v>
      </c>
      <c r="Y104" s="417">
        <f t="shared" si="110"/>
        <v>0</v>
      </c>
      <c r="Z104" s="417">
        <f t="shared" si="110"/>
        <v>0</v>
      </c>
      <c r="AA104" s="417">
        <f t="shared" si="110"/>
        <v>0</v>
      </c>
    </row>
    <row r="105" spans="2:27" hidden="1" outlineLevel="1" x14ac:dyDescent="0.2">
      <c r="E105" s="81" t="s">
        <v>1198</v>
      </c>
      <c r="F105" s="115"/>
      <c r="G105" s="115"/>
      <c r="H105" s="115"/>
      <c r="I105" s="115"/>
      <c r="J105" s="57">
        <f ca="1">$J95*V104</f>
        <v>0</v>
      </c>
      <c r="K105" s="57">
        <f ca="1">$J95*W104</f>
        <v>0</v>
      </c>
      <c r="L105" s="103"/>
      <c r="M105" s="81" t="s">
        <v>1198</v>
      </c>
      <c r="N105" s="115"/>
      <c r="O105" s="115"/>
      <c r="P105" s="115"/>
      <c r="Q105" s="115"/>
      <c r="R105" s="57">
        <f ca="1">$R95*V105</f>
        <v>0</v>
      </c>
      <c r="S105" s="57">
        <f ca="1">$R95*W105</f>
        <v>0</v>
      </c>
      <c r="U105" s="415" t="s">
        <v>1145</v>
      </c>
      <c r="V105" s="417">
        <f t="shared" ref="V105:AA105" si="111">IFERROR(V101/$W107,0)</f>
        <v>0</v>
      </c>
      <c r="W105" s="417">
        <f t="shared" si="111"/>
        <v>0</v>
      </c>
      <c r="X105" s="417">
        <f t="shared" si="111"/>
        <v>0</v>
      </c>
      <c r="Y105" s="417">
        <f t="shared" si="111"/>
        <v>0</v>
      </c>
      <c r="Z105" s="417">
        <f t="shared" si="111"/>
        <v>0</v>
      </c>
      <c r="AA105" s="417">
        <f t="shared" si="111"/>
        <v>0</v>
      </c>
    </row>
    <row r="106" spans="2:27" hidden="1" outlineLevel="1" x14ac:dyDescent="0.2">
      <c r="E106" s="81" t="s">
        <v>1199</v>
      </c>
      <c r="F106" s="115"/>
      <c r="G106" s="115"/>
      <c r="H106" s="115"/>
      <c r="I106" s="115"/>
      <c r="J106" s="115"/>
      <c r="K106" s="57">
        <f ca="1">$K95*V104</f>
        <v>0</v>
      </c>
      <c r="L106" s="103"/>
      <c r="M106" s="81" t="s">
        <v>1199</v>
      </c>
      <c r="N106" s="115"/>
      <c r="O106" s="115"/>
      <c r="P106" s="115"/>
      <c r="Q106" s="115"/>
      <c r="R106" s="115"/>
      <c r="S106" s="57">
        <f ca="1">$S95*V105</f>
        <v>0</v>
      </c>
    </row>
    <row r="107" spans="2:27" hidden="1" outlineLevel="1" x14ac:dyDescent="0.2">
      <c r="E107" s="420" t="str">
        <f>TxPhase1PxUnitsTx</f>
        <v/>
      </c>
      <c r="F107" s="421">
        <f ca="1">IF(F98&lt;&gt;"",SUM(F101:F106),F95)</f>
        <v>0</v>
      </c>
      <c r="G107" s="421">
        <f ca="1">IF(F98&lt;&gt;"",SUM(G101:G106),G95)</f>
        <v>0</v>
      </c>
      <c r="H107" s="421">
        <f ca="1">IF(F98&lt;&gt;"",SUM(H101:H106),H95)</f>
        <v>0</v>
      </c>
      <c r="I107" s="421">
        <f ca="1">IF(F98&lt;&gt;"",SUM(I101:I106),I95)</f>
        <v>0</v>
      </c>
      <c r="J107" s="421">
        <f ca="1">IF(F98&lt;&gt;"",SUM(J101:J106),J95)</f>
        <v>0</v>
      </c>
      <c r="K107" s="421">
        <f ca="1">IF(F98&lt;&gt;"",SUM(K101:K106),K95)</f>
        <v>0</v>
      </c>
      <c r="L107" s="103"/>
      <c r="M107" s="420" t="str">
        <f>TxPhase2PxUnitsTx</f>
        <v/>
      </c>
      <c r="N107" s="421">
        <f ca="1">IF(N98&lt;&gt;"",SUM(N101:N106),N95)</f>
        <v>0</v>
      </c>
      <c r="O107" s="421">
        <f ca="1">IF(N98&lt;&gt;"",SUM(O101:O106),O95)</f>
        <v>0</v>
      </c>
      <c r="P107" s="421">
        <f ca="1">IF(N98&lt;&gt;"",SUM(P101:P106),P95)</f>
        <v>0</v>
      </c>
      <c r="Q107" s="421">
        <f ca="1">IF(N98&lt;&gt;"",SUM(Q101:Q106),Q95)</f>
        <v>0</v>
      </c>
      <c r="R107" s="421">
        <f ca="1">IF(N98&lt;&gt;"",SUM(R101:R106),R95)</f>
        <v>0</v>
      </c>
      <c r="S107" s="421">
        <f ca="1">IF(N98&lt;&gt;"",SUM(S101:S106),S95)</f>
        <v>0</v>
      </c>
      <c r="U107" s="415" t="s">
        <v>1148</v>
      </c>
      <c r="V107" s="412">
        <f>IFERROR(VLOOKUP(G98,TimeUnitCode,2,FALSE),0)</f>
        <v>0</v>
      </c>
      <c r="W107" s="412">
        <f>IFERROR(INDEX(TimeUnitCount,V107,2),0)</f>
        <v>0</v>
      </c>
    </row>
    <row r="108" spans="2:27" hidden="1" outlineLevel="1" x14ac:dyDescent="0.2"/>
    <row r="109" spans="2:27" collapsed="1" x14ac:dyDescent="0.2"/>
    <row r="110" spans="2:27" ht="15.75" x14ac:dyDescent="0.2">
      <c r="B110" s="246">
        <f>IF(F120+N120&gt;12,1,0)</f>
        <v>0</v>
      </c>
      <c r="C110" s="246">
        <f ca="1">IFERROR(INDEX(PxTxPhase1,$D115,7),0)</f>
        <v>0</v>
      </c>
      <c r="D110" s="396">
        <v>5</v>
      </c>
      <c r="E110" s="72" t="str">
        <f>IF(F114&lt;&gt;"",CONCATENATE("DTG ",D110,": ",H114,": ",N110),MsgNotUsed)</f>
        <v>** NOT USED **</v>
      </c>
      <c r="F110" s="116"/>
      <c r="G110" s="116"/>
      <c r="H110" s="116"/>
      <c r="I110" s="116"/>
      <c r="J110" s="118"/>
      <c r="K110" s="118"/>
      <c r="L110" s="118"/>
      <c r="M110" s="266"/>
      <c r="N110" s="445" t="str">
        <f>IF(AND(F120="",N120=""),"Full year",IF(AND(F120&lt;&gt;"",N120=""),CONCATENATE(F120," ",G120),IF(AND(F120="",N120&lt;&gt;""),CONCATENATE(N120," ",G120),CONCATENATE(F120," + ",N120," ",G120))))</f>
        <v>Full year</v>
      </c>
      <c r="O110" s="266"/>
      <c r="P110" s="266"/>
      <c r="Q110" s="266"/>
      <c r="R110" s="266"/>
      <c r="S110" s="266"/>
      <c r="T110" s="266"/>
      <c r="U110" s="266"/>
      <c r="V110" s="266"/>
      <c r="W110" s="266"/>
      <c r="X110" s="266"/>
      <c r="Y110" s="266"/>
      <c r="Z110" s="266"/>
      <c r="AA110" s="266"/>
    </row>
    <row r="111" spans="2:27" hidden="1" outlineLevel="1" x14ac:dyDescent="0.2">
      <c r="F111" s="319">
        <v>1</v>
      </c>
      <c r="G111" s="319">
        <v>2</v>
      </c>
      <c r="H111" s="319">
        <v>3</v>
      </c>
      <c r="I111" s="319">
        <v>4</v>
      </c>
      <c r="J111" s="319">
        <v>5</v>
      </c>
      <c r="K111" s="319">
        <v>6</v>
      </c>
      <c r="N111" s="319">
        <v>1</v>
      </c>
      <c r="O111" s="319">
        <v>2</v>
      </c>
      <c r="P111" s="319">
        <v>3</v>
      </c>
      <c r="Q111" s="319">
        <v>4</v>
      </c>
      <c r="R111" s="319">
        <v>5</v>
      </c>
      <c r="S111" s="319">
        <v>6</v>
      </c>
    </row>
    <row r="112" spans="2:27" hidden="1" outlineLevel="1" x14ac:dyDescent="0.2">
      <c r="C112" s="103"/>
      <c r="D112" s="103"/>
      <c r="E112" t="s">
        <v>1193</v>
      </c>
    </row>
    <row r="113" spans="3:27" hidden="1" outlineLevel="1" x14ac:dyDescent="0.2">
      <c r="C113" s="103"/>
      <c r="D113" s="103"/>
      <c r="E113" s="260"/>
    </row>
    <row r="114" spans="3:27" hidden="1" outlineLevel="1" x14ac:dyDescent="0.2">
      <c r="C114" s="246">
        <f>IF(F114&lt;&gt;"",MATCH(F114,PxTxSource,0)-1,0)</f>
        <v>0</v>
      </c>
      <c r="D114" s="246">
        <f ca="1">IF(H114&lt;&gt;"",MATCH(H114,OFFSET(References!$AE$23,0,C114,PxPopMaxCount),0),0)</f>
        <v>0</v>
      </c>
      <c r="E114" s="8" t="s">
        <v>110</v>
      </c>
      <c r="F114" s="230"/>
      <c r="H114" s="580"/>
      <c r="I114" s="581"/>
      <c r="J114" s="581"/>
      <c r="K114" s="581"/>
      <c r="M114" s="217"/>
      <c r="N114" s="542" t="str">
        <f ca="1">IF(ISERROR($D115)=TRUE,MsgError &amp; VLOOKUP("BadPop",ErrorMessages,2,FALSE),"")</f>
        <v/>
      </c>
      <c r="O114" s="542"/>
      <c r="P114" s="542"/>
      <c r="Q114" s="542"/>
      <c r="R114" s="542"/>
      <c r="S114" s="542"/>
    </row>
    <row r="115" spans="3:27" hidden="1" outlineLevel="1" x14ac:dyDescent="0.2">
      <c r="C115" s="246">
        <f>INDEX(PxTxValid,,C114+1)</f>
        <v>1</v>
      </c>
      <c r="D115" s="246" t="str">
        <f ca="1">IF(AND(C114=0,D114=0),"",(C114*PxPopMaxCount)+D114)</f>
        <v/>
      </c>
      <c r="E115" s="103"/>
    </row>
    <row r="116" spans="3:27" hidden="1" outlineLevel="1" x14ac:dyDescent="0.2">
      <c r="E116" s="357"/>
      <c r="F116" s="74">
        <f>FirstYear</f>
        <v>2026</v>
      </c>
      <c r="G116" s="74">
        <f>F116+1</f>
        <v>2027</v>
      </c>
      <c r="H116" s="74">
        <f>G116+1</f>
        <v>2028</v>
      </c>
      <c r="I116" s="74">
        <f>H116+1</f>
        <v>2029</v>
      </c>
      <c r="J116" s="74">
        <f>I116+1</f>
        <v>2030</v>
      </c>
      <c r="K116" s="74">
        <f>J116+1</f>
        <v>2031</v>
      </c>
      <c r="L116" s="103"/>
      <c r="N116" s="74">
        <f>FirstYear</f>
        <v>2026</v>
      </c>
      <c r="O116" s="74">
        <f>N116+1</f>
        <v>2027</v>
      </c>
      <c r="P116" s="74">
        <f>O116+1</f>
        <v>2028</v>
      </c>
      <c r="Q116" s="74">
        <f>P116+1</f>
        <v>2029</v>
      </c>
      <c r="R116" s="74">
        <f>Q116+1</f>
        <v>2030</v>
      </c>
      <c r="S116" s="74">
        <f>R116+1</f>
        <v>2031</v>
      </c>
    </row>
    <row r="117" spans="3:27" hidden="1" outlineLevel="1" x14ac:dyDescent="0.2">
      <c r="E117" s="53" t="str">
        <f>TxPhase1Px</f>
        <v/>
      </c>
      <c r="F117" s="27">
        <f t="shared" ref="F117:K117" ca="1" si="112">IFERROR(INDEX(PxTxPhase1,$D115,F111),0)</f>
        <v>0</v>
      </c>
      <c r="G117" s="27">
        <f t="shared" ca="1" si="112"/>
        <v>0</v>
      </c>
      <c r="H117" s="27">
        <f t="shared" ca="1" si="112"/>
        <v>0</v>
      </c>
      <c r="I117" s="27">
        <f t="shared" ca="1" si="112"/>
        <v>0</v>
      </c>
      <c r="J117" s="27">
        <f t="shared" ca="1" si="112"/>
        <v>0</v>
      </c>
      <c r="K117" s="27">
        <f t="shared" ca="1" si="112"/>
        <v>0</v>
      </c>
      <c r="L117" s="103"/>
      <c r="M117" s="53" t="str">
        <f>TxPhase2Px</f>
        <v/>
      </c>
      <c r="N117" s="27">
        <f t="shared" ref="N117:S117" ca="1" si="113">IFERROR(INDEX(PxTxPhase2,$D115,N111),0)</f>
        <v>0</v>
      </c>
      <c r="O117" s="27">
        <f t="shared" ca="1" si="113"/>
        <v>0</v>
      </c>
      <c r="P117" s="27">
        <f t="shared" ca="1" si="113"/>
        <v>0</v>
      </c>
      <c r="Q117" s="27">
        <f t="shared" ca="1" si="113"/>
        <v>0</v>
      </c>
      <c r="R117" s="27">
        <f t="shared" ca="1" si="113"/>
        <v>0</v>
      </c>
      <c r="S117" s="27">
        <f t="shared" ca="1" si="113"/>
        <v>0</v>
      </c>
    </row>
    <row r="118" spans="3:27" hidden="1" outlineLevel="1" x14ac:dyDescent="0.2">
      <c r="L118" s="103"/>
    </row>
    <row r="119" spans="3:27" hidden="1" outlineLevel="1" x14ac:dyDescent="0.2">
      <c r="E119" s="103"/>
      <c r="F119" s="103"/>
      <c r="G119" s="103"/>
      <c r="H119" s="103"/>
      <c r="I119" s="103"/>
      <c r="J119" s="103"/>
      <c r="K119" s="103"/>
      <c r="L119" s="103"/>
      <c r="M119" s="103"/>
      <c r="U119" s="411"/>
      <c r="V119" s="412">
        <f>$W129*1</f>
        <v>0</v>
      </c>
      <c r="W119" s="412">
        <f>$W129*2</f>
        <v>0</v>
      </c>
      <c r="X119" s="412">
        <f>$W129*3</f>
        <v>0</v>
      </c>
      <c r="Y119" s="412">
        <f>$W129*4</f>
        <v>0</v>
      </c>
      <c r="Z119" s="412">
        <f>$W129*5</f>
        <v>0</v>
      </c>
      <c r="AA119" s="412">
        <f>$W129*6</f>
        <v>0</v>
      </c>
    </row>
    <row r="120" spans="3:27" hidden="1" outlineLevel="1" x14ac:dyDescent="0.2">
      <c r="E120" s="82" t="s">
        <v>1147</v>
      </c>
      <c r="F120" s="390"/>
      <c r="G120" s="227"/>
      <c r="H120" s="378"/>
      <c r="I120" s="378"/>
      <c r="J120" s="378"/>
      <c r="K120" s="378"/>
      <c r="L120" s="103"/>
      <c r="M120" s="82" t="s">
        <v>1147</v>
      </c>
      <c r="N120" s="390"/>
      <c r="O120" s="418" t="str">
        <f>IF(G120&lt;&gt;"",G120,"")</f>
        <v/>
      </c>
      <c r="P120" s="378"/>
      <c r="Q120" s="378"/>
      <c r="R120" s="378"/>
      <c r="S120" s="378"/>
      <c r="U120" s="413" t="s">
        <v>1143</v>
      </c>
      <c r="V120" s="414">
        <f>IF($F120&gt;=V119,$W129,IF($F120&gt;0,$F120,0))</f>
        <v>0</v>
      </c>
      <c r="W120" s="414">
        <f>IF($F120&gt;=W119,$W$41,IF($F120&gt;V119,($F120-V119),0))</f>
        <v>0</v>
      </c>
      <c r="X120" s="414">
        <f>IF($F120&gt;=X119,$W$41,IF($F120&gt;W119,($F120-W119),0))</f>
        <v>0</v>
      </c>
      <c r="Y120" s="414">
        <f>IF($F120&gt;=Y119,$W$41,IF($F120&gt;X119,($F120-X119),0))</f>
        <v>0</v>
      </c>
      <c r="Z120" s="414">
        <f>IF($F120&gt;=Z119,$W$41,IF($F120&gt;Y119,($F120-Y119),0))</f>
        <v>0</v>
      </c>
      <c r="AA120" s="414">
        <f>IF($F120&gt;=AA119,$W$41,IF($F120&gt;Z119,($F120-Z119),0))</f>
        <v>0</v>
      </c>
    </row>
    <row r="121" spans="3:27" hidden="1" outlineLevel="1" x14ac:dyDescent="0.2">
      <c r="L121" s="103"/>
      <c r="M121" s="437"/>
      <c r="N121" s="438"/>
      <c r="O121" s="438"/>
      <c r="P121" s="438"/>
      <c r="Q121" s="438"/>
      <c r="R121" s="438"/>
      <c r="S121" s="438"/>
      <c r="U121" s="415" t="s">
        <v>1144</v>
      </c>
      <c r="V121" s="412">
        <f t="shared" ref="V121:AA121" si="114">IF(V120&gt;0,$W129-V120,$W129)</f>
        <v>0</v>
      </c>
      <c r="W121" s="412">
        <f t="shared" si="114"/>
        <v>0</v>
      </c>
      <c r="X121" s="412">
        <f t="shared" si="114"/>
        <v>0</v>
      </c>
      <c r="Y121" s="412">
        <f t="shared" si="114"/>
        <v>0</v>
      </c>
      <c r="Z121" s="412">
        <f t="shared" si="114"/>
        <v>0</v>
      </c>
      <c r="AA121" s="412">
        <f t="shared" si="114"/>
        <v>0</v>
      </c>
    </row>
    <row r="122" spans="3:27" hidden="1" outlineLevel="1" x14ac:dyDescent="0.2">
      <c r="E122" s="437" t="str">
        <f>E117</f>
        <v/>
      </c>
      <c r="F122" s="419"/>
      <c r="G122" s="419"/>
      <c r="H122" s="419"/>
      <c r="I122" s="419"/>
      <c r="J122" s="419"/>
      <c r="K122" s="419"/>
      <c r="L122" s="103"/>
      <c r="M122" s="437" t="str">
        <f>M117</f>
        <v/>
      </c>
      <c r="N122" s="439"/>
      <c r="O122" s="440"/>
      <c r="P122" s="440"/>
      <c r="Q122" s="440"/>
      <c r="R122" s="440"/>
      <c r="S122" s="440"/>
      <c r="U122" s="378"/>
      <c r="V122" s="378"/>
      <c r="W122" s="378"/>
      <c r="X122" s="378"/>
      <c r="Y122" s="378"/>
      <c r="Z122" s="378"/>
      <c r="AA122" s="378"/>
    </row>
    <row r="123" spans="3:27" hidden="1" outlineLevel="1" x14ac:dyDescent="0.2">
      <c r="E123" s="81" t="s">
        <v>1194</v>
      </c>
      <c r="F123" s="57">
        <f ca="1">$F117*V126</f>
        <v>0</v>
      </c>
      <c r="G123" s="57">
        <f t="shared" ref="G123" ca="1" si="115">$F117*W126</f>
        <v>0</v>
      </c>
      <c r="H123" s="57">
        <f t="shared" ref="H123" ca="1" si="116">$F117*X126</f>
        <v>0</v>
      </c>
      <c r="I123" s="57">
        <f t="shared" ref="I123" ca="1" si="117">$F117*Y126</f>
        <v>0</v>
      </c>
      <c r="J123" s="57">
        <f t="shared" ref="J123" ca="1" si="118">$F117*Z126</f>
        <v>0</v>
      </c>
      <c r="K123" s="57">
        <f t="shared" ref="K123" ca="1" si="119">$F117*AA126</f>
        <v>0</v>
      </c>
      <c r="L123" s="103"/>
      <c r="M123" s="81" t="s">
        <v>1194</v>
      </c>
      <c r="N123" s="57">
        <f ca="1">$N117*V127</f>
        <v>0</v>
      </c>
      <c r="O123" s="57">
        <f ca="1">$N117*W127</f>
        <v>0</v>
      </c>
      <c r="P123" s="57">
        <f t="shared" ref="P123" ca="1" si="120">$N117*X127</f>
        <v>0</v>
      </c>
      <c r="Q123" s="57">
        <f t="shared" ref="Q123" ca="1" si="121">$N117*Y127</f>
        <v>0</v>
      </c>
      <c r="R123" s="57">
        <f t="shared" ref="R123" ca="1" si="122">$N117*Z127</f>
        <v>0</v>
      </c>
      <c r="S123" s="57">
        <f t="shared" ref="S123" ca="1" si="123">$N117*AA127</f>
        <v>0</v>
      </c>
      <c r="U123" s="415" t="s">
        <v>1145</v>
      </c>
      <c r="V123" s="414">
        <f>IF($N120&gt;=V121,V121,N120)</f>
        <v>0</v>
      </c>
      <c r="W123" s="414">
        <f>IF(V124&gt;=W121,W121,V124)</f>
        <v>0</v>
      </c>
      <c r="X123" s="414">
        <f>IF(W124&gt;=X121,X121,W124)</f>
        <v>0</v>
      </c>
      <c r="Y123" s="414">
        <f>IF(X124&gt;=Y121,Y121,X124)</f>
        <v>0</v>
      </c>
      <c r="Z123" s="414">
        <f>IF(Y124&gt;=Z121,Z121,Y124)</f>
        <v>0</v>
      </c>
      <c r="AA123" s="414">
        <f>IF(Z124&gt;=AA121,AA121,Z124)</f>
        <v>0</v>
      </c>
    </row>
    <row r="124" spans="3:27" hidden="1" outlineLevel="1" x14ac:dyDescent="0.2">
      <c r="E124" s="81" t="s">
        <v>1195</v>
      </c>
      <c r="F124" s="115"/>
      <c r="G124" s="57">
        <f ca="1">$G117*V126</f>
        <v>0</v>
      </c>
      <c r="H124" s="57">
        <f t="shared" ref="H124" ca="1" si="124">$G117*W126</f>
        <v>0</v>
      </c>
      <c r="I124" s="57">
        <f t="shared" ref="I124" ca="1" si="125">$G117*X126</f>
        <v>0</v>
      </c>
      <c r="J124" s="57">
        <f t="shared" ref="J124" ca="1" si="126">$G117*Y126</f>
        <v>0</v>
      </c>
      <c r="K124" s="57">
        <f t="shared" ref="K124" ca="1" si="127">$G117*Z126</f>
        <v>0</v>
      </c>
      <c r="L124" s="103"/>
      <c r="M124" s="81" t="s">
        <v>1195</v>
      </c>
      <c r="N124" s="115"/>
      <c r="O124" s="57">
        <f ca="1">$O117*V127</f>
        <v>0</v>
      </c>
      <c r="P124" s="57">
        <f t="shared" ref="P124" ca="1" si="128">$O117*W127</f>
        <v>0</v>
      </c>
      <c r="Q124" s="57">
        <f t="shared" ref="Q124" ca="1" si="129">$O117*X127</f>
        <v>0</v>
      </c>
      <c r="R124" s="57">
        <f t="shared" ref="R124" ca="1" si="130">$O117*Y127</f>
        <v>0</v>
      </c>
      <c r="S124" s="57">
        <f t="shared" ref="S124" ca="1" si="131">$O117*Z127</f>
        <v>0</v>
      </c>
      <c r="U124" s="415" t="s">
        <v>1146</v>
      </c>
      <c r="V124" s="412">
        <f>$N120-V123</f>
        <v>0</v>
      </c>
      <c r="W124" s="412">
        <f>$N120-SUM($V123:W123)</f>
        <v>0</v>
      </c>
      <c r="X124" s="412">
        <f>$N120-SUM($V123:X123)</f>
        <v>0</v>
      </c>
      <c r="Y124" s="412">
        <f>$N120-SUM($V123:Y123)</f>
        <v>0</v>
      </c>
      <c r="Z124" s="412">
        <f>$N120-SUM($V123:Z123)</f>
        <v>0</v>
      </c>
      <c r="AA124" s="412">
        <f>$N120-SUM($V123:AA123)</f>
        <v>0</v>
      </c>
    </row>
    <row r="125" spans="3:27" hidden="1" outlineLevel="1" x14ac:dyDescent="0.2">
      <c r="E125" s="81" t="s">
        <v>1196</v>
      </c>
      <c r="F125" s="115"/>
      <c r="G125" s="115"/>
      <c r="H125" s="57">
        <f ca="1">$H117*V126</f>
        <v>0</v>
      </c>
      <c r="I125" s="57">
        <f t="shared" ref="I125" ca="1" si="132">$H117*W126</f>
        <v>0</v>
      </c>
      <c r="J125" s="57">
        <f t="shared" ref="J125" ca="1" si="133">$H117*X126</f>
        <v>0</v>
      </c>
      <c r="K125" s="57">
        <f t="shared" ref="K125" ca="1" si="134">$H117*Y126</f>
        <v>0</v>
      </c>
      <c r="L125" s="103"/>
      <c r="M125" s="81" t="s">
        <v>1196</v>
      </c>
      <c r="N125" s="115"/>
      <c r="O125" s="115"/>
      <c r="P125" s="57">
        <f ca="1">$P117*V127</f>
        <v>0</v>
      </c>
      <c r="Q125" s="57">
        <f t="shared" ref="Q125" ca="1" si="135">$P117*W127</f>
        <v>0</v>
      </c>
      <c r="R125" s="57">
        <f t="shared" ref="R125" ca="1" si="136">$P117*X127</f>
        <v>0</v>
      </c>
      <c r="S125" s="57">
        <f t="shared" ref="S125" ca="1" si="137">$P117*Y127</f>
        <v>0</v>
      </c>
      <c r="V125" s="416"/>
      <c r="AA125" s="378"/>
    </row>
    <row r="126" spans="3:27" hidden="1" outlineLevel="1" x14ac:dyDescent="0.2">
      <c r="E126" s="81" t="s">
        <v>1197</v>
      </c>
      <c r="F126" s="115"/>
      <c r="G126" s="115"/>
      <c r="H126" s="115"/>
      <c r="I126" s="57">
        <f ca="1">$I117*V126</f>
        <v>0</v>
      </c>
      <c r="J126" s="57">
        <f t="shared" ref="J126" ca="1" si="138">$I117*W126</f>
        <v>0</v>
      </c>
      <c r="K126" s="57">
        <f t="shared" ref="K126" ca="1" si="139">$I117*X126</f>
        <v>0</v>
      </c>
      <c r="L126" s="103"/>
      <c r="M126" s="81" t="s">
        <v>1197</v>
      </c>
      <c r="N126" s="115"/>
      <c r="O126" s="115"/>
      <c r="P126" s="115"/>
      <c r="Q126" s="57">
        <f ca="1">$Q117*V127</f>
        <v>0</v>
      </c>
      <c r="R126" s="57">
        <f t="shared" ref="R126" ca="1" si="140">$Q117*W127</f>
        <v>0</v>
      </c>
      <c r="S126" s="57">
        <f t="shared" ref="S126" ca="1" si="141">$Q117*X127</f>
        <v>0</v>
      </c>
      <c r="U126" s="413" t="s">
        <v>1143</v>
      </c>
      <c r="V126" s="417">
        <f t="shared" ref="V126:AA126" si="142">IFERROR(V120/$W129,0)</f>
        <v>0</v>
      </c>
      <c r="W126" s="417">
        <f t="shared" si="142"/>
        <v>0</v>
      </c>
      <c r="X126" s="417">
        <f t="shared" si="142"/>
        <v>0</v>
      </c>
      <c r="Y126" s="417">
        <f t="shared" si="142"/>
        <v>0</v>
      </c>
      <c r="Z126" s="417">
        <f t="shared" si="142"/>
        <v>0</v>
      </c>
      <c r="AA126" s="417">
        <f t="shared" si="142"/>
        <v>0</v>
      </c>
    </row>
    <row r="127" spans="3:27" hidden="1" outlineLevel="1" x14ac:dyDescent="0.2">
      <c r="E127" s="81" t="s">
        <v>1198</v>
      </c>
      <c r="F127" s="115"/>
      <c r="G127" s="115"/>
      <c r="H127" s="115"/>
      <c r="I127" s="115"/>
      <c r="J127" s="57">
        <f ca="1">$J117*V126</f>
        <v>0</v>
      </c>
      <c r="K127" s="57">
        <f ca="1">$J117*W126</f>
        <v>0</v>
      </c>
      <c r="L127" s="103"/>
      <c r="M127" s="81" t="s">
        <v>1198</v>
      </c>
      <c r="N127" s="115"/>
      <c r="O127" s="115"/>
      <c r="P127" s="115"/>
      <c r="Q127" s="115"/>
      <c r="R127" s="57">
        <f ca="1">$R117*V127</f>
        <v>0</v>
      </c>
      <c r="S127" s="57">
        <f ca="1">$R117*W127</f>
        <v>0</v>
      </c>
      <c r="U127" s="415" t="s">
        <v>1145</v>
      </c>
      <c r="V127" s="417">
        <f t="shared" ref="V127:AA127" si="143">IFERROR(V123/$W129,0)</f>
        <v>0</v>
      </c>
      <c r="W127" s="417">
        <f t="shared" si="143"/>
        <v>0</v>
      </c>
      <c r="X127" s="417">
        <f t="shared" si="143"/>
        <v>0</v>
      </c>
      <c r="Y127" s="417">
        <f t="shared" si="143"/>
        <v>0</v>
      </c>
      <c r="Z127" s="417">
        <f t="shared" si="143"/>
        <v>0</v>
      </c>
      <c r="AA127" s="417">
        <f t="shared" si="143"/>
        <v>0</v>
      </c>
    </row>
    <row r="128" spans="3:27" hidden="1" outlineLevel="1" x14ac:dyDescent="0.2">
      <c r="E128" s="81" t="s">
        <v>1199</v>
      </c>
      <c r="F128" s="115"/>
      <c r="G128" s="115"/>
      <c r="H128" s="115"/>
      <c r="I128" s="115"/>
      <c r="J128" s="115"/>
      <c r="K128" s="57">
        <f ca="1">$K117*V126</f>
        <v>0</v>
      </c>
      <c r="L128" s="103"/>
      <c r="M128" s="81" t="s">
        <v>1199</v>
      </c>
      <c r="N128" s="115"/>
      <c r="O128" s="115"/>
      <c r="P128" s="115"/>
      <c r="Q128" s="115"/>
      <c r="R128" s="115"/>
      <c r="S128" s="57">
        <f ca="1">$S117*V127</f>
        <v>0</v>
      </c>
    </row>
    <row r="129" spans="2:27" hidden="1" outlineLevel="1" x14ac:dyDescent="0.2">
      <c r="E129" s="420" t="str">
        <f>TxPhase1PxUnitsTx</f>
        <v/>
      </c>
      <c r="F129" s="421">
        <f ca="1">IF(F120&lt;&gt;"",SUM(F123:F128),F117)</f>
        <v>0</v>
      </c>
      <c r="G129" s="421">
        <f ca="1">IF(F120&lt;&gt;"",SUM(G123:G128),G117)</f>
        <v>0</v>
      </c>
      <c r="H129" s="421">
        <f ca="1">IF(F120&lt;&gt;"",SUM(H123:H128),H117)</f>
        <v>0</v>
      </c>
      <c r="I129" s="421">
        <f ca="1">IF(F120&lt;&gt;"",SUM(I123:I128),I117)</f>
        <v>0</v>
      </c>
      <c r="J129" s="421">
        <f ca="1">IF(F120&lt;&gt;"",SUM(J123:J128),J117)</f>
        <v>0</v>
      </c>
      <c r="K129" s="421">
        <f ca="1">IF(F120&lt;&gt;"",SUM(K123:K128),K117)</f>
        <v>0</v>
      </c>
      <c r="L129" s="103"/>
      <c r="M129" s="420" t="str">
        <f>TxPhase2PxUnitsTx</f>
        <v/>
      </c>
      <c r="N129" s="421">
        <f ca="1">IF(N120&lt;&gt;"",SUM(N123:N128),N117)</f>
        <v>0</v>
      </c>
      <c r="O129" s="421">
        <f ca="1">IF(N120&lt;&gt;"",SUM(O123:O128),O117)</f>
        <v>0</v>
      </c>
      <c r="P129" s="421">
        <f ca="1">IF(N120&lt;&gt;"",SUM(P123:P128),P117)</f>
        <v>0</v>
      </c>
      <c r="Q129" s="421">
        <f ca="1">IF(N120&lt;&gt;"",SUM(Q123:Q128),Q117)</f>
        <v>0</v>
      </c>
      <c r="R129" s="421">
        <f ca="1">IF(N120&lt;&gt;"",SUM(R123:R128),R117)</f>
        <v>0</v>
      </c>
      <c r="S129" s="421">
        <f ca="1">IF(N120&lt;&gt;"",SUM(S123:S128),S117)</f>
        <v>0</v>
      </c>
      <c r="U129" s="415" t="s">
        <v>1148</v>
      </c>
      <c r="V129" s="412">
        <f>IFERROR(VLOOKUP(G120,TimeUnitCode,2,FALSE),0)</f>
        <v>0</v>
      </c>
      <c r="W129" s="412">
        <f>IFERROR(INDEX(TimeUnitCount,V129,2),0)</f>
        <v>0</v>
      </c>
    </row>
    <row r="130" spans="2:27" hidden="1" outlineLevel="1" x14ac:dyDescent="0.2"/>
    <row r="131" spans="2:27" collapsed="1" x14ac:dyDescent="0.2"/>
    <row r="132" spans="2:27" ht="15.75" x14ac:dyDescent="0.2">
      <c r="B132" s="246">
        <f>IF(F142+N142&gt;12,1,0)</f>
        <v>0</v>
      </c>
      <c r="C132" s="246">
        <f ca="1">IFERROR(INDEX(PxTxPhase1,$D137,7),0)</f>
        <v>0</v>
      </c>
      <c r="D132" s="396">
        <v>6</v>
      </c>
      <c r="E132" s="72" t="str">
        <f>IF(F136&lt;&gt;"",CONCATENATE("DTG ",D132,": ",H136,": ",N132),MsgNotUsed)</f>
        <v>** NOT USED **</v>
      </c>
      <c r="F132" s="116"/>
      <c r="G132" s="116"/>
      <c r="H132" s="116"/>
      <c r="I132" s="116"/>
      <c r="J132" s="118"/>
      <c r="K132" s="118"/>
      <c r="L132" s="118"/>
      <c r="M132" s="266"/>
      <c r="N132" s="445" t="str">
        <f>IF(AND(F142="",N142=""),"Full year",IF(AND(F142&lt;&gt;"",N142=""),CONCATENATE(F142," ",G142),IF(AND(F142="",N142&lt;&gt;""),CONCATENATE(N142," ",G142),CONCATENATE(F142," + ",N142," ",G142))))</f>
        <v>Full year</v>
      </c>
      <c r="O132" s="266"/>
      <c r="P132" s="266"/>
      <c r="Q132" s="266"/>
      <c r="R132" s="266"/>
      <c r="S132" s="266"/>
      <c r="T132" s="266"/>
      <c r="U132" s="266"/>
      <c r="V132" s="266"/>
      <c r="W132" s="266"/>
      <c r="X132" s="266"/>
      <c r="Y132" s="266"/>
      <c r="Z132" s="266"/>
      <c r="AA132" s="266"/>
    </row>
    <row r="133" spans="2:27" hidden="1" outlineLevel="1" x14ac:dyDescent="0.2">
      <c r="F133" s="319">
        <v>1</v>
      </c>
      <c r="G133" s="319">
        <v>2</v>
      </c>
      <c r="H133" s="319">
        <v>3</v>
      </c>
      <c r="I133" s="319">
        <v>4</v>
      </c>
      <c r="J133" s="319">
        <v>5</v>
      </c>
      <c r="K133" s="319">
        <v>6</v>
      </c>
      <c r="N133" s="319">
        <v>1</v>
      </c>
      <c r="O133" s="319">
        <v>2</v>
      </c>
      <c r="P133" s="319">
        <v>3</v>
      </c>
      <c r="Q133" s="319">
        <v>4</v>
      </c>
      <c r="R133" s="319">
        <v>5</v>
      </c>
      <c r="S133" s="319">
        <v>6</v>
      </c>
    </row>
    <row r="134" spans="2:27" hidden="1" outlineLevel="1" x14ac:dyDescent="0.2">
      <c r="C134" s="103"/>
      <c r="D134" s="103"/>
      <c r="E134" t="s">
        <v>1193</v>
      </c>
    </row>
    <row r="135" spans="2:27" hidden="1" outlineLevel="1" x14ac:dyDescent="0.2">
      <c r="C135" s="103"/>
      <c r="D135" s="103"/>
      <c r="E135" s="260"/>
    </row>
    <row r="136" spans="2:27" hidden="1" outlineLevel="1" x14ac:dyDescent="0.2">
      <c r="C136" s="246">
        <f>IF(F136&lt;&gt;"",MATCH(F136,PxTxSource,0)-1,0)</f>
        <v>0</v>
      </c>
      <c r="D136" s="246">
        <f ca="1">IF(H136&lt;&gt;"",MATCH(H136,OFFSET(References!$AE$23,0,C136,PxPopMaxCount),0),0)</f>
        <v>0</v>
      </c>
      <c r="E136" s="8" t="s">
        <v>110</v>
      </c>
      <c r="F136" s="230"/>
      <c r="H136" s="580"/>
      <c r="I136" s="581"/>
      <c r="J136" s="581"/>
      <c r="K136" s="581"/>
      <c r="M136" s="217"/>
      <c r="N136" s="542" t="str">
        <f ca="1">IF(ISERROR($D137)=TRUE,MsgError &amp; VLOOKUP("BadPop",ErrorMessages,2,FALSE),"")</f>
        <v/>
      </c>
      <c r="O136" s="542"/>
      <c r="P136" s="542"/>
      <c r="Q136" s="542"/>
      <c r="R136" s="542"/>
      <c r="S136" s="542"/>
    </row>
    <row r="137" spans="2:27" hidden="1" outlineLevel="1" x14ac:dyDescent="0.2">
      <c r="C137" s="246">
        <f>INDEX(PxTxValid,,C136+1)</f>
        <v>1</v>
      </c>
      <c r="D137" s="246" t="str">
        <f ca="1">IF(AND(C136=0,D136=0),"",(C136*PxPopMaxCount)+D136)</f>
        <v/>
      </c>
      <c r="E137" s="103"/>
    </row>
    <row r="138" spans="2:27" hidden="1" outlineLevel="1" x14ac:dyDescent="0.2">
      <c r="E138" s="357"/>
      <c r="F138" s="74">
        <f>FirstYear</f>
        <v>2026</v>
      </c>
      <c r="G138" s="74">
        <f>F138+1</f>
        <v>2027</v>
      </c>
      <c r="H138" s="74">
        <f>G138+1</f>
        <v>2028</v>
      </c>
      <c r="I138" s="74">
        <f>H138+1</f>
        <v>2029</v>
      </c>
      <c r="J138" s="74">
        <f>I138+1</f>
        <v>2030</v>
      </c>
      <c r="K138" s="74">
        <f>J138+1</f>
        <v>2031</v>
      </c>
      <c r="L138" s="103"/>
      <c r="N138" s="74">
        <f>FirstYear</f>
        <v>2026</v>
      </c>
      <c r="O138" s="74">
        <f>N138+1</f>
        <v>2027</v>
      </c>
      <c r="P138" s="74">
        <f>O138+1</f>
        <v>2028</v>
      </c>
      <c r="Q138" s="74">
        <f>P138+1</f>
        <v>2029</v>
      </c>
      <c r="R138" s="74">
        <f>Q138+1</f>
        <v>2030</v>
      </c>
      <c r="S138" s="74">
        <f>R138+1</f>
        <v>2031</v>
      </c>
    </row>
    <row r="139" spans="2:27" hidden="1" outlineLevel="1" x14ac:dyDescent="0.2">
      <c r="E139" s="53" t="str">
        <f>TxPhase1Px</f>
        <v/>
      </c>
      <c r="F139" s="27">
        <f t="shared" ref="F139:K139" ca="1" si="144">IFERROR(INDEX(PxTxPhase1,$D137,F133),0)</f>
        <v>0</v>
      </c>
      <c r="G139" s="27">
        <f t="shared" ca="1" si="144"/>
        <v>0</v>
      </c>
      <c r="H139" s="27">
        <f t="shared" ca="1" si="144"/>
        <v>0</v>
      </c>
      <c r="I139" s="27">
        <f t="shared" ca="1" si="144"/>
        <v>0</v>
      </c>
      <c r="J139" s="27">
        <f t="shared" ca="1" si="144"/>
        <v>0</v>
      </c>
      <c r="K139" s="27">
        <f t="shared" ca="1" si="144"/>
        <v>0</v>
      </c>
      <c r="L139" s="103"/>
      <c r="M139" s="53" t="str">
        <f>TxPhase2Px</f>
        <v/>
      </c>
      <c r="N139" s="27">
        <f t="shared" ref="N139:S139" ca="1" si="145">IFERROR(INDEX(PxTxPhase2,$D137,N133),0)</f>
        <v>0</v>
      </c>
      <c r="O139" s="27">
        <f t="shared" ca="1" si="145"/>
        <v>0</v>
      </c>
      <c r="P139" s="27">
        <f t="shared" ca="1" si="145"/>
        <v>0</v>
      </c>
      <c r="Q139" s="27">
        <f t="shared" ca="1" si="145"/>
        <v>0</v>
      </c>
      <c r="R139" s="27">
        <f t="shared" ca="1" si="145"/>
        <v>0</v>
      </c>
      <c r="S139" s="27">
        <f t="shared" ca="1" si="145"/>
        <v>0</v>
      </c>
    </row>
    <row r="140" spans="2:27" hidden="1" outlineLevel="1" x14ac:dyDescent="0.2">
      <c r="L140" s="103"/>
    </row>
    <row r="141" spans="2:27" hidden="1" outlineLevel="1" x14ac:dyDescent="0.2">
      <c r="E141" s="103"/>
      <c r="F141" s="103"/>
      <c r="G141" s="103"/>
      <c r="H141" s="103"/>
      <c r="I141" s="103"/>
      <c r="J141" s="103"/>
      <c r="K141" s="103"/>
      <c r="L141" s="103"/>
      <c r="M141" s="103"/>
      <c r="U141" s="411"/>
      <c r="V141" s="412">
        <f>$W151*1</f>
        <v>0</v>
      </c>
      <c r="W141" s="412">
        <f>$W151*2</f>
        <v>0</v>
      </c>
      <c r="X141" s="412">
        <f>$W151*3</f>
        <v>0</v>
      </c>
      <c r="Y141" s="412">
        <f>$W151*4</f>
        <v>0</v>
      </c>
      <c r="Z141" s="412">
        <f>$W151*5</f>
        <v>0</v>
      </c>
      <c r="AA141" s="412">
        <f>$W151*6</f>
        <v>0</v>
      </c>
    </row>
    <row r="142" spans="2:27" hidden="1" outlineLevel="1" x14ac:dyDescent="0.2">
      <c r="E142" s="82" t="s">
        <v>1147</v>
      </c>
      <c r="F142" s="390"/>
      <c r="G142" s="227"/>
      <c r="H142" s="378"/>
      <c r="I142" s="378"/>
      <c r="J142" s="378"/>
      <c r="K142" s="378"/>
      <c r="L142" s="103"/>
      <c r="M142" s="82" t="s">
        <v>1147</v>
      </c>
      <c r="N142" s="390"/>
      <c r="O142" s="418" t="str">
        <f>IF(G142&lt;&gt;"",G142,"")</f>
        <v/>
      </c>
      <c r="P142" s="378"/>
      <c r="Q142" s="378"/>
      <c r="R142" s="378"/>
      <c r="S142" s="378"/>
      <c r="U142" s="413" t="s">
        <v>1143</v>
      </c>
      <c r="V142" s="414">
        <f>IF($F142&gt;=V141,$W151,IF($F142&gt;0,$F142,0))</f>
        <v>0</v>
      </c>
      <c r="W142" s="414">
        <f>IF($F142&gt;=W141,$W$41,IF($F142&gt;V141,($F142-V141),0))</f>
        <v>0</v>
      </c>
      <c r="X142" s="414">
        <f>IF($F142&gt;=X141,$W$41,IF($F142&gt;W141,($F142-W141),0))</f>
        <v>0</v>
      </c>
      <c r="Y142" s="414">
        <f>IF($F142&gt;=Y141,$W$41,IF($F142&gt;X141,($F142-X141),0))</f>
        <v>0</v>
      </c>
      <c r="Z142" s="414">
        <f>IF($F142&gt;=Z141,$W$41,IF($F142&gt;Y141,($F142-Y141),0))</f>
        <v>0</v>
      </c>
      <c r="AA142" s="414">
        <f>IF($F142&gt;=AA141,$W$41,IF($F142&gt;Z141,($F142-Z141),0))</f>
        <v>0</v>
      </c>
    </row>
    <row r="143" spans="2:27" hidden="1" outlineLevel="1" x14ac:dyDescent="0.2">
      <c r="L143" s="103"/>
      <c r="M143" s="437"/>
      <c r="N143" s="438"/>
      <c r="O143" s="438"/>
      <c r="P143" s="438"/>
      <c r="Q143" s="438"/>
      <c r="R143" s="438"/>
      <c r="S143" s="438"/>
      <c r="U143" s="415" t="s">
        <v>1144</v>
      </c>
      <c r="V143" s="412">
        <f t="shared" ref="V143:AA143" si="146">IF(V142&gt;0,$W151-V142,$W151)</f>
        <v>0</v>
      </c>
      <c r="W143" s="412">
        <f t="shared" si="146"/>
        <v>0</v>
      </c>
      <c r="X143" s="412">
        <f t="shared" si="146"/>
        <v>0</v>
      </c>
      <c r="Y143" s="412">
        <f t="shared" si="146"/>
        <v>0</v>
      </c>
      <c r="Z143" s="412">
        <f t="shared" si="146"/>
        <v>0</v>
      </c>
      <c r="AA143" s="412">
        <f t="shared" si="146"/>
        <v>0</v>
      </c>
    </row>
    <row r="144" spans="2:27" hidden="1" outlineLevel="1" x14ac:dyDescent="0.2">
      <c r="E144" s="437" t="str">
        <f>E139</f>
        <v/>
      </c>
      <c r="F144" s="419"/>
      <c r="G144" s="419"/>
      <c r="H144" s="419"/>
      <c r="I144" s="419"/>
      <c r="J144" s="419"/>
      <c r="K144" s="419"/>
      <c r="L144" s="103"/>
      <c r="M144" s="437" t="str">
        <f>M139</f>
        <v/>
      </c>
      <c r="N144" s="439"/>
      <c r="O144" s="440"/>
      <c r="P144" s="440"/>
      <c r="Q144" s="440"/>
      <c r="R144" s="440"/>
      <c r="S144" s="440"/>
      <c r="U144" s="378"/>
      <c r="V144" s="378"/>
      <c r="W144" s="378"/>
      <c r="X144" s="378"/>
      <c r="Y144" s="378"/>
      <c r="Z144" s="378"/>
      <c r="AA144" s="378"/>
    </row>
    <row r="145" spans="2:27" hidden="1" outlineLevel="1" x14ac:dyDescent="0.2">
      <c r="E145" s="81" t="s">
        <v>1194</v>
      </c>
      <c r="F145" s="57">
        <f ca="1">$F139*V148</f>
        <v>0</v>
      </c>
      <c r="G145" s="57">
        <f t="shared" ref="G145" ca="1" si="147">$F139*W148</f>
        <v>0</v>
      </c>
      <c r="H145" s="57">
        <f t="shared" ref="H145" ca="1" si="148">$F139*X148</f>
        <v>0</v>
      </c>
      <c r="I145" s="57">
        <f t="shared" ref="I145" ca="1" si="149">$F139*Y148</f>
        <v>0</v>
      </c>
      <c r="J145" s="57">
        <f t="shared" ref="J145" ca="1" si="150">$F139*Z148</f>
        <v>0</v>
      </c>
      <c r="K145" s="57">
        <f t="shared" ref="K145" ca="1" si="151">$F139*AA148</f>
        <v>0</v>
      </c>
      <c r="L145" s="103"/>
      <c r="M145" s="81" t="s">
        <v>1194</v>
      </c>
      <c r="N145" s="57">
        <f ca="1">$N139*V149</f>
        <v>0</v>
      </c>
      <c r="O145" s="57">
        <f ca="1">$N139*W149</f>
        <v>0</v>
      </c>
      <c r="P145" s="57">
        <f t="shared" ref="P145" ca="1" si="152">$N139*X149</f>
        <v>0</v>
      </c>
      <c r="Q145" s="57">
        <f t="shared" ref="Q145" ca="1" si="153">$N139*Y149</f>
        <v>0</v>
      </c>
      <c r="R145" s="57">
        <f t="shared" ref="R145" ca="1" si="154">$N139*Z149</f>
        <v>0</v>
      </c>
      <c r="S145" s="57">
        <f t="shared" ref="S145" ca="1" si="155">$N139*AA149</f>
        <v>0</v>
      </c>
      <c r="U145" s="415" t="s">
        <v>1145</v>
      </c>
      <c r="V145" s="414">
        <f>IF($N142&gt;=V143,V143,N142)</f>
        <v>0</v>
      </c>
      <c r="W145" s="414">
        <f>IF(V146&gt;=W143,W143,V146)</f>
        <v>0</v>
      </c>
      <c r="X145" s="414">
        <f>IF(W146&gt;=X143,X143,W146)</f>
        <v>0</v>
      </c>
      <c r="Y145" s="414">
        <f>IF(X146&gt;=Y143,Y143,X146)</f>
        <v>0</v>
      </c>
      <c r="Z145" s="414">
        <f>IF(Y146&gt;=Z143,Z143,Y146)</f>
        <v>0</v>
      </c>
      <c r="AA145" s="414">
        <f>IF(Z146&gt;=AA143,AA143,Z146)</f>
        <v>0</v>
      </c>
    </row>
    <row r="146" spans="2:27" hidden="1" outlineLevel="1" x14ac:dyDescent="0.2">
      <c r="E146" s="81" t="s">
        <v>1195</v>
      </c>
      <c r="F146" s="115"/>
      <c r="G146" s="57">
        <f ca="1">$G139*V148</f>
        <v>0</v>
      </c>
      <c r="H146" s="57">
        <f t="shared" ref="H146" ca="1" si="156">$G139*W148</f>
        <v>0</v>
      </c>
      <c r="I146" s="57">
        <f t="shared" ref="I146" ca="1" si="157">$G139*X148</f>
        <v>0</v>
      </c>
      <c r="J146" s="57">
        <f t="shared" ref="J146" ca="1" si="158">$G139*Y148</f>
        <v>0</v>
      </c>
      <c r="K146" s="57">
        <f t="shared" ref="K146" ca="1" si="159">$G139*Z148</f>
        <v>0</v>
      </c>
      <c r="L146" s="103"/>
      <c r="M146" s="81" t="s">
        <v>1195</v>
      </c>
      <c r="N146" s="115"/>
      <c r="O146" s="57">
        <f ca="1">$O139*V149</f>
        <v>0</v>
      </c>
      <c r="P146" s="57">
        <f t="shared" ref="P146" ca="1" si="160">$O139*W149</f>
        <v>0</v>
      </c>
      <c r="Q146" s="57">
        <f t="shared" ref="Q146" ca="1" si="161">$O139*X149</f>
        <v>0</v>
      </c>
      <c r="R146" s="57">
        <f t="shared" ref="R146" ca="1" si="162">$O139*Y149</f>
        <v>0</v>
      </c>
      <c r="S146" s="57">
        <f t="shared" ref="S146" ca="1" si="163">$O139*Z149</f>
        <v>0</v>
      </c>
      <c r="U146" s="415" t="s">
        <v>1146</v>
      </c>
      <c r="V146" s="412">
        <f>$N142-V145</f>
        <v>0</v>
      </c>
      <c r="W146" s="412">
        <f>$N142-SUM($V145:W145)</f>
        <v>0</v>
      </c>
      <c r="X146" s="412">
        <f>$N142-SUM($V145:X145)</f>
        <v>0</v>
      </c>
      <c r="Y146" s="412">
        <f>$N142-SUM($V145:Y145)</f>
        <v>0</v>
      </c>
      <c r="Z146" s="412">
        <f>$N142-SUM($V145:Z145)</f>
        <v>0</v>
      </c>
      <c r="AA146" s="412">
        <f>$N142-SUM($V145:AA145)</f>
        <v>0</v>
      </c>
    </row>
    <row r="147" spans="2:27" hidden="1" outlineLevel="1" x14ac:dyDescent="0.2">
      <c r="E147" s="81" t="s">
        <v>1196</v>
      </c>
      <c r="F147" s="115"/>
      <c r="G147" s="115"/>
      <c r="H147" s="57">
        <f ca="1">$H139*V148</f>
        <v>0</v>
      </c>
      <c r="I147" s="57">
        <f t="shared" ref="I147" ca="1" si="164">$H139*W148</f>
        <v>0</v>
      </c>
      <c r="J147" s="57">
        <f t="shared" ref="J147" ca="1" si="165">$H139*X148</f>
        <v>0</v>
      </c>
      <c r="K147" s="57">
        <f t="shared" ref="K147" ca="1" si="166">$H139*Y148</f>
        <v>0</v>
      </c>
      <c r="L147" s="103"/>
      <c r="M147" s="81" t="s">
        <v>1196</v>
      </c>
      <c r="N147" s="115"/>
      <c r="O147" s="115"/>
      <c r="P147" s="57">
        <f ca="1">$P139*V149</f>
        <v>0</v>
      </c>
      <c r="Q147" s="57">
        <f t="shared" ref="Q147" ca="1" si="167">$P139*W149</f>
        <v>0</v>
      </c>
      <c r="R147" s="57">
        <f t="shared" ref="R147" ca="1" si="168">$P139*X149</f>
        <v>0</v>
      </c>
      <c r="S147" s="57">
        <f t="shared" ref="S147" ca="1" si="169">$P139*Y149</f>
        <v>0</v>
      </c>
      <c r="V147" s="416"/>
      <c r="AA147" s="378"/>
    </row>
    <row r="148" spans="2:27" hidden="1" outlineLevel="1" x14ac:dyDescent="0.2">
      <c r="E148" s="81" t="s">
        <v>1197</v>
      </c>
      <c r="F148" s="115"/>
      <c r="G148" s="115"/>
      <c r="H148" s="115"/>
      <c r="I148" s="57">
        <f ca="1">$I139*V148</f>
        <v>0</v>
      </c>
      <c r="J148" s="57">
        <f t="shared" ref="J148" ca="1" si="170">$I139*W148</f>
        <v>0</v>
      </c>
      <c r="K148" s="57">
        <f t="shared" ref="K148" ca="1" si="171">$I139*X148</f>
        <v>0</v>
      </c>
      <c r="L148" s="103"/>
      <c r="M148" s="81" t="s">
        <v>1197</v>
      </c>
      <c r="N148" s="115"/>
      <c r="O148" s="115"/>
      <c r="P148" s="115"/>
      <c r="Q148" s="57">
        <f ca="1">$Q139*V149</f>
        <v>0</v>
      </c>
      <c r="R148" s="57">
        <f t="shared" ref="R148" ca="1" si="172">$Q139*W149</f>
        <v>0</v>
      </c>
      <c r="S148" s="57">
        <f t="shared" ref="S148" ca="1" si="173">$Q139*X149</f>
        <v>0</v>
      </c>
      <c r="U148" s="413" t="s">
        <v>1143</v>
      </c>
      <c r="V148" s="417">
        <f t="shared" ref="V148:AA148" si="174">IFERROR(V142/$W151,0)</f>
        <v>0</v>
      </c>
      <c r="W148" s="417">
        <f t="shared" si="174"/>
        <v>0</v>
      </c>
      <c r="X148" s="417">
        <f t="shared" si="174"/>
        <v>0</v>
      </c>
      <c r="Y148" s="417">
        <f t="shared" si="174"/>
        <v>0</v>
      </c>
      <c r="Z148" s="417">
        <f t="shared" si="174"/>
        <v>0</v>
      </c>
      <c r="AA148" s="417">
        <f t="shared" si="174"/>
        <v>0</v>
      </c>
    </row>
    <row r="149" spans="2:27" hidden="1" outlineLevel="1" x14ac:dyDescent="0.2">
      <c r="E149" s="81" t="s">
        <v>1198</v>
      </c>
      <c r="F149" s="115"/>
      <c r="G149" s="115"/>
      <c r="H149" s="115"/>
      <c r="I149" s="115"/>
      <c r="J149" s="57">
        <f ca="1">$J139*V148</f>
        <v>0</v>
      </c>
      <c r="K149" s="57">
        <f ca="1">$J139*W148</f>
        <v>0</v>
      </c>
      <c r="L149" s="103"/>
      <c r="M149" s="81" t="s">
        <v>1198</v>
      </c>
      <c r="N149" s="115"/>
      <c r="O149" s="115"/>
      <c r="P149" s="115"/>
      <c r="Q149" s="115"/>
      <c r="R149" s="57">
        <f ca="1">$R139*V149</f>
        <v>0</v>
      </c>
      <c r="S149" s="57">
        <f ca="1">$R139*W149</f>
        <v>0</v>
      </c>
      <c r="U149" s="415" t="s">
        <v>1145</v>
      </c>
      <c r="V149" s="417">
        <f t="shared" ref="V149:AA149" si="175">IFERROR(V145/$W151,0)</f>
        <v>0</v>
      </c>
      <c r="W149" s="417">
        <f t="shared" si="175"/>
        <v>0</v>
      </c>
      <c r="X149" s="417">
        <f t="shared" si="175"/>
        <v>0</v>
      </c>
      <c r="Y149" s="417">
        <f t="shared" si="175"/>
        <v>0</v>
      </c>
      <c r="Z149" s="417">
        <f t="shared" si="175"/>
        <v>0</v>
      </c>
      <c r="AA149" s="417">
        <f t="shared" si="175"/>
        <v>0</v>
      </c>
    </row>
    <row r="150" spans="2:27" hidden="1" outlineLevel="1" x14ac:dyDescent="0.2">
      <c r="E150" s="81" t="s">
        <v>1199</v>
      </c>
      <c r="F150" s="115"/>
      <c r="G150" s="115"/>
      <c r="H150" s="115"/>
      <c r="I150" s="115"/>
      <c r="J150" s="115"/>
      <c r="K150" s="57">
        <f ca="1">$K139*V148</f>
        <v>0</v>
      </c>
      <c r="L150" s="103"/>
      <c r="M150" s="81" t="s">
        <v>1199</v>
      </c>
      <c r="N150" s="115"/>
      <c r="O150" s="115"/>
      <c r="P150" s="115"/>
      <c r="Q150" s="115"/>
      <c r="R150" s="115"/>
      <c r="S150" s="57">
        <f ca="1">$S139*V149</f>
        <v>0</v>
      </c>
    </row>
    <row r="151" spans="2:27" hidden="1" outlineLevel="1" x14ac:dyDescent="0.2">
      <c r="E151" s="420" t="str">
        <f>TxPhase1PxUnitsTx</f>
        <v/>
      </c>
      <c r="F151" s="421">
        <f ca="1">IF(F142&lt;&gt;"",SUM(F145:F150),F139)</f>
        <v>0</v>
      </c>
      <c r="G151" s="421">
        <f ca="1">IF(F142&lt;&gt;"",SUM(G145:G150),G139)</f>
        <v>0</v>
      </c>
      <c r="H151" s="421">
        <f ca="1">IF(F142&lt;&gt;"",SUM(H145:H150),H139)</f>
        <v>0</v>
      </c>
      <c r="I151" s="421">
        <f ca="1">IF(F142&lt;&gt;"",SUM(I145:I150),I139)</f>
        <v>0</v>
      </c>
      <c r="J151" s="421">
        <f ca="1">IF(F142&lt;&gt;"",SUM(J145:J150),J139)</f>
        <v>0</v>
      </c>
      <c r="K151" s="421">
        <f ca="1">IF(F142&lt;&gt;"",SUM(K145:K150),K139)</f>
        <v>0</v>
      </c>
      <c r="L151" s="103"/>
      <c r="M151" s="420" t="str">
        <f>TxPhase2PxUnitsTx</f>
        <v/>
      </c>
      <c r="N151" s="421">
        <f ca="1">IF(N142&lt;&gt;"",SUM(N145:N150),N139)</f>
        <v>0</v>
      </c>
      <c r="O151" s="421">
        <f ca="1">IF(N142&lt;&gt;"",SUM(O145:O150),O139)</f>
        <v>0</v>
      </c>
      <c r="P151" s="421">
        <f ca="1">IF(N142&lt;&gt;"",SUM(P145:P150),P139)</f>
        <v>0</v>
      </c>
      <c r="Q151" s="421">
        <f ca="1">IF(N142&lt;&gt;"",SUM(Q145:Q150),Q139)</f>
        <v>0</v>
      </c>
      <c r="R151" s="421">
        <f ca="1">IF(N142&lt;&gt;"",SUM(R145:R150),R139)</f>
        <v>0</v>
      </c>
      <c r="S151" s="421">
        <f ca="1">IF(N142&lt;&gt;"",SUM(S145:S150),S139)</f>
        <v>0</v>
      </c>
      <c r="U151" s="415" t="s">
        <v>1148</v>
      </c>
      <c r="V151" s="412">
        <f>IFERROR(VLOOKUP(G142,TimeUnitCode,2,FALSE),0)</f>
        <v>0</v>
      </c>
      <c r="W151" s="412">
        <f>IFERROR(INDEX(TimeUnitCount,V151,2),0)</f>
        <v>0</v>
      </c>
    </row>
    <row r="152" spans="2:27" hidden="1" outlineLevel="1" x14ac:dyDescent="0.2"/>
    <row r="153" spans="2:27" collapsed="1" x14ac:dyDescent="0.2"/>
    <row r="154" spans="2:27" ht="15.75" x14ac:dyDescent="0.2">
      <c r="B154" s="246">
        <f>IF(F164+N164&gt;12,1,0)</f>
        <v>0</v>
      </c>
      <c r="C154" s="246">
        <f ca="1">IFERROR(INDEX(PxTxPhase1,$D159,7),0)</f>
        <v>0</v>
      </c>
      <c r="D154" s="396">
        <v>7</v>
      </c>
      <c r="E154" s="72" t="str">
        <f>IF(F158&lt;&gt;"",CONCATENATE("DTG ",D154,": ",H158,": ",N154),MsgNotUsed)</f>
        <v>** NOT USED **</v>
      </c>
      <c r="F154" s="116"/>
      <c r="G154" s="116"/>
      <c r="H154" s="116"/>
      <c r="I154" s="116"/>
      <c r="J154" s="118"/>
      <c r="K154" s="118"/>
      <c r="L154" s="118"/>
      <c r="M154" s="266"/>
      <c r="N154" s="445" t="str">
        <f>IF(AND(F164="",N164=""),"Full year",IF(AND(F164&lt;&gt;"",N164=""),CONCATENATE(F164," ",G164),IF(AND(F164="",N164&lt;&gt;""),CONCATENATE(N164," ",G164),CONCATENATE(F164," + ",N164," ",G164))))</f>
        <v>Full year</v>
      </c>
      <c r="O154" s="266"/>
      <c r="P154" s="266"/>
      <c r="Q154" s="266"/>
      <c r="R154" s="266"/>
      <c r="S154" s="266"/>
      <c r="T154" s="266"/>
      <c r="U154" s="266"/>
      <c r="V154" s="266"/>
      <c r="W154" s="266"/>
      <c r="X154" s="266"/>
      <c r="Y154" s="266"/>
      <c r="Z154" s="266"/>
      <c r="AA154" s="266"/>
    </row>
    <row r="155" spans="2:27" hidden="1" outlineLevel="1" x14ac:dyDescent="0.2">
      <c r="F155" s="319">
        <v>1</v>
      </c>
      <c r="G155" s="319">
        <v>2</v>
      </c>
      <c r="H155" s="319">
        <v>3</v>
      </c>
      <c r="I155" s="319">
        <v>4</v>
      </c>
      <c r="J155" s="319">
        <v>5</v>
      </c>
      <c r="K155" s="319">
        <v>6</v>
      </c>
      <c r="N155" s="319">
        <v>1</v>
      </c>
      <c r="O155" s="319">
        <v>2</v>
      </c>
      <c r="P155" s="319">
        <v>3</v>
      </c>
      <c r="Q155" s="319">
        <v>4</v>
      </c>
      <c r="R155" s="319">
        <v>5</v>
      </c>
      <c r="S155" s="319">
        <v>6</v>
      </c>
    </row>
    <row r="156" spans="2:27" hidden="1" outlineLevel="1" x14ac:dyDescent="0.2">
      <c r="C156" s="103"/>
      <c r="D156" s="103"/>
      <c r="E156" t="s">
        <v>1193</v>
      </c>
    </row>
    <row r="157" spans="2:27" hidden="1" outlineLevel="1" x14ac:dyDescent="0.2">
      <c r="C157" s="103"/>
      <c r="D157" s="103"/>
      <c r="E157" s="260"/>
    </row>
    <row r="158" spans="2:27" hidden="1" outlineLevel="1" x14ac:dyDescent="0.2">
      <c r="C158" s="246">
        <f>IF(F158&lt;&gt;"",MATCH(F158,PxTxSource,0)-1,0)</f>
        <v>0</v>
      </c>
      <c r="D158" s="246">
        <f ca="1">IF(H158&lt;&gt;"",MATCH(H158,OFFSET(References!$AE$23,0,C158,PxPopMaxCount),0),0)</f>
        <v>0</v>
      </c>
      <c r="E158" s="8" t="s">
        <v>110</v>
      </c>
      <c r="F158" s="230"/>
      <c r="H158" s="580"/>
      <c r="I158" s="581"/>
      <c r="J158" s="581"/>
      <c r="K158" s="581"/>
      <c r="M158" s="217"/>
      <c r="N158" s="542" t="str">
        <f ca="1">IF(ISERROR($D159)=TRUE,MsgError &amp; VLOOKUP("BadPop",ErrorMessages,2,FALSE),"")</f>
        <v/>
      </c>
      <c r="O158" s="542"/>
      <c r="P158" s="542"/>
      <c r="Q158" s="542"/>
      <c r="R158" s="542"/>
      <c r="S158" s="542"/>
    </row>
    <row r="159" spans="2:27" hidden="1" outlineLevel="1" x14ac:dyDescent="0.2">
      <c r="C159" s="246">
        <f>INDEX(PxTxValid,,C158+1)</f>
        <v>1</v>
      </c>
      <c r="D159" s="246" t="str">
        <f ca="1">IF(AND(C158=0,D158=0),"",(C158*PxPopMaxCount)+D158)</f>
        <v/>
      </c>
      <c r="E159" s="103"/>
    </row>
    <row r="160" spans="2:27" hidden="1" outlineLevel="1" x14ac:dyDescent="0.2">
      <c r="E160" s="357"/>
      <c r="F160" s="74">
        <f>FirstYear</f>
        <v>2026</v>
      </c>
      <c r="G160" s="74">
        <f>F160+1</f>
        <v>2027</v>
      </c>
      <c r="H160" s="74">
        <f>G160+1</f>
        <v>2028</v>
      </c>
      <c r="I160" s="74">
        <f>H160+1</f>
        <v>2029</v>
      </c>
      <c r="J160" s="74">
        <f>I160+1</f>
        <v>2030</v>
      </c>
      <c r="K160" s="74">
        <f>J160+1</f>
        <v>2031</v>
      </c>
      <c r="L160" s="103"/>
      <c r="N160" s="74">
        <f>FirstYear</f>
        <v>2026</v>
      </c>
      <c r="O160" s="74">
        <f>N160+1</f>
        <v>2027</v>
      </c>
      <c r="P160" s="74">
        <f>O160+1</f>
        <v>2028</v>
      </c>
      <c r="Q160" s="74">
        <f>P160+1</f>
        <v>2029</v>
      </c>
      <c r="R160" s="74">
        <f>Q160+1</f>
        <v>2030</v>
      </c>
      <c r="S160" s="74">
        <f>R160+1</f>
        <v>2031</v>
      </c>
    </row>
    <row r="161" spans="2:27" hidden="1" outlineLevel="1" x14ac:dyDescent="0.2">
      <c r="E161" s="53" t="str">
        <f>TxPhase1Px</f>
        <v/>
      </c>
      <c r="F161" s="27">
        <f t="shared" ref="F161:K161" ca="1" si="176">IFERROR(INDEX(PxTxPhase1,$D159,F155),0)</f>
        <v>0</v>
      </c>
      <c r="G161" s="27">
        <f t="shared" ca="1" si="176"/>
        <v>0</v>
      </c>
      <c r="H161" s="27">
        <f t="shared" ca="1" si="176"/>
        <v>0</v>
      </c>
      <c r="I161" s="27">
        <f t="shared" ca="1" si="176"/>
        <v>0</v>
      </c>
      <c r="J161" s="27">
        <f t="shared" ca="1" si="176"/>
        <v>0</v>
      </c>
      <c r="K161" s="27">
        <f t="shared" ca="1" si="176"/>
        <v>0</v>
      </c>
      <c r="L161" s="103"/>
      <c r="M161" s="53" t="str">
        <f>TxPhase2Px</f>
        <v/>
      </c>
      <c r="N161" s="27">
        <f t="shared" ref="N161:S161" ca="1" si="177">IFERROR(INDEX(PxTxPhase2,$D159,N155),0)</f>
        <v>0</v>
      </c>
      <c r="O161" s="27">
        <f t="shared" ca="1" si="177"/>
        <v>0</v>
      </c>
      <c r="P161" s="27">
        <f t="shared" ca="1" si="177"/>
        <v>0</v>
      </c>
      <c r="Q161" s="27">
        <f t="shared" ca="1" si="177"/>
        <v>0</v>
      </c>
      <c r="R161" s="27">
        <f t="shared" ca="1" si="177"/>
        <v>0</v>
      </c>
      <c r="S161" s="27">
        <f t="shared" ca="1" si="177"/>
        <v>0</v>
      </c>
    </row>
    <row r="162" spans="2:27" hidden="1" outlineLevel="1" x14ac:dyDescent="0.2">
      <c r="L162" s="103"/>
    </row>
    <row r="163" spans="2:27" hidden="1" outlineLevel="1" x14ac:dyDescent="0.2">
      <c r="E163" s="103"/>
      <c r="F163" s="103"/>
      <c r="G163" s="103"/>
      <c r="H163" s="103"/>
      <c r="I163" s="103"/>
      <c r="J163" s="103"/>
      <c r="K163" s="103"/>
      <c r="L163" s="103"/>
      <c r="M163" s="103"/>
      <c r="U163" s="411"/>
      <c r="V163" s="412">
        <f>$W173*1</f>
        <v>0</v>
      </c>
      <c r="W163" s="412">
        <f>$W173*2</f>
        <v>0</v>
      </c>
      <c r="X163" s="412">
        <f>$W173*3</f>
        <v>0</v>
      </c>
      <c r="Y163" s="412">
        <f>$W173*4</f>
        <v>0</v>
      </c>
      <c r="Z163" s="412">
        <f>$W173*5</f>
        <v>0</v>
      </c>
      <c r="AA163" s="412">
        <f>$W173*6</f>
        <v>0</v>
      </c>
    </row>
    <row r="164" spans="2:27" hidden="1" outlineLevel="1" x14ac:dyDescent="0.2">
      <c r="E164" s="82" t="s">
        <v>1147</v>
      </c>
      <c r="F164" s="390"/>
      <c r="G164" s="227"/>
      <c r="H164" s="378"/>
      <c r="I164" s="378"/>
      <c r="J164" s="378"/>
      <c r="K164" s="378"/>
      <c r="L164" s="103"/>
      <c r="M164" s="82" t="s">
        <v>1147</v>
      </c>
      <c r="N164" s="390"/>
      <c r="O164" s="418" t="str">
        <f>IF(G164&lt;&gt;"",G164,"")</f>
        <v/>
      </c>
      <c r="P164" s="378"/>
      <c r="Q164" s="378"/>
      <c r="R164" s="378"/>
      <c r="S164" s="378"/>
      <c r="U164" s="413" t="s">
        <v>1143</v>
      </c>
      <c r="V164" s="414">
        <f>IF($F164&gt;=V163,$W173,IF($F164&gt;0,$F164,0))</f>
        <v>0</v>
      </c>
      <c r="W164" s="414">
        <f>IF($F164&gt;=W163,$W$41,IF($F164&gt;V163,($F164-V163),0))</f>
        <v>0</v>
      </c>
      <c r="X164" s="414">
        <f>IF($F164&gt;=X163,$W$41,IF($F164&gt;W163,($F164-W163),0))</f>
        <v>0</v>
      </c>
      <c r="Y164" s="414">
        <f>IF($F164&gt;=Y163,$W$41,IF($F164&gt;X163,($F164-X163),0))</f>
        <v>0</v>
      </c>
      <c r="Z164" s="414">
        <f>IF($F164&gt;=Z163,$W$41,IF($F164&gt;Y163,($F164-Y163),0))</f>
        <v>0</v>
      </c>
      <c r="AA164" s="414">
        <f>IF($F164&gt;=AA163,$W$41,IF($F164&gt;Z163,($F164-Z163),0))</f>
        <v>0</v>
      </c>
    </row>
    <row r="165" spans="2:27" hidden="1" outlineLevel="1" x14ac:dyDescent="0.2">
      <c r="L165" s="103"/>
      <c r="M165" s="437"/>
      <c r="N165" s="438"/>
      <c r="O165" s="438"/>
      <c r="P165" s="438"/>
      <c r="Q165" s="438"/>
      <c r="R165" s="438"/>
      <c r="S165" s="438"/>
      <c r="U165" s="415" t="s">
        <v>1144</v>
      </c>
      <c r="V165" s="412">
        <f t="shared" ref="V165:AA165" si="178">IF(V164&gt;0,$W173-V164,$W173)</f>
        <v>0</v>
      </c>
      <c r="W165" s="412">
        <f t="shared" si="178"/>
        <v>0</v>
      </c>
      <c r="X165" s="412">
        <f t="shared" si="178"/>
        <v>0</v>
      </c>
      <c r="Y165" s="412">
        <f t="shared" si="178"/>
        <v>0</v>
      </c>
      <c r="Z165" s="412">
        <f t="shared" si="178"/>
        <v>0</v>
      </c>
      <c r="AA165" s="412">
        <f t="shared" si="178"/>
        <v>0</v>
      </c>
    </row>
    <row r="166" spans="2:27" hidden="1" outlineLevel="1" x14ac:dyDescent="0.2">
      <c r="E166" s="437" t="str">
        <f>E161</f>
        <v/>
      </c>
      <c r="F166" s="419"/>
      <c r="G166" s="419"/>
      <c r="H166" s="419"/>
      <c r="I166" s="419"/>
      <c r="J166" s="419"/>
      <c r="K166" s="419"/>
      <c r="L166" s="103"/>
      <c r="M166" s="437" t="str">
        <f>M161</f>
        <v/>
      </c>
      <c r="N166" s="439"/>
      <c r="O166" s="440"/>
      <c r="P166" s="440"/>
      <c r="Q166" s="440"/>
      <c r="R166" s="440"/>
      <c r="S166" s="440"/>
      <c r="U166" s="378"/>
      <c r="V166" s="378"/>
      <c r="W166" s="378"/>
      <c r="X166" s="378"/>
      <c r="Y166" s="378"/>
      <c r="Z166" s="378"/>
      <c r="AA166" s="378"/>
    </row>
    <row r="167" spans="2:27" hidden="1" outlineLevel="1" x14ac:dyDescent="0.2">
      <c r="E167" s="81" t="s">
        <v>1194</v>
      </c>
      <c r="F167" s="57">
        <f ca="1">$F161*V170</f>
        <v>0</v>
      </c>
      <c r="G167" s="57">
        <f t="shared" ref="G167" ca="1" si="179">$F161*W170</f>
        <v>0</v>
      </c>
      <c r="H167" s="57">
        <f t="shared" ref="H167" ca="1" si="180">$F161*X170</f>
        <v>0</v>
      </c>
      <c r="I167" s="57">
        <f t="shared" ref="I167" ca="1" si="181">$F161*Y170</f>
        <v>0</v>
      </c>
      <c r="J167" s="57">
        <f t="shared" ref="J167" ca="1" si="182">$F161*Z170</f>
        <v>0</v>
      </c>
      <c r="K167" s="57">
        <f t="shared" ref="K167" ca="1" si="183">$F161*AA170</f>
        <v>0</v>
      </c>
      <c r="L167" s="103"/>
      <c r="M167" s="81" t="s">
        <v>1194</v>
      </c>
      <c r="N167" s="57">
        <f ca="1">$N161*V171</f>
        <v>0</v>
      </c>
      <c r="O167" s="57">
        <f ca="1">$N161*W171</f>
        <v>0</v>
      </c>
      <c r="P167" s="57">
        <f t="shared" ref="P167" ca="1" si="184">$N161*X171</f>
        <v>0</v>
      </c>
      <c r="Q167" s="57">
        <f t="shared" ref="Q167" ca="1" si="185">$N161*Y171</f>
        <v>0</v>
      </c>
      <c r="R167" s="57">
        <f t="shared" ref="R167" ca="1" si="186">$N161*Z171</f>
        <v>0</v>
      </c>
      <c r="S167" s="57">
        <f t="shared" ref="S167" ca="1" si="187">$N161*AA171</f>
        <v>0</v>
      </c>
      <c r="U167" s="415" t="s">
        <v>1145</v>
      </c>
      <c r="V167" s="414">
        <f>IF($N164&gt;=V165,V165,N164)</f>
        <v>0</v>
      </c>
      <c r="W167" s="414">
        <f>IF(V168&gt;=W165,W165,V168)</f>
        <v>0</v>
      </c>
      <c r="X167" s="414">
        <f>IF(W168&gt;=X165,X165,W168)</f>
        <v>0</v>
      </c>
      <c r="Y167" s="414">
        <f>IF(X168&gt;=Y165,Y165,X168)</f>
        <v>0</v>
      </c>
      <c r="Z167" s="414">
        <f>IF(Y168&gt;=Z165,Z165,Y168)</f>
        <v>0</v>
      </c>
      <c r="AA167" s="414">
        <f>IF(Z168&gt;=AA165,AA165,Z168)</f>
        <v>0</v>
      </c>
    </row>
    <row r="168" spans="2:27" hidden="1" outlineLevel="1" x14ac:dyDescent="0.2">
      <c r="E168" s="81" t="s">
        <v>1195</v>
      </c>
      <c r="F168" s="115"/>
      <c r="G168" s="57">
        <f ca="1">$G161*V170</f>
        <v>0</v>
      </c>
      <c r="H168" s="57">
        <f t="shared" ref="H168" ca="1" si="188">$G161*W170</f>
        <v>0</v>
      </c>
      <c r="I168" s="57">
        <f t="shared" ref="I168" ca="1" si="189">$G161*X170</f>
        <v>0</v>
      </c>
      <c r="J168" s="57">
        <f t="shared" ref="J168" ca="1" si="190">$G161*Y170</f>
        <v>0</v>
      </c>
      <c r="K168" s="57">
        <f t="shared" ref="K168" ca="1" si="191">$G161*Z170</f>
        <v>0</v>
      </c>
      <c r="L168" s="103"/>
      <c r="M168" s="81" t="s">
        <v>1195</v>
      </c>
      <c r="N168" s="115"/>
      <c r="O168" s="57">
        <f ca="1">$O161*V171</f>
        <v>0</v>
      </c>
      <c r="P168" s="57">
        <f t="shared" ref="P168" ca="1" si="192">$O161*W171</f>
        <v>0</v>
      </c>
      <c r="Q168" s="57">
        <f t="shared" ref="Q168" ca="1" si="193">$O161*X171</f>
        <v>0</v>
      </c>
      <c r="R168" s="57">
        <f t="shared" ref="R168" ca="1" si="194">$O161*Y171</f>
        <v>0</v>
      </c>
      <c r="S168" s="57">
        <f t="shared" ref="S168" ca="1" si="195">$O161*Z171</f>
        <v>0</v>
      </c>
      <c r="U168" s="415" t="s">
        <v>1146</v>
      </c>
      <c r="V168" s="412">
        <f>$N164-V167</f>
        <v>0</v>
      </c>
      <c r="W168" s="412">
        <f>$N164-SUM($V167:W167)</f>
        <v>0</v>
      </c>
      <c r="X168" s="412">
        <f>$N164-SUM($V167:X167)</f>
        <v>0</v>
      </c>
      <c r="Y168" s="412">
        <f>$N164-SUM($V167:Y167)</f>
        <v>0</v>
      </c>
      <c r="Z168" s="412">
        <f>$N164-SUM($V167:Z167)</f>
        <v>0</v>
      </c>
      <c r="AA168" s="412">
        <f>$N164-SUM($V167:AA167)</f>
        <v>0</v>
      </c>
    </row>
    <row r="169" spans="2:27" hidden="1" outlineLevel="1" x14ac:dyDescent="0.2">
      <c r="E169" s="81" t="s">
        <v>1196</v>
      </c>
      <c r="F169" s="115"/>
      <c r="G169" s="115"/>
      <c r="H169" s="57">
        <f ca="1">$H161*V170</f>
        <v>0</v>
      </c>
      <c r="I169" s="57">
        <f t="shared" ref="I169" ca="1" si="196">$H161*W170</f>
        <v>0</v>
      </c>
      <c r="J169" s="57">
        <f t="shared" ref="J169" ca="1" si="197">$H161*X170</f>
        <v>0</v>
      </c>
      <c r="K169" s="57">
        <f t="shared" ref="K169" ca="1" si="198">$H161*Y170</f>
        <v>0</v>
      </c>
      <c r="L169" s="103"/>
      <c r="M169" s="81" t="s">
        <v>1196</v>
      </c>
      <c r="N169" s="115"/>
      <c r="O169" s="115"/>
      <c r="P169" s="57">
        <f ca="1">$P161*V171</f>
        <v>0</v>
      </c>
      <c r="Q169" s="57">
        <f t="shared" ref="Q169" ca="1" si="199">$P161*W171</f>
        <v>0</v>
      </c>
      <c r="R169" s="57">
        <f t="shared" ref="R169" ca="1" si="200">$P161*X171</f>
        <v>0</v>
      </c>
      <c r="S169" s="57">
        <f t="shared" ref="S169" ca="1" si="201">$P161*Y171</f>
        <v>0</v>
      </c>
      <c r="V169" s="416"/>
      <c r="AA169" s="378"/>
    </row>
    <row r="170" spans="2:27" hidden="1" outlineLevel="1" x14ac:dyDescent="0.2">
      <c r="E170" s="81" t="s">
        <v>1197</v>
      </c>
      <c r="F170" s="115"/>
      <c r="G170" s="115"/>
      <c r="H170" s="115"/>
      <c r="I170" s="57">
        <f ca="1">$I161*V170</f>
        <v>0</v>
      </c>
      <c r="J170" s="57">
        <f t="shared" ref="J170" ca="1" si="202">$I161*W170</f>
        <v>0</v>
      </c>
      <c r="K170" s="57">
        <f t="shared" ref="K170" ca="1" si="203">$I161*X170</f>
        <v>0</v>
      </c>
      <c r="L170" s="103"/>
      <c r="M170" s="81" t="s">
        <v>1197</v>
      </c>
      <c r="N170" s="115"/>
      <c r="O170" s="115"/>
      <c r="P170" s="115"/>
      <c r="Q170" s="57">
        <f ca="1">$Q161*V171</f>
        <v>0</v>
      </c>
      <c r="R170" s="57">
        <f t="shared" ref="R170" ca="1" si="204">$Q161*W171</f>
        <v>0</v>
      </c>
      <c r="S170" s="57">
        <f t="shared" ref="S170" ca="1" si="205">$Q161*X171</f>
        <v>0</v>
      </c>
      <c r="U170" s="413" t="s">
        <v>1143</v>
      </c>
      <c r="V170" s="417">
        <f t="shared" ref="V170:AA170" si="206">IFERROR(V164/$W173,0)</f>
        <v>0</v>
      </c>
      <c r="W170" s="417">
        <f t="shared" si="206"/>
        <v>0</v>
      </c>
      <c r="X170" s="417">
        <f t="shared" si="206"/>
        <v>0</v>
      </c>
      <c r="Y170" s="417">
        <f t="shared" si="206"/>
        <v>0</v>
      </c>
      <c r="Z170" s="417">
        <f t="shared" si="206"/>
        <v>0</v>
      </c>
      <c r="AA170" s="417">
        <f t="shared" si="206"/>
        <v>0</v>
      </c>
    </row>
    <row r="171" spans="2:27" hidden="1" outlineLevel="1" x14ac:dyDescent="0.2">
      <c r="E171" s="81" t="s">
        <v>1198</v>
      </c>
      <c r="F171" s="115"/>
      <c r="G171" s="115"/>
      <c r="H171" s="115"/>
      <c r="I171" s="115"/>
      <c r="J171" s="57">
        <f ca="1">$J161*V170</f>
        <v>0</v>
      </c>
      <c r="K171" s="57">
        <f ca="1">$J161*W170</f>
        <v>0</v>
      </c>
      <c r="L171" s="103"/>
      <c r="M171" s="81" t="s">
        <v>1198</v>
      </c>
      <c r="N171" s="115"/>
      <c r="O171" s="115"/>
      <c r="P171" s="115"/>
      <c r="Q171" s="115"/>
      <c r="R171" s="57">
        <f ca="1">$R161*V171</f>
        <v>0</v>
      </c>
      <c r="S171" s="57">
        <f ca="1">$R161*W171</f>
        <v>0</v>
      </c>
      <c r="U171" s="415" t="s">
        <v>1145</v>
      </c>
      <c r="V171" s="417">
        <f t="shared" ref="V171:AA171" si="207">IFERROR(V167/$W173,0)</f>
        <v>0</v>
      </c>
      <c r="W171" s="417">
        <f t="shared" si="207"/>
        <v>0</v>
      </c>
      <c r="X171" s="417">
        <f t="shared" si="207"/>
        <v>0</v>
      </c>
      <c r="Y171" s="417">
        <f t="shared" si="207"/>
        <v>0</v>
      </c>
      <c r="Z171" s="417">
        <f t="shared" si="207"/>
        <v>0</v>
      </c>
      <c r="AA171" s="417">
        <f t="shared" si="207"/>
        <v>0</v>
      </c>
    </row>
    <row r="172" spans="2:27" hidden="1" outlineLevel="1" x14ac:dyDescent="0.2">
      <c r="E172" s="81" t="s">
        <v>1199</v>
      </c>
      <c r="F172" s="115"/>
      <c r="G172" s="115"/>
      <c r="H172" s="115"/>
      <c r="I172" s="115"/>
      <c r="J172" s="115"/>
      <c r="K172" s="57">
        <f ca="1">$K161*V170</f>
        <v>0</v>
      </c>
      <c r="L172" s="103"/>
      <c r="M172" s="81" t="s">
        <v>1199</v>
      </c>
      <c r="N172" s="115"/>
      <c r="O172" s="115"/>
      <c r="P172" s="115"/>
      <c r="Q172" s="115"/>
      <c r="R172" s="115"/>
      <c r="S172" s="57">
        <f ca="1">$S161*V171</f>
        <v>0</v>
      </c>
    </row>
    <row r="173" spans="2:27" hidden="1" outlineLevel="1" x14ac:dyDescent="0.2">
      <c r="E173" s="420" t="str">
        <f>TxPhase1PxUnitsTx</f>
        <v/>
      </c>
      <c r="F173" s="421">
        <f ca="1">IF(F164&lt;&gt;"",SUM(F167:F172),F161)</f>
        <v>0</v>
      </c>
      <c r="G173" s="421">
        <f ca="1">IF(F164&lt;&gt;"",SUM(G167:G172),G161)</f>
        <v>0</v>
      </c>
      <c r="H173" s="421">
        <f ca="1">IF(F164&lt;&gt;"",SUM(H167:H172),H161)</f>
        <v>0</v>
      </c>
      <c r="I173" s="421">
        <f ca="1">IF(F164&lt;&gt;"",SUM(I167:I172),I161)</f>
        <v>0</v>
      </c>
      <c r="J173" s="421">
        <f ca="1">IF(F164&lt;&gt;"",SUM(J167:J172),J161)</f>
        <v>0</v>
      </c>
      <c r="K173" s="421">
        <f ca="1">IF(F164&lt;&gt;"",SUM(K167:K172),K161)</f>
        <v>0</v>
      </c>
      <c r="L173" s="103"/>
      <c r="M173" s="420" t="str">
        <f>TxPhase2PxUnitsTx</f>
        <v/>
      </c>
      <c r="N173" s="421">
        <f ca="1">IF(N164&lt;&gt;"",SUM(N167:N172),N161)</f>
        <v>0</v>
      </c>
      <c r="O173" s="421">
        <f ca="1">IF(N164&lt;&gt;"",SUM(O167:O172),O161)</f>
        <v>0</v>
      </c>
      <c r="P173" s="421">
        <f ca="1">IF(N164&lt;&gt;"",SUM(P167:P172),P161)</f>
        <v>0</v>
      </c>
      <c r="Q173" s="421">
        <f ca="1">IF(N164&lt;&gt;"",SUM(Q167:Q172),Q161)</f>
        <v>0</v>
      </c>
      <c r="R173" s="421">
        <f ca="1">IF(N164&lt;&gt;"",SUM(R167:R172),R161)</f>
        <v>0</v>
      </c>
      <c r="S173" s="421">
        <f ca="1">IF(N164&lt;&gt;"",SUM(S167:S172),S161)</f>
        <v>0</v>
      </c>
      <c r="U173" s="415" t="s">
        <v>1148</v>
      </c>
      <c r="V173" s="412">
        <f>IFERROR(VLOOKUP(G164,TimeUnitCode,2,FALSE),0)</f>
        <v>0</v>
      </c>
      <c r="W173" s="412">
        <f>IFERROR(INDEX(TimeUnitCount,V173,2),0)</f>
        <v>0</v>
      </c>
    </row>
    <row r="174" spans="2:27" hidden="1" outlineLevel="1" x14ac:dyDescent="0.2"/>
    <row r="175" spans="2:27" collapsed="1" x14ac:dyDescent="0.2"/>
    <row r="176" spans="2:27" ht="15.75" x14ac:dyDescent="0.2">
      <c r="B176" s="246">
        <f>IF(F186+N186&gt;12,1,0)</f>
        <v>0</v>
      </c>
      <c r="C176" s="246">
        <f ca="1">IFERROR(INDEX(PxTxPhase1,$D181,7),0)</f>
        <v>0</v>
      </c>
      <c r="D176" s="396">
        <v>8</v>
      </c>
      <c r="E176" s="72" t="str">
        <f>IF(F180&lt;&gt;"",CONCATENATE("DTG ",D176,": ",H180,": ",N176),MsgNotUsed)</f>
        <v>** NOT USED **</v>
      </c>
      <c r="F176" s="116"/>
      <c r="G176" s="116"/>
      <c r="H176" s="116"/>
      <c r="I176" s="116"/>
      <c r="J176" s="118"/>
      <c r="K176" s="118"/>
      <c r="L176" s="118"/>
      <c r="M176" s="266"/>
      <c r="N176" s="445" t="str">
        <f>IF(AND(F186="",N186=""),"Full year",IF(AND(F186&lt;&gt;"",N186=""),CONCATENATE(F186," ",G186),IF(AND(F186="",N186&lt;&gt;""),CONCATENATE(N186," ",G186),CONCATENATE(F186," + ",N186," ",G186))))</f>
        <v>Full year</v>
      </c>
      <c r="O176" s="266"/>
      <c r="P176" s="266"/>
      <c r="Q176" s="266"/>
      <c r="R176" s="266"/>
      <c r="S176" s="266"/>
      <c r="T176" s="266"/>
      <c r="U176" s="266"/>
      <c r="V176" s="266"/>
      <c r="W176" s="266"/>
      <c r="X176" s="266"/>
      <c r="Y176" s="266"/>
      <c r="Z176" s="266"/>
      <c r="AA176" s="266"/>
    </row>
    <row r="177" spans="3:27" hidden="1" outlineLevel="1" x14ac:dyDescent="0.2">
      <c r="F177" s="319">
        <v>1</v>
      </c>
      <c r="G177" s="319">
        <v>2</v>
      </c>
      <c r="H177" s="319">
        <v>3</v>
      </c>
      <c r="I177" s="319">
        <v>4</v>
      </c>
      <c r="J177" s="319">
        <v>5</v>
      </c>
      <c r="K177" s="319">
        <v>6</v>
      </c>
      <c r="N177" s="319">
        <v>1</v>
      </c>
      <c r="O177" s="319">
        <v>2</v>
      </c>
      <c r="P177" s="319">
        <v>3</v>
      </c>
      <c r="Q177" s="319">
        <v>4</v>
      </c>
      <c r="R177" s="319">
        <v>5</v>
      </c>
      <c r="S177" s="319">
        <v>6</v>
      </c>
    </row>
    <row r="178" spans="3:27" hidden="1" outlineLevel="1" x14ac:dyDescent="0.2">
      <c r="C178" s="103"/>
      <c r="D178" s="103"/>
      <c r="E178" t="s">
        <v>1193</v>
      </c>
    </row>
    <row r="179" spans="3:27" hidden="1" outlineLevel="1" x14ac:dyDescent="0.2">
      <c r="C179" s="103"/>
      <c r="D179" s="103"/>
      <c r="E179" s="260"/>
    </row>
    <row r="180" spans="3:27" hidden="1" outlineLevel="1" x14ac:dyDescent="0.2">
      <c r="C180" s="246">
        <f>IF(F180&lt;&gt;"",MATCH(F180,PxTxSource,0)-1,0)</f>
        <v>0</v>
      </c>
      <c r="D180" s="246">
        <f ca="1">IF(H180&lt;&gt;"",MATCH(H180,OFFSET(References!$AE$23,0,C180,PxPopMaxCount),0),0)</f>
        <v>0</v>
      </c>
      <c r="E180" s="8" t="s">
        <v>110</v>
      </c>
      <c r="F180" s="230"/>
      <c r="H180" s="580"/>
      <c r="I180" s="581"/>
      <c r="J180" s="581"/>
      <c r="K180" s="581"/>
      <c r="M180" s="217"/>
      <c r="N180" s="542" t="str">
        <f ca="1">IF(ISERROR($D181)=TRUE,MsgError &amp; VLOOKUP("BadPop",ErrorMessages,2,FALSE),"")</f>
        <v/>
      </c>
      <c r="O180" s="542"/>
      <c r="P180" s="542"/>
      <c r="Q180" s="542"/>
      <c r="R180" s="542"/>
      <c r="S180" s="542"/>
    </row>
    <row r="181" spans="3:27" hidden="1" outlineLevel="1" x14ac:dyDescent="0.2">
      <c r="C181" s="246">
        <f>INDEX(PxTxValid,,C180+1)</f>
        <v>1</v>
      </c>
      <c r="D181" s="246" t="str">
        <f ca="1">IF(AND(C180=0,D180=0),"",(C180*PxPopMaxCount)+D180)</f>
        <v/>
      </c>
      <c r="E181" s="103"/>
    </row>
    <row r="182" spans="3:27" hidden="1" outlineLevel="1" x14ac:dyDescent="0.2">
      <c r="E182" s="357"/>
      <c r="F182" s="74">
        <f>FirstYear</f>
        <v>2026</v>
      </c>
      <c r="G182" s="74">
        <f>F182+1</f>
        <v>2027</v>
      </c>
      <c r="H182" s="74">
        <f>G182+1</f>
        <v>2028</v>
      </c>
      <c r="I182" s="74">
        <f>H182+1</f>
        <v>2029</v>
      </c>
      <c r="J182" s="74">
        <f>I182+1</f>
        <v>2030</v>
      </c>
      <c r="K182" s="74">
        <f>J182+1</f>
        <v>2031</v>
      </c>
      <c r="L182" s="103"/>
      <c r="N182" s="74">
        <f>FirstYear</f>
        <v>2026</v>
      </c>
      <c r="O182" s="74">
        <f>N182+1</f>
        <v>2027</v>
      </c>
      <c r="P182" s="74">
        <f>O182+1</f>
        <v>2028</v>
      </c>
      <c r="Q182" s="74">
        <f>P182+1</f>
        <v>2029</v>
      </c>
      <c r="R182" s="74">
        <f>Q182+1</f>
        <v>2030</v>
      </c>
      <c r="S182" s="74">
        <f>R182+1</f>
        <v>2031</v>
      </c>
    </row>
    <row r="183" spans="3:27" hidden="1" outlineLevel="1" x14ac:dyDescent="0.2">
      <c r="E183" s="53" t="str">
        <f>TxPhase1Px</f>
        <v/>
      </c>
      <c r="F183" s="27">
        <f t="shared" ref="F183:K183" ca="1" si="208">IFERROR(INDEX(PxTxPhase1,$D181,F177),0)</f>
        <v>0</v>
      </c>
      <c r="G183" s="27">
        <f t="shared" ca="1" si="208"/>
        <v>0</v>
      </c>
      <c r="H183" s="27">
        <f t="shared" ca="1" si="208"/>
        <v>0</v>
      </c>
      <c r="I183" s="27">
        <f t="shared" ca="1" si="208"/>
        <v>0</v>
      </c>
      <c r="J183" s="27">
        <f t="shared" ca="1" si="208"/>
        <v>0</v>
      </c>
      <c r="K183" s="27">
        <f t="shared" ca="1" si="208"/>
        <v>0</v>
      </c>
      <c r="L183" s="103"/>
      <c r="M183" s="53" t="str">
        <f>TxPhase2Px</f>
        <v/>
      </c>
      <c r="N183" s="27">
        <f t="shared" ref="N183:S183" ca="1" si="209">IFERROR(INDEX(PxTxPhase2,$D181,N177),0)</f>
        <v>0</v>
      </c>
      <c r="O183" s="27">
        <f t="shared" ca="1" si="209"/>
        <v>0</v>
      </c>
      <c r="P183" s="27">
        <f t="shared" ca="1" si="209"/>
        <v>0</v>
      </c>
      <c r="Q183" s="27">
        <f t="shared" ca="1" si="209"/>
        <v>0</v>
      </c>
      <c r="R183" s="27">
        <f t="shared" ca="1" si="209"/>
        <v>0</v>
      </c>
      <c r="S183" s="27">
        <f t="shared" ca="1" si="209"/>
        <v>0</v>
      </c>
    </row>
    <row r="184" spans="3:27" hidden="1" outlineLevel="1" x14ac:dyDescent="0.2">
      <c r="L184" s="103"/>
    </row>
    <row r="185" spans="3:27" hidden="1" outlineLevel="1" x14ac:dyDescent="0.2">
      <c r="E185" s="103"/>
      <c r="F185" s="103"/>
      <c r="G185" s="103"/>
      <c r="H185" s="103"/>
      <c r="I185" s="103"/>
      <c r="J185" s="103"/>
      <c r="K185" s="103"/>
      <c r="L185" s="103"/>
      <c r="M185" s="103"/>
      <c r="U185" s="411"/>
      <c r="V185" s="412">
        <f>$W195*1</f>
        <v>0</v>
      </c>
      <c r="W185" s="412">
        <f>$W195*2</f>
        <v>0</v>
      </c>
      <c r="X185" s="412">
        <f>$W195*3</f>
        <v>0</v>
      </c>
      <c r="Y185" s="412">
        <f>$W195*4</f>
        <v>0</v>
      </c>
      <c r="Z185" s="412">
        <f>$W195*5</f>
        <v>0</v>
      </c>
      <c r="AA185" s="412">
        <f>$W195*6</f>
        <v>0</v>
      </c>
    </row>
    <row r="186" spans="3:27" hidden="1" outlineLevel="1" x14ac:dyDescent="0.2">
      <c r="E186" s="82" t="s">
        <v>1147</v>
      </c>
      <c r="F186" s="390"/>
      <c r="G186" s="227"/>
      <c r="H186" s="378"/>
      <c r="I186" s="378"/>
      <c r="J186" s="378"/>
      <c r="K186" s="378"/>
      <c r="L186" s="103"/>
      <c r="M186" s="82" t="s">
        <v>1147</v>
      </c>
      <c r="N186" s="390"/>
      <c r="O186" s="418" t="str">
        <f>IF(G186&lt;&gt;"",G186,"")</f>
        <v/>
      </c>
      <c r="P186" s="378"/>
      <c r="Q186" s="378"/>
      <c r="R186" s="378"/>
      <c r="S186" s="378"/>
      <c r="U186" s="413" t="s">
        <v>1143</v>
      </c>
      <c r="V186" s="414">
        <f>IF($F186&gt;=V185,$W195,IF($F186&gt;0,$F186,0))</f>
        <v>0</v>
      </c>
      <c r="W186" s="414">
        <f>IF($F186&gt;=W185,$W$41,IF($F186&gt;V185,($F186-V185),0))</f>
        <v>0</v>
      </c>
      <c r="X186" s="414">
        <f>IF($F186&gt;=X185,$W$41,IF($F186&gt;W185,($F186-W185),0))</f>
        <v>0</v>
      </c>
      <c r="Y186" s="414">
        <f>IF($F186&gt;=Y185,$W$41,IF($F186&gt;X185,($F186-X185),0))</f>
        <v>0</v>
      </c>
      <c r="Z186" s="414">
        <f>IF($F186&gt;=Z185,$W$41,IF($F186&gt;Y185,($F186-Y185),0))</f>
        <v>0</v>
      </c>
      <c r="AA186" s="414">
        <f>IF($F186&gt;=AA185,$W$41,IF($F186&gt;Z185,($F186-Z185),0))</f>
        <v>0</v>
      </c>
    </row>
    <row r="187" spans="3:27" hidden="1" outlineLevel="1" x14ac:dyDescent="0.2">
      <c r="L187" s="103"/>
      <c r="M187" s="437"/>
      <c r="N187" s="438"/>
      <c r="O187" s="438"/>
      <c r="P187" s="438"/>
      <c r="Q187" s="438"/>
      <c r="R187" s="438"/>
      <c r="S187" s="438"/>
      <c r="U187" s="415" t="s">
        <v>1144</v>
      </c>
      <c r="V187" s="412">
        <f t="shared" ref="V187:AA187" si="210">IF(V186&gt;0,$W195-V186,$W195)</f>
        <v>0</v>
      </c>
      <c r="W187" s="412">
        <f t="shared" si="210"/>
        <v>0</v>
      </c>
      <c r="X187" s="412">
        <f t="shared" si="210"/>
        <v>0</v>
      </c>
      <c r="Y187" s="412">
        <f t="shared" si="210"/>
        <v>0</v>
      </c>
      <c r="Z187" s="412">
        <f t="shared" si="210"/>
        <v>0</v>
      </c>
      <c r="AA187" s="412">
        <f t="shared" si="210"/>
        <v>0</v>
      </c>
    </row>
    <row r="188" spans="3:27" hidden="1" outlineLevel="1" x14ac:dyDescent="0.2">
      <c r="E188" s="437" t="str">
        <f>E183</f>
        <v/>
      </c>
      <c r="F188" s="419"/>
      <c r="G188" s="419"/>
      <c r="H188" s="419"/>
      <c r="I188" s="419"/>
      <c r="J188" s="419"/>
      <c r="K188" s="419"/>
      <c r="L188" s="103"/>
      <c r="M188" s="437" t="str">
        <f>M183</f>
        <v/>
      </c>
      <c r="N188" s="439"/>
      <c r="O188" s="440"/>
      <c r="P188" s="440"/>
      <c r="Q188" s="440"/>
      <c r="R188" s="440"/>
      <c r="S188" s="440"/>
      <c r="U188" s="378"/>
      <c r="V188" s="378"/>
      <c r="W188" s="378"/>
      <c r="X188" s="378"/>
      <c r="Y188" s="378"/>
      <c r="Z188" s="378"/>
      <c r="AA188" s="378"/>
    </row>
    <row r="189" spans="3:27" hidden="1" outlineLevel="1" x14ac:dyDescent="0.2">
      <c r="E189" s="81" t="s">
        <v>1194</v>
      </c>
      <c r="F189" s="57">
        <f ca="1">$F183*V192</f>
        <v>0</v>
      </c>
      <c r="G189" s="57">
        <f t="shared" ref="G189" ca="1" si="211">$F183*W192</f>
        <v>0</v>
      </c>
      <c r="H189" s="57">
        <f t="shared" ref="H189" ca="1" si="212">$F183*X192</f>
        <v>0</v>
      </c>
      <c r="I189" s="57">
        <f t="shared" ref="I189" ca="1" si="213">$F183*Y192</f>
        <v>0</v>
      </c>
      <c r="J189" s="57">
        <f t="shared" ref="J189" ca="1" si="214">$F183*Z192</f>
        <v>0</v>
      </c>
      <c r="K189" s="57">
        <f t="shared" ref="K189" ca="1" si="215">$F183*AA192</f>
        <v>0</v>
      </c>
      <c r="L189" s="103"/>
      <c r="M189" s="81" t="s">
        <v>1194</v>
      </c>
      <c r="N189" s="57">
        <f ca="1">$N183*V193</f>
        <v>0</v>
      </c>
      <c r="O189" s="57">
        <f ca="1">$N183*W193</f>
        <v>0</v>
      </c>
      <c r="P189" s="57">
        <f t="shared" ref="P189" ca="1" si="216">$N183*X193</f>
        <v>0</v>
      </c>
      <c r="Q189" s="57">
        <f t="shared" ref="Q189" ca="1" si="217">$N183*Y193</f>
        <v>0</v>
      </c>
      <c r="R189" s="57">
        <f t="shared" ref="R189" ca="1" si="218">$N183*Z193</f>
        <v>0</v>
      </c>
      <c r="S189" s="57">
        <f t="shared" ref="S189" ca="1" si="219">$N183*AA193</f>
        <v>0</v>
      </c>
      <c r="U189" s="415" t="s">
        <v>1145</v>
      </c>
      <c r="V189" s="414">
        <f>IF($N186&gt;=V187,V187,N186)</f>
        <v>0</v>
      </c>
      <c r="W189" s="414">
        <f>IF(V190&gt;=W187,W187,V190)</f>
        <v>0</v>
      </c>
      <c r="X189" s="414">
        <f>IF(W190&gt;=X187,X187,W190)</f>
        <v>0</v>
      </c>
      <c r="Y189" s="414">
        <f>IF(X190&gt;=Y187,Y187,X190)</f>
        <v>0</v>
      </c>
      <c r="Z189" s="414">
        <f>IF(Y190&gt;=Z187,Z187,Y190)</f>
        <v>0</v>
      </c>
      <c r="AA189" s="414">
        <f>IF(Z190&gt;=AA187,AA187,Z190)</f>
        <v>0</v>
      </c>
    </row>
    <row r="190" spans="3:27" hidden="1" outlineLevel="1" x14ac:dyDescent="0.2">
      <c r="E190" s="81" t="s">
        <v>1195</v>
      </c>
      <c r="F190" s="115"/>
      <c r="G190" s="57">
        <f ca="1">$G183*V192</f>
        <v>0</v>
      </c>
      <c r="H190" s="57">
        <f t="shared" ref="H190" ca="1" si="220">$G183*W192</f>
        <v>0</v>
      </c>
      <c r="I190" s="57">
        <f t="shared" ref="I190" ca="1" si="221">$G183*X192</f>
        <v>0</v>
      </c>
      <c r="J190" s="57">
        <f t="shared" ref="J190" ca="1" si="222">$G183*Y192</f>
        <v>0</v>
      </c>
      <c r="K190" s="57">
        <f t="shared" ref="K190" ca="1" si="223">$G183*Z192</f>
        <v>0</v>
      </c>
      <c r="L190" s="103"/>
      <c r="M190" s="81" t="s">
        <v>1195</v>
      </c>
      <c r="N190" s="115"/>
      <c r="O190" s="57">
        <f ca="1">$O183*V193</f>
        <v>0</v>
      </c>
      <c r="P190" s="57">
        <f t="shared" ref="P190" ca="1" si="224">$O183*W193</f>
        <v>0</v>
      </c>
      <c r="Q190" s="57">
        <f t="shared" ref="Q190" ca="1" si="225">$O183*X193</f>
        <v>0</v>
      </c>
      <c r="R190" s="57">
        <f t="shared" ref="R190" ca="1" si="226">$O183*Y193</f>
        <v>0</v>
      </c>
      <c r="S190" s="57">
        <f t="shared" ref="S190" ca="1" si="227">$O183*Z193</f>
        <v>0</v>
      </c>
      <c r="U190" s="415" t="s">
        <v>1146</v>
      </c>
      <c r="V190" s="412">
        <f>$N186-V189</f>
        <v>0</v>
      </c>
      <c r="W190" s="412">
        <f>$N186-SUM($V189:W189)</f>
        <v>0</v>
      </c>
      <c r="X190" s="412">
        <f>$N186-SUM($V189:X189)</f>
        <v>0</v>
      </c>
      <c r="Y190" s="412">
        <f>$N186-SUM($V189:Y189)</f>
        <v>0</v>
      </c>
      <c r="Z190" s="412">
        <f>$N186-SUM($V189:Z189)</f>
        <v>0</v>
      </c>
      <c r="AA190" s="412">
        <f>$N186-SUM($V189:AA189)</f>
        <v>0</v>
      </c>
    </row>
    <row r="191" spans="3:27" hidden="1" outlineLevel="1" x14ac:dyDescent="0.2">
      <c r="E191" s="81" t="s">
        <v>1196</v>
      </c>
      <c r="F191" s="115"/>
      <c r="G191" s="115"/>
      <c r="H191" s="57">
        <f ca="1">$H183*V192</f>
        <v>0</v>
      </c>
      <c r="I191" s="57">
        <f t="shared" ref="I191" ca="1" si="228">$H183*W192</f>
        <v>0</v>
      </c>
      <c r="J191" s="57">
        <f t="shared" ref="J191" ca="1" si="229">$H183*X192</f>
        <v>0</v>
      </c>
      <c r="K191" s="57">
        <f t="shared" ref="K191" ca="1" si="230">$H183*Y192</f>
        <v>0</v>
      </c>
      <c r="L191" s="103"/>
      <c r="M191" s="81" t="s">
        <v>1196</v>
      </c>
      <c r="N191" s="115"/>
      <c r="O191" s="115"/>
      <c r="P191" s="57">
        <f ca="1">$P183*V193</f>
        <v>0</v>
      </c>
      <c r="Q191" s="57">
        <f t="shared" ref="Q191" ca="1" si="231">$P183*W193</f>
        <v>0</v>
      </c>
      <c r="R191" s="57">
        <f t="shared" ref="R191" ca="1" si="232">$P183*X193</f>
        <v>0</v>
      </c>
      <c r="S191" s="57">
        <f t="shared" ref="S191" ca="1" si="233">$P183*Y193</f>
        <v>0</v>
      </c>
      <c r="V191" s="416"/>
      <c r="AA191" s="378"/>
    </row>
    <row r="192" spans="3:27" hidden="1" outlineLevel="1" x14ac:dyDescent="0.2">
      <c r="E192" s="81" t="s">
        <v>1197</v>
      </c>
      <c r="F192" s="115"/>
      <c r="G192" s="115"/>
      <c r="H192" s="115"/>
      <c r="I192" s="57">
        <f ca="1">$I183*V192</f>
        <v>0</v>
      </c>
      <c r="J192" s="57">
        <f t="shared" ref="J192" ca="1" si="234">$I183*W192</f>
        <v>0</v>
      </c>
      <c r="K192" s="57">
        <f t="shared" ref="K192" ca="1" si="235">$I183*X192</f>
        <v>0</v>
      </c>
      <c r="L192" s="103"/>
      <c r="M192" s="81" t="s">
        <v>1197</v>
      </c>
      <c r="N192" s="115"/>
      <c r="O192" s="115"/>
      <c r="P192" s="115"/>
      <c r="Q192" s="57">
        <f ca="1">$Q183*V193</f>
        <v>0</v>
      </c>
      <c r="R192" s="57">
        <f t="shared" ref="R192" ca="1" si="236">$Q183*W193</f>
        <v>0</v>
      </c>
      <c r="S192" s="57">
        <f t="shared" ref="S192" ca="1" si="237">$Q183*X193</f>
        <v>0</v>
      </c>
      <c r="U192" s="413" t="s">
        <v>1143</v>
      </c>
      <c r="V192" s="417">
        <f t="shared" ref="V192:AA192" si="238">IFERROR(V186/$W195,0)</f>
        <v>0</v>
      </c>
      <c r="W192" s="417">
        <f t="shared" si="238"/>
        <v>0</v>
      </c>
      <c r="X192" s="417">
        <f t="shared" si="238"/>
        <v>0</v>
      </c>
      <c r="Y192" s="417">
        <f t="shared" si="238"/>
        <v>0</v>
      </c>
      <c r="Z192" s="417">
        <f t="shared" si="238"/>
        <v>0</v>
      </c>
      <c r="AA192" s="417">
        <f t="shared" si="238"/>
        <v>0</v>
      </c>
    </row>
    <row r="193" spans="2:27" hidden="1" outlineLevel="1" x14ac:dyDescent="0.2">
      <c r="E193" s="81" t="s">
        <v>1198</v>
      </c>
      <c r="F193" s="115"/>
      <c r="G193" s="115"/>
      <c r="H193" s="115"/>
      <c r="I193" s="115"/>
      <c r="J193" s="57">
        <f ca="1">$J183*V192</f>
        <v>0</v>
      </c>
      <c r="K193" s="57">
        <f ca="1">$J183*W192</f>
        <v>0</v>
      </c>
      <c r="L193" s="103"/>
      <c r="M193" s="81" t="s">
        <v>1198</v>
      </c>
      <c r="N193" s="115"/>
      <c r="O193" s="115"/>
      <c r="P193" s="115"/>
      <c r="Q193" s="115"/>
      <c r="R193" s="57">
        <f ca="1">$R183*V193</f>
        <v>0</v>
      </c>
      <c r="S193" s="57">
        <f ca="1">$R183*W193</f>
        <v>0</v>
      </c>
      <c r="U193" s="415" t="s">
        <v>1145</v>
      </c>
      <c r="V193" s="417">
        <f t="shared" ref="V193:AA193" si="239">IFERROR(V189/$W195,0)</f>
        <v>0</v>
      </c>
      <c r="W193" s="417">
        <f t="shared" si="239"/>
        <v>0</v>
      </c>
      <c r="X193" s="417">
        <f t="shared" si="239"/>
        <v>0</v>
      </c>
      <c r="Y193" s="417">
        <f t="shared" si="239"/>
        <v>0</v>
      </c>
      <c r="Z193" s="417">
        <f t="shared" si="239"/>
        <v>0</v>
      </c>
      <c r="AA193" s="417">
        <f t="shared" si="239"/>
        <v>0</v>
      </c>
    </row>
    <row r="194" spans="2:27" hidden="1" outlineLevel="1" x14ac:dyDescent="0.2">
      <c r="E194" s="81" t="s">
        <v>1199</v>
      </c>
      <c r="F194" s="115"/>
      <c r="G194" s="115"/>
      <c r="H194" s="115"/>
      <c r="I194" s="115"/>
      <c r="J194" s="115"/>
      <c r="K194" s="57">
        <f ca="1">$K183*V192</f>
        <v>0</v>
      </c>
      <c r="L194" s="103"/>
      <c r="M194" s="81" t="s">
        <v>1199</v>
      </c>
      <c r="N194" s="115"/>
      <c r="O194" s="115"/>
      <c r="P194" s="115"/>
      <c r="Q194" s="115"/>
      <c r="R194" s="115"/>
      <c r="S194" s="57">
        <f ca="1">$S183*V193</f>
        <v>0</v>
      </c>
    </row>
    <row r="195" spans="2:27" hidden="1" outlineLevel="1" x14ac:dyDescent="0.2">
      <c r="E195" s="420" t="str">
        <f>TxPhase1PxUnitsTx</f>
        <v/>
      </c>
      <c r="F195" s="421">
        <f ca="1">IF(F186&lt;&gt;"",SUM(F189:F194),F183)</f>
        <v>0</v>
      </c>
      <c r="G195" s="421">
        <f ca="1">IF(F186&lt;&gt;"",SUM(G189:G194),G183)</f>
        <v>0</v>
      </c>
      <c r="H195" s="421">
        <f ca="1">IF(F186&lt;&gt;"",SUM(H189:H194),H183)</f>
        <v>0</v>
      </c>
      <c r="I195" s="421">
        <f ca="1">IF(F186&lt;&gt;"",SUM(I189:I194),I183)</f>
        <v>0</v>
      </c>
      <c r="J195" s="421">
        <f ca="1">IF(F186&lt;&gt;"",SUM(J189:J194),J183)</f>
        <v>0</v>
      </c>
      <c r="K195" s="421">
        <f ca="1">IF(F186&lt;&gt;"",SUM(K189:K194),K183)</f>
        <v>0</v>
      </c>
      <c r="L195" s="103"/>
      <c r="M195" s="420" t="str">
        <f>TxPhase2PxUnitsTx</f>
        <v/>
      </c>
      <c r="N195" s="421">
        <f ca="1">IF(N186&lt;&gt;"",SUM(N189:N194),N183)</f>
        <v>0</v>
      </c>
      <c r="O195" s="421">
        <f ca="1">IF(N186&lt;&gt;"",SUM(O189:O194),O183)</f>
        <v>0</v>
      </c>
      <c r="P195" s="421">
        <f ca="1">IF(N186&lt;&gt;"",SUM(P189:P194),P183)</f>
        <v>0</v>
      </c>
      <c r="Q195" s="421">
        <f ca="1">IF(N186&lt;&gt;"",SUM(Q189:Q194),Q183)</f>
        <v>0</v>
      </c>
      <c r="R195" s="421">
        <f ca="1">IF(N186&lt;&gt;"",SUM(R189:R194),R183)</f>
        <v>0</v>
      </c>
      <c r="S195" s="421">
        <f ca="1">IF(N186&lt;&gt;"",SUM(S189:S194),S183)</f>
        <v>0</v>
      </c>
      <c r="U195" s="415" t="s">
        <v>1148</v>
      </c>
      <c r="V195" s="412">
        <f>IFERROR(VLOOKUP(G186,TimeUnitCode,2,FALSE),0)</f>
        <v>0</v>
      </c>
      <c r="W195" s="412">
        <f>IFERROR(INDEX(TimeUnitCount,V195,2),0)</f>
        <v>0</v>
      </c>
    </row>
    <row r="196" spans="2:27" hidden="1" outlineLevel="1" x14ac:dyDescent="0.2"/>
    <row r="197" spans="2:27" collapsed="1" x14ac:dyDescent="0.2"/>
    <row r="198" spans="2:27" ht="15.75" x14ac:dyDescent="0.2">
      <c r="B198" s="246">
        <f>IF(F208+N208&gt;12,1,0)</f>
        <v>0</v>
      </c>
      <c r="C198" s="246">
        <f ca="1">IFERROR(INDEX(PxTxPhase1,$D203,7),0)</f>
        <v>0</v>
      </c>
      <c r="D198" s="396">
        <v>9</v>
      </c>
      <c r="E198" s="72" t="str">
        <f>IF(F202&lt;&gt;"",CONCATENATE("DTG ",D198,": ",H202,": ",N198),MsgNotUsed)</f>
        <v>** NOT USED **</v>
      </c>
      <c r="F198" s="116"/>
      <c r="G198" s="116"/>
      <c r="H198" s="116"/>
      <c r="I198" s="116"/>
      <c r="J198" s="118"/>
      <c r="K198" s="118"/>
      <c r="L198" s="118"/>
      <c r="M198" s="266"/>
      <c r="N198" s="445" t="str">
        <f>IF(AND(F208="",N208=""),"Full year",IF(AND(F208&lt;&gt;"",N208=""),CONCATENATE(F208," ",G208),IF(AND(F208="",N208&lt;&gt;""),CONCATENATE(N208," ",G208),CONCATENATE(F208," + ",N208," ",G208))))</f>
        <v>Full year</v>
      </c>
      <c r="O198" s="266"/>
      <c r="P198" s="266"/>
      <c r="Q198" s="266"/>
      <c r="R198" s="266"/>
      <c r="S198" s="266"/>
      <c r="T198" s="266"/>
      <c r="U198" s="266"/>
      <c r="V198" s="266"/>
      <c r="W198" s="266"/>
      <c r="X198" s="266"/>
      <c r="Y198" s="266"/>
      <c r="Z198" s="266"/>
      <c r="AA198" s="266"/>
    </row>
    <row r="199" spans="2:27" hidden="1" outlineLevel="1" x14ac:dyDescent="0.2">
      <c r="F199" s="319">
        <v>1</v>
      </c>
      <c r="G199" s="319">
        <v>2</v>
      </c>
      <c r="H199" s="319">
        <v>3</v>
      </c>
      <c r="I199" s="319">
        <v>4</v>
      </c>
      <c r="J199" s="319">
        <v>5</v>
      </c>
      <c r="K199" s="319">
        <v>6</v>
      </c>
      <c r="N199" s="319">
        <v>1</v>
      </c>
      <c r="O199" s="319">
        <v>2</v>
      </c>
      <c r="P199" s="319">
        <v>3</v>
      </c>
      <c r="Q199" s="319">
        <v>4</v>
      </c>
      <c r="R199" s="319">
        <v>5</v>
      </c>
      <c r="S199" s="319">
        <v>6</v>
      </c>
    </row>
    <row r="200" spans="2:27" hidden="1" outlineLevel="1" x14ac:dyDescent="0.2">
      <c r="C200" s="103"/>
      <c r="D200" s="103"/>
      <c r="E200" t="s">
        <v>1193</v>
      </c>
    </row>
    <row r="201" spans="2:27" hidden="1" outlineLevel="1" x14ac:dyDescent="0.2">
      <c r="C201" s="103"/>
      <c r="D201" s="103"/>
      <c r="E201" s="260"/>
    </row>
    <row r="202" spans="2:27" hidden="1" outlineLevel="1" x14ac:dyDescent="0.2">
      <c r="C202" s="246">
        <f>IF(F202&lt;&gt;"",MATCH(F202,PxTxSource,0)-1,0)</f>
        <v>0</v>
      </c>
      <c r="D202" s="246">
        <f ca="1">IF(H202&lt;&gt;"",MATCH(H202,OFFSET(References!$AE$23,0,C202,PxPopMaxCount),0),0)</f>
        <v>0</v>
      </c>
      <c r="E202" s="8" t="s">
        <v>110</v>
      </c>
      <c r="F202" s="230"/>
      <c r="H202" s="580"/>
      <c r="I202" s="581"/>
      <c r="J202" s="581"/>
      <c r="K202" s="581"/>
      <c r="M202" s="217"/>
      <c r="N202" s="542" t="str">
        <f ca="1">IF(ISERROR($D203)=TRUE,MsgError &amp; VLOOKUP("BadPop",ErrorMessages,2,FALSE),"")</f>
        <v/>
      </c>
      <c r="O202" s="542"/>
      <c r="P202" s="542"/>
      <c r="Q202" s="542"/>
      <c r="R202" s="542"/>
      <c r="S202" s="542"/>
    </row>
    <row r="203" spans="2:27" hidden="1" outlineLevel="1" x14ac:dyDescent="0.2">
      <c r="C203" s="246">
        <f>INDEX(PxTxValid,,C202+1)</f>
        <v>1</v>
      </c>
      <c r="D203" s="246" t="str">
        <f ca="1">IF(AND(C202=0,D202=0),"",(C202*PxPopMaxCount)+D202)</f>
        <v/>
      </c>
      <c r="E203" s="103"/>
    </row>
    <row r="204" spans="2:27" hidden="1" outlineLevel="1" x14ac:dyDescent="0.2">
      <c r="E204" s="357"/>
      <c r="F204" s="74">
        <f>FirstYear</f>
        <v>2026</v>
      </c>
      <c r="G204" s="74">
        <f>F204+1</f>
        <v>2027</v>
      </c>
      <c r="H204" s="74">
        <f>G204+1</f>
        <v>2028</v>
      </c>
      <c r="I204" s="74">
        <f>H204+1</f>
        <v>2029</v>
      </c>
      <c r="J204" s="74">
        <f>I204+1</f>
        <v>2030</v>
      </c>
      <c r="K204" s="74">
        <f>J204+1</f>
        <v>2031</v>
      </c>
      <c r="L204" s="103"/>
      <c r="N204" s="74">
        <f>FirstYear</f>
        <v>2026</v>
      </c>
      <c r="O204" s="74">
        <f>N204+1</f>
        <v>2027</v>
      </c>
      <c r="P204" s="74">
        <f>O204+1</f>
        <v>2028</v>
      </c>
      <c r="Q204" s="74">
        <f>P204+1</f>
        <v>2029</v>
      </c>
      <c r="R204" s="74">
        <f>Q204+1</f>
        <v>2030</v>
      </c>
      <c r="S204" s="74">
        <f>R204+1</f>
        <v>2031</v>
      </c>
    </row>
    <row r="205" spans="2:27" hidden="1" outlineLevel="1" x14ac:dyDescent="0.2">
      <c r="E205" s="53" t="str">
        <f>TxPhase1Px</f>
        <v/>
      </c>
      <c r="F205" s="27">
        <f t="shared" ref="F205:K205" ca="1" si="240">IFERROR(INDEX(PxTxPhase1,$D203,F199),0)</f>
        <v>0</v>
      </c>
      <c r="G205" s="27">
        <f t="shared" ca="1" si="240"/>
        <v>0</v>
      </c>
      <c r="H205" s="27">
        <f t="shared" ca="1" si="240"/>
        <v>0</v>
      </c>
      <c r="I205" s="27">
        <f t="shared" ca="1" si="240"/>
        <v>0</v>
      </c>
      <c r="J205" s="27">
        <f t="shared" ca="1" si="240"/>
        <v>0</v>
      </c>
      <c r="K205" s="27">
        <f t="shared" ca="1" si="240"/>
        <v>0</v>
      </c>
      <c r="L205" s="103"/>
      <c r="M205" s="53" t="str">
        <f>TxPhase2Px</f>
        <v/>
      </c>
      <c r="N205" s="27">
        <f t="shared" ref="N205:S205" ca="1" si="241">IFERROR(INDEX(PxTxPhase2,$D203,N199),0)</f>
        <v>0</v>
      </c>
      <c r="O205" s="27">
        <f t="shared" ca="1" si="241"/>
        <v>0</v>
      </c>
      <c r="P205" s="27">
        <f t="shared" ca="1" si="241"/>
        <v>0</v>
      </c>
      <c r="Q205" s="27">
        <f t="shared" ca="1" si="241"/>
        <v>0</v>
      </c>
      <c r="R205" s="27">
        <f t="shared" ca="1" si="241"/>
        <v>0</v>
      </c>
      <c r="S205" s="27">
        <f t="shared" ca="1" si="241"/>
        <v>0</v>
      </c>
    </row>
    <row r="206" spans="2:27" hidden="1" outlineLevel="1" x14ac:dyDescent="0.2">
      <c r="L206" s="103"/>
    </row>
    <row r="207" spans="2:27" hidden="1" outlineLevel="1" x14ac:dyDescent="0.2">
      <c r="E207" s="103"/>
      <c r="F207" s="103"/>
      <c r="G207" s="103"/>
      <c r="H207" s="103"/>
      <c r="I207" s="103"/>
      <c r="J207" s="103"/>
      <c r="K207" s="103"/>
      <c r="L207" s="103"/>
      <c r="M207" s="103"/>
      <c r="U207" s="411"/>
      <c r="V207" s="412">
        <f>$W217*1</f>
        <v>0</v>
      </c>
      <c r="W207" s="412">
        <f>$W217*2</f>
        <v>0</v>
      </c>
      <c r="X207" s="412">
        <f>$W217*3</f>
        <v>0</v>
      </c>
      <c r="Y207" s="412">
        <f>$W217*4</f>
        <v>0</v>
      </c>
      <c r="Z207" s="412">
        <f>$W217*5</f>
        <v>0</v>
      </c>
      <c r="AA207" s="412">
        <f>$W217*6</f>
        <v>0</v>
      </c>
    </row>
    <row r="208" spans="2:27" hidden="1" outlineLevel="1" x14ac:dyDescent="0.2">
      <c r="E208" s="82" t="s">
        <v>1147</v>
      </c>
      <c r="F208" s="390"/>
      <c r="G208" s="227"/>
      <c r="H208" s="378"/>
      <c r="I208" s="378"/>
      <c r="J208" s="378"/>
      <c r="K208" s="378"/>
      <c r="L208" s="103"/>
      <c r="M208" s="82" t="s">
        <v>1147</v>
      </c>
      <c r="N208" s="390"/>
      <c r="O208" s="418" t="str">
        <f>IF(G208&lt;&gt;"",G208,"")</f>
        <v/>
      </c>
      <c r="P208" s="378"/>
      <c r="Q208" s="378"/>
      <c r="R208" s="378"/>
      <c r="S208" s="378"/>
      <c r="U208" s="413" t="s">
        <v>1143</v>
      </c>
      <c r="V208" s="414">
        <f>IF($F208&gt;=V207,$W217,IF($F208&gt;0,$F208,0))</f>
        <v>0</v>
      </c>
      <c r="W208" s="414">
        <f>IF($F208&gt;=W207,$W$41,IF($F208&gt;V207,($F208-V207),0))</f>
        <v>0</v>
      </c>
      <c r="X208" s="414">
        <f>IF($F208&gt;=X207,$W$41,IF($F208&gt;W207,($F208-W207),0))</f>
        <v>0</v>
      </c>
      <c r="Y208" s="414">
        <f>IF($F208&gt;=Y207,$W$41,IF($F208&gt;X207,($F208-X207),0))</f>
        <v>0</v>
      </c>
      <c r="Z208" s="414">
        <f>IF($F208&gt;=Z207,$W$41,IF($F208&gt;Y207,($F208-Y207),0))</f>
        <v>0</v>
      </c>
      <c r="AA208" s="414">
        <f>IF($F208&gt;=AA207,$W$41,IF($F208&gt;Z207,($F208-Z207),0))</f>
        <v>0</v>
      </c>
    </row>
    <row r="209" spans="2:27" hidden="1" outlineLevel="1" x14ac:dyDescent="0.2">
      <c r="L209" s="103"/>
      <c r="M209" s="437"/>
      <c r="N209" s="438"/>
      <c r="O209" s="438"/>
      <c r="P209" s="438"/>
      <c r="Q209" s="438"/>
      <c r="R209" s="438"/>
      <c r="S209" s="438"/>
      <c r="U209" s="415" t="s">
        <v>1144</v>
      </c>
      <c r="V209" s="412">
        <f t="shared" ref="V209:AA209" si="242">IF(V208&gt;0,$W217-V208,$W217)</f>
        <v>0</v>
      </c>
      <c r="W209" s="412">
        <f t="shared" si="242"/>
        <v>0</v>
      </c>
      <c r="X209" s="412">
        <f t="shared" si="242"/>
        <v>0</v>
      </c>
      <c r="Y209" s="412">
        <f t="shared" si="242"/>
        <v>0</v>
      </c>
      <c r="Z209" s="412">
        <f t="shared" si="242"/>
        <v>0</v>
      </c>
      <c r="AA209" s="412">
        <f t="shared" si="242"/>
        <v>0</v>
      </c>
    </row>
    <row r="210" spans="2:27" hidden="1" outlineLevel="1" x14ac:dyDescent="0.2">
      <c r="E210" s="437" t="str">
        <f>E205</f>
        <v/>
      </c>
      <c r="F210" s="419"/>
      <c r="G210" s="419"/>
      <c r="H210" s="419"/>
      <c r="I210" s="419"/>
      <c r="J210" s="419"/>
      <c r="K210" s="419"/>
      <c r="L210" s="103"/>
      <c r="M210" s="437" t="str">
        <f>M205</f>
        <v/>
      </c>
      <c r="N210" s="439"/>
      <c r="O210" s="440"/>
      <c r="P210" s="440"/>
      <c r="Q210" s="440"/>
      <c r="R210" s="440"/>
      <c r="S210" s="440"/>
      <c r="U210" s="378"/>
      <c r="V210" s="378"/>
      <c r="W210" s="378"/>
      <c r="X210" s="378"/>
      <c r="Y210" s="378"/>
      <c r="Z210" s="378"/>
      <c r="AA210" s="378"/>
    </row>
    <row r="211" spans="2:27" hidden="1" outlineLevel="1" x14ac:dyDescent="0.2">
      <c r="E211" s="81" t="s">
        <v>1194</v>
      </c>
      <c r="F211" s="57">
        <f ca="1">$F205*V214</f>
        <v>0</v>
      </c>
      <c r="G211" s="57">
        <f t="shared" ref="G211" ca="1" si="243">$F205*W214</f>
        <v>0</v>
      </c>
      <c r="H211" s="57">
        <f t="shared" ref="H211" ca="1" si="244">$F205*X214</f>
        <v>0</v>
      </c>
      <c r="I211" s="57">
        <f t="shared" ref="I211" ca="1" si="245">$F205*Y214</f>
        <v>0</v>
      </c>
      <c r="J211" s="57">
        <f t="shared" ref="J211" ca="1" si="246">$F205*Z214</f>
        <v>0</v>
      </c>
      <c r="K211" s="57">
        <f t="shared" ref="K211" ca="1" si="247">$F205*AA214</f>
        <v>0</v>
      </c>
      <c r="L211" s="103"/>
      <c r="M211" s="81" t="s">
        <v>1194</v>
      </c>
      <c r="N211" s="57">
        <f ca="1">$N205*V215</f>
        <v>0</v>
      </c>
      <c r="O211" s="57">
        <f ca="1">$N205*W215</f>
        <v>0</v>
      </c>
      <c r="P211" s="57">
        <f t="shared" ref="P211" ca="1" si="248">$N205*X215</f>
        <v>0</v>
      </c>
      <c r="Q211" s="57">
        <f t="shared" ref="Q211" ca="1" si="249">$N205*Y215</f>
        <v>0</v>
      </c>
      <c r="R211" s="57">
        <f t="shared" ref="R211" ca="1" si="250">$N205*Z215</f>
        <v>0</v>
      </c>
      <c r="S211" s="57">
        <f t="shared" ref="S211" ca="1" si="251">$N205*AA215</f>
        <v>0</v>
      </c>
      <c r="U211" s="415" t="s">
        <v>1145</v>
      </c>
      <c r="V211" s="414">
        <f>IF($N208&gt;=V209,V209,N208)</f>
        <v>0</v>
      </c>
      <c r="W211" s="414">
        <f>IF(V212&gt;=W209,W209,V212)</f>
        <v>0</v>
      </c>
      <c r="X211" s="414">
        <f>IF(W212&gt;=X209,X209,W212)</f>
        <v>0</v>
      </c>
      <c r="Y211" s="414">
        <f>IF(X212&gt;=Y209,Y209,X212)</f>
        <v>0</v>
      </c>
      <c r="Z211" s="414">
        <f>IF(Y212&gt;=Z209,Z209,Y212)</f>
        <v>0</v>
      </c>
      <c r="AA211" s="414">
        <f>IF(Z212&gt;=AA209,AA209,Z212)</f>
        <v>0</v>
      </c>
    </row>
    <row r="212" spans="2:27" hidden="1" outlineLevel="1" x14ac:dyDescent="0.2">
      <c r="E212" s="81" t="s">
        <v>1195</v>
      </c>
      <c r="F212" s="115"/>
      <c r="G212" s="57">
        <f ca="1">$G205*V214</f>
        <v>0</v>
      </c>
      <c r="H212" s="57">
        <f t="shared" ref="H212" ca="1" si="252">$G205*W214</f>
        <v>0</v>
      </c>
      <c r="I212" s="57">
        <f t="shared" ref="I212" ca="1" si="253">$G205*X214</f>
        <v>0</v>
      </c>
      <c r="J212" s="57">
        <f t="shared" ref="J212" ca="1" si="254">$G205*Y214</f>
        <v>0</v>
      </c>
      <c r="K212" s="57">
        <f t="shared" ref="K212" ca="1" si="255">$G205*Z214</f>
        <v>0</v>
      </c>
      <c r="L212" s="103"/>
      <c r="M212" s="81" t="s">
        <v>1195</v>
      </c>
      <c r="N212" s="115"/>
      <c r="O212" s="57">
        <f ca="1">$O205*V215</f>
        <v>0</v>
      </c>
      <c r="P212" s="57">
        <f t="shared" ref="P212" ca="1" si="256">$O205*W215</f>
        <v>0</v>
      </c>
      <c r="Q212" s="57">
        <f t="shared" ref="Q212" ca="1" si="257">$O205*X215</f>
        <v>0</v>
      </c>
      <c r="R212" s="57">
        <f t="shared" ref="R212" ca="1" si="258">$O205*Y215</f>
        <v>0</v>
      </c>
      <c r="S212" s="57">
        <f t="shared" ref="S212" ca="1" si="259">$O205*Z215</f>
        <v>0</v>
      </c>
      <c r="U212" s="415" t="s">
        <v>1146</v>
      </c>
      <c r="V212" s="412">
        <f>$N208-V211</f>
        <v>0</v>
      </c>
      <c r="W212" s="412">
        <f>$N208-SUM($V211:W211)</f>
        <v>0</v>
      </c>
      <c r="X212" s="412">
        <f>$N208-SUM($V211:X211)</f>
        <v>0</v>
      </c>
      <c r="Y212" s="412">
        <f>$N208-SUM($V211:Y211)</f>
        <v>0</v>
      </c>
      <c r="Z212" s="412">
        <f>$N208-SUM($V211:Z211)</f>
        <v>0</v>
      </c>
      <c r="AA212" s="412">
        <f>$N208-SUM($V211:AA211)</f>
        <v>0</v>
      </c>
    </row>
    <row r="213" spans="2:27" hidden="1" outlineLevel="1" x14ac:dyDescent="0.2">
      <c r="E213" s="81" t="s">
        <v>1196</v>
      </c>
      <c r="F213" s="115"/>
      <c r="G213" s="115"/>
      <c r="H213" s="57">
        <f ca="1">$H205*V214</f>
        <v>0</v>
      </c>
      <c r="I213" s="57">
        <f t="shared" ref="I213" ca="1" si="260">$H205*W214</f>
        <v>0</v>
      </c>
      <c r="J213" s="57">
        <f t="shared" ref="J213" ca="1" si="261">$H205*X214</f>
        <v>0</v>
      </c>
      <c r="K213" s="57">
        <f t="shared" ref="K213" ca="1" si="262">$H205*Y214</f>
        <v>0</v>
      </c>
      <c r="L213" s="103"/>
      <c r="M213" s="81" t="s">
        <v>1196</v>
      </c>
      <c r="N213" s="115"/>
      <c r="O213" s="115"/>
      <c r="P213" s="57">
        <f ca="1">$P205*V215</f>
        <v>0</v>
      </c>
      <c r="Q213" s="57">
        <f t="shared" ref="Q213" ca="1" si="263">$P205*W215</f>
        <v>0</v>
      </c>
      <c r="R213" s="57">
        <f t="shared" ref="R213" ca="1" si="264">$P205*X215</f>
        <v>0</v>
      </c>
      <c r="S213" s="57">
        <f t="shared" ref="S213" ca="1" si="265">$P205*Y215</f>
        <v>0</v>
      </c>
      <c r="V213" s="416"/>
      <c r="AA213" s="378"/>
    </row>
    <row r="214" spans="2:27" hidden="1" outlineLevel="1" x14ac:dyDescent="0.2">
      <c r="E214" s="81" t="s">
        <v>1197</v>
      </c>
      <c r="F214" s="115"/>
      <c r="G214" s="115"/>
      <c r="H214" s="115"/>
      <c r="I214" s="57">
        <f ca="1">$I205*V214</f>
        <v>0</v>
      </c>
      <c r="J214" s="57">
        <f t="shared" ref="J214" ca="1" si="266">$I205*W214</f>
        <v>0</v>
      </c>
      <c r="K214" s="57">
        <f t="shared" ref="K214" ca="1" si="267">$I205*X214</f>
        <v>0</v>
      </c>
      <c r="L214" s="103"/>
      <c r="M214" s="81" t="s">
        <v>1197</v>
      </c>
      <c r="N214" s="115"/>
      <c r="O214" s="115"/>
      <c r="P214" s="115"/>
      <c r="Q214" s="57">
        <f ca="1">$Q205*V215</f>
        <v>0</v>
      </c>
      <c r="R214" s="57">
        <f t="shared" ref="R214" ca="1" si="268">$Q205*W215</f>
        <v>0</v>
      </c>
      <c r="S214" s="57">
        <f t="shared" ref="S214" ca="1" si="269">$Q205*X215</f>
        <v>0</v>
      </c>
      <c r="U214" s="413" t="s">
        <v>1143</v>
      </c>
      <c r="V214" s="417">
        <f t="shared" ref="V214:AA214" si="270">IFERROR(V208/$W217,0)</f>
        <v>0</v>
      </c>
      <c r="W214" s="417">
        <f t="shared" si="270"/>
        <v>0</v>
      </c>
      <c r="X214" s="417">
        <f t="shared" si="270"/>
        <v>0</v>
      </c>
      <c r="Y214" s="417">
        <f t="shared" si="270"/>
        <v>0</v>
      </c>
      <c r="Z214" s="417">
        <f t="shared" si="270"/>
        <v>0</v>
      </c>
      <c r="AA214" s="417">
        <f t="shared" si="270"/>
        <v>0</v>
      </c>
    </row>
    <row r="215" spans="2:27" hidden="1" outlineLevel="1" x14ac:dyDescent="0.2">
      <c r="E215" s="81" t="s">
        <v>1198</v>
      </c>
      <c r="F215" s="115"/>
      <c r="G215" s="115"/>
      <c r="H215" s="115"/>
      <c r="I215" s="115"/>
      <c r="J215" s="57">
        <f ca="1">$J205*V214</f>
        <v>0</v>
      </c>
      <c r="K215" s="57">
        <f ca="1">$J205*W214</f>
        <v>0</v>
      </c>
      <c r="L215" s="103"/>
      <c r="M215" s="81" t="s">
        <v>1198</v>
      </c>
      <c r="N215" s="115"/>
      <c r="O215" s="115"/>
      <c r="P215" s="115"/>
      <c r="Q215" s="115"/>
      <c r="R215" s="57">
        <f ca="1">$R205*V215</f>
        <v>0</v>
      </c>
      <c r="S215" s="57">
        <f ca="1">$R205*W215</f>
        <v>0</v>
      </c>
      <c r="U215" s="415" t="s">
        <v>1145</v>
      </c>
      <c r="V215" s="417">
        <f t="shared" ref="V215:AA215" si="271">IFERROR(V211/$W217,0)</f>
        <v>0</v>
      </c>
      <c r="W215" s="417">
        <f t="shared" si="271"/>
        <v>0</v>
      </c>
      <c r="X215" s="417">
        <f t="shared" si="271"/>
        <v>0</v>
      </c>
      <c r="Y215" s="417">
        <f t="shared" si="271"/>
        <v>0</v>
      </c>
      <c r="Z215" s="417">
        <f t="shared" si="271"/>
        <v>0</v>
      </c>
      <c r="AA215" s="417">
        <f t="shared" si="271"/>
        <v>0</v>
      </c>
    </row>
    <row r="216" spans="2:27" hidden="1" outlineLevel="1" x14ac:dyDescent="0.2">
      <c r="E216" s="81" t="s">
        <v>1199</v>
      </c>
      <c r="F216" s="115"/>
      <c r="G216" s="115"/>
      <c r="H216" s="115"/>
      <c r="I216" s="115"/>
      <c r="J216" s="115"/>
      <c r="K216" s="57">
        <f ca="1">$K205*V214</f>
        <v>0</v>
      </c>
      <c r="L216" s="103"/>
      <c r="M216" s="81" t="s">
        <v>1199</v>
      </c>
      <c r="N216" s="115"/>
      <c r="O216" s="115"/>
      <c r="P216" s="115"/>
      <c r="Q216" s="115"/>
      <c r="R216" s="115"/>
      <c r="S216" s="57">
        <f ca="1">$S205*V215</f>
        <v>0</v>
      </c>
    </row>
    <row r="217" spans="2:27" hidden="1" outlineLevel="1" x14ac:dyDescent="0.2">
      <c r="E217" s="420" t="str">
        <f>TxPhase1PxUnitsTx</f>
        <v/>
      </c>
      <c r="F217" s="421">
        <f ca="1">IF(F208&lt;&gt;"",SUM(F211:F216),F205)</f>
        <v>0</v>
      </c>
      <c r="G217" s="421">
        <f ca="1">IF(F208&lt;&gt;"",SUM(G211:G216),G205)</f>
        <v>0</v>
      </c>
      <c r="H217" s="421">
        <f ca="1">IF(F208&lt;&gt;"",SUM(H211:H216),H205)</f>
        <v>0</v>
      </c>
      <c r="I217" s="421">
        <f ca="1">IF(F208&lt;&gt;"",SUM(I211:I216),I205)</f>
        <v>0</v>
      </c>
      <c r="J217" s="421">
        <f ca="1">IF(F208&lt;&gt;"",SUM(J211:J216),J205)</f>
        <v>0</v>
      </c>
      <c r="K217" s="421">
        <f ca="1">IF(F208&lt;&gt;"",SUM(K211:K216),K205)</f>
        <v>0</v>
      </c>
      <c r="L217" s="103"/>
      <c r="M217" s="420" t="str">
        <f>TxPhase2PxUnitsTx</f>
        <v/>
      </c>
      <c r="N217" s="421">
        <f ca="1">IF(N208&lt;&gt;"",SUM(N211:N216),N205)</f>
        <v>0</v>
      </c>
      <c r="O217" s="421">
        <f ca="1">IF(N208&lt;&gt;"",SUM(O211:O216),O205)</f>
        <v>0</v>
      </c>
      <c r="P217" s="421">
        <f ca="1">IF(N208&lt;&gt;"",SUM(P211:P216),P205)</f>
        <v>0</v>
      </c>
      <c r="Q217" s="421">
        <f ca="1">IF(N208&lt;&gt;"",SUM(Q211:Q216),Q205)</f>
        <v>0</v>
      </c>
      <c r="R217" s="421">
        <f ca="1">IF(N208&lt;&gt;"",SUM(R211:R216),R205)</f>
        <v>0</v>
      </c>
      <c r="S217" s="421">
        <f ca="1">IF(N208&lt;&gt;"",SUM(S211:S216),S205)</f>
        <v>0</v>
      </c>
      <c r="U217" s="415" t="s">
        <v>1148</v>
      </c>
      <c r="V217" s="412">
        <f>IFERROR(VLOOKUP(G208,TimeUnitCode,2,FALSE),0)</f>
        <v>0</v>
      </c>
      <c r="W217" s="412">
        <f>IFERROR(INDEX(TimeUnitCount,V217,2),0)</f>
        <v>0</v>
      </c>
    </row>
    <row r="218" spans="2:27" hidden="1" outlineLevel="1" x14ac:dyDescent="0.2"/>
    <row r="219" spans="2:27" collapsed="1" x14ac:dyDescent="0.2"/>
    <row r="220" spans="2:27" ht="15.75" x14ac:dyDescent="0.2">
      <c r="B220" s="246">
        <f>IF(F230+N230&gt;12,1,0)</f>
        <v>0</v>
      </c>
      <c r="C220" s="246">
        <f ca="1">IFERROR(INDEX(PxTxPhase1,$D225,7),0)</f>
        <v>0</v>
      </c>
      <c r="D220" s="396">
        <v>10</v>
      </c>
      <c r="E220" s="72" t="str">
        <f>IF(F224&lt;&gt;"",CONCATENATE("DTG ",D220,": ",H224,": ",N220),MsgNotUsed)</f>
        <v>** NOT USED **</v>
      </c>
      <c r="F220" s="116"/>
      <c r="G220" s="116"/>
      <c r="H220" s="116"/>
      <c r="I220" s="116"/>
      <c r="J220" s="118"/>
      <c r="K220" s="118"/>
      <c r="L220" s="118"/>
      <c r="M220" s="266"/>
      <c r="N220" s="445" t="str">
        <f>IF(AND(F230="",N230=""),"Full year",IF(AND(F230&lt;&gt;"",N230=""),CONCATENATE(F230," ",G230),IF(AND(F230="",N230&lt;&gt;""),CONCATENATE(N230," ",G230),CONCATENATE(F230," + ",N230," ",G230))))</f>
        <v>Full year</v>
      </c>
      <c r="O220" s="266"/>
      <c r="P220" s="266"/>
      <c r="Q220" s="266"/>
      <c r="R220" s="266"/>
      <c r="S220" s="266"/>
      <c r="T220" s="266"/>
      <c r="U220" s="266"/>
      <c r="V220" s="266"/>
      <c r="W220" s="266"/>
      <c r="X220" s="266"/>
      <c r="Y220" s="266"/>
      <c r="Z220" s="266"/>
      <c r="AA220" s="266"/>
    </row>
    <row r="221" spans="2:27" hidden="1" outlineLevel="1" x14ac:dyDescent="0.2">
      <c r="F221" s="319">
        <v>1</v>
      </c>
      <c r="G221" s="319">
        <v>2</v>
      </c>
      <c r="H221" s="319">
        <v>3</v>
      </c>
      <c r="I221" s="319">
        <v>4</v>
      </c>
      <c r="J221" s="319">
        <v>5</v>
      </c>
      <c r="K221" s="319">
        <v>6</v>
      </c>
      <c r="N221" s="319">
        <v>1</v>
      </c>
      <c r="O221" s="319">
        <v>2</v>
      </c>
      <c r="P221" s="319">
        <v>3</v>
      </c>
      <c r="Q221" s="319">
        <v>4</v>
      </c>
      <c r="R221" s="319">
        <v>5</v>
      </c>
      <c r="S221" s="319">
        <v>6</v>
      </c>
    </row>
    <row r="222" spans="2:27" hidden="1" outlineLevel="1" x14ac:dyDescent="0.2">
      <c r="C222" s="103"/>
      <c r="D222" s="103"/>
      <c r="E222" t="s">
        <v>1193</v>
      </c>
    </row>
    <row r="223" spans="2:27" hidden="1" outlineLevel="1" x14ac:dyDescent="0.2">
      <c r="C223" s="103"/>
      <c r="D223" s="103"/>
      <c r="E223" s="260"/>
    </row>
    <row r="224" spans="2:27" hidden="1" outlineLevel="1" x14ac:dyDescent="0.2">
      <c r="C224" s="246">
        <f>IF(F224&lt;&gt;"",MATCH(F224,PxTxSource,0)-1,0)</f>
        <v>0</v>
      </c>
      <c r="D224" s="246">
        <f ca="1">IF(H224&lt;&gt;"",MATCH(H224,OFFSET(References!$AE$23,0,C224,PxPopMaxCount),0),0)</f>
        <v>0</v>
      </c>
      <c r="E224" s="8" t="s">
        <v>110</v>
      </c>
      <c r="F224" s="230"/>
      <c r="H224" s="580"/>
      <c r="I224" s="581"/>
      <c r="J224" s="581"/>
      <c r="K224" s="581"/>
      <c r="M224" s="217"/>
      <c r="N224" s="542" t="str">
        <f ca="1">IF(ISERROR($D225)=TRUE,MsgError &amp; VLOOKUP("BadPop",ErrorMessages,2,FALSE),"")</f>
        <v/>
      </c>
      <c r="O224" s="542"/>
      <c r="P224" s="542"/>
      <c r="Q224" s="542"/>
      <c r="R224" s="542"/>
      <c r="S224" s="542"/>
    </row>
    <row r="225" spans="3:27" hidden="1" outlineLevel="1" x14ac:dyDescent="0.2">
      <c r="C225" s="246">
        <f>INDEX(PxTxValid,,C224+1)</f>
        <v>1</v>
      </c>
      <c r="D225" s="246" t="str">
        <f ca="1">IF(AND(C224=0,D224=0),"",(C224*PxPopMaxCount)+D224)</f>
        <v/>
      </c>
      <c r="E225" s="103"/>
    </row>
    <row r="226" spans="3:27" hidden="1" outlineLevel="1" x14ac:dyDescent="0.2">
      <c r="E226" s="357"/>
      <c r="F226" s="74">
        <f>FirstYear</f>
        <v>2026</v>
      </c>
      <c r="G226" s="74">
        <f>F226+1</f>
        <v>2027</v>
      </c>
      <c r="H226" s="74">
        <f>G226+1</f>
        <v>2028</v>
      </c>
      <c r="I226" s="74">
        <f>H226+1</f>
        <v>2029</v>
      </c>
      <c r="J226" s="74">
        <f>I226+1</f>
        <v>2030</v>
      </c>
      <c r="K226" s="74">
        <f>J226+1</f>
        <v>2031</v>
      </c>
      <c r="L226" s="103"/>
      <c r="N226" s="74">
        <f>FirstYear</f>
        <v>2026</v>
      </c>
      <c r="O226" s="74">
        <f>N226+1</f>
        <v>2027</v>
      </c>
      <c r="P226" s="74">
        <f>O226+1</f>
        <v>2028</v>
      </c>
      <c r="Q226" s="74">
        <f>P226+1</f>
        <v>2029</v>
      </c>
      <c r="R226" s="74">
        <f>Q226+1</f>
        <v>2030</v>
      </c>
      <c r="S226" s="74">
        <f>R226+1</f>
        <v>2031</v>
      </c>
    </row>
    <row r="227" spans="3:27" hidden="1" outlineLevel="1" x14ac:dyDescent="0.2">
      <c r="E227" s="53" t="str">
        <f>TxPhase1Px</f>
        <v/>
      </c>
      <c r="F227" s="27">
        <f t="shared" ref="F227:K227" ca="1" si="272">IFERROR(INDEX(PxTxPhase1,$D225,F221),0)</f>
        <v>0</v>
      </c>
      <c r="G227" s="27">
        <f t="shared" ca="1" si="272"/>
        <v>0</v>
      </c>
      <c r="H227" s="27">
        <f t="shared" ca="1" si="272"/>
        <v>0</v>
      </c>
      <c r="I227" s="27">
        <f t="shared" ca="1" si="272"/>
        <v>0</v>
      </c>
      <c r="J227" s="27">
        <f t="shared" ca="1" si="272"/>
        <v>0</v>
      </c>
      <c r="K227" s="27">
        <f t="shared" ca="1" si="272"/>
        <v>0</v>
      </c>
      <c r="L227" s="103"/>
      <c r="M227" s="53" t="str">
        <f>TxPhase2Px</f>
        <v/>
      </c>
      <c r="N227" s="27">
        <f t="shared" ref="N227:S227" ca="1" si="273">IFERROR(INDEX(PxTxPhase2,$D225,N221),0)</f>
        <v>0</v>
      </c>
      <c r="O227" s="27">
        <f t="shared" ca="1" si="273"/>
        <v>0</v>
      </c>
      <c r="P227" s="27">
        <f t="shared" ca="1" si="273"/>
        <v>0</v>
      </c>
      <c r="Q227" s="27">
        <f t="shared" ca="1" si="273"/>
        <v>0</v>
      </c>
      <c r="R227" s="27">
        <f t="shared" ca="1" si="273"/>
        <v>0</v>
      </c>
      <c r="S227" s="27">
        <f t="shared" ca="1" si="273"/>
        <v>0</v>
      </c>
    </row>
    <row r="228" spans="3:27" hidden="1" outlineLevel="1" x14ac:dyDescent="0.2">
      <c r="L228" s="103"/>
    </row>
    <row r="229" spans="3:27" hidden="1" outlineLevel="1" x14ac:dyDescent="0.2">
      <c r="E229" s="103"/>
      <c r="F229" s="103"/>
      <c r="G229" s="103"/>
      <c r="H229" s="103"/>
      <c r="I229" s="103"/>
      <c r="J229" s="103"/>
      <c r="K229" s="103"/>
      <c r="L229" s="103"/>
      <c r="M229" s="103"/>
      <c r="U229" s="411"/>
      <c r="V229" s="412">
        <f>$W239*1</f>
        <v>0</v>
      </c>
      <c r="W229" s="412">
        <f>$W239*2</f>
        <v>0</v>
      </c>
      <c r="X229" s="412">
        <f>$W239*3</f>
        <v>0</v>
      </c>
      <c r="Y229" s="412">
        <f>$W239*4</f>
        <v>0</v>
      </c>
      <c r="Z229" s="412">
        <f>$W239*5</f>
        <v>0</v>
      </c>
      <c r="AA229" s="412">
        <f>$W239*6</f>
        <v>0</v>
      </c>
    </row>
    <row r="230" spans="3:27" hidden="1" outlineLevel="1" x14ac:dyDescent="0.2">
      <c r="E230" s="82" t="s">
        <v>1147</v>
      </c>
      <c r="F230" s="390"/>
      <c r="G230" s="227"/>
      <c r="H230" s="378"/>
      <c r="I230" s="378"/>
      <c r="J230" s="378"/>
      <c r="K230" s="378"/>
      <c r="L230" s="103"/>
      <c r="M230" s="82" t="s">
        <v>1147</v>
      </c>
      <c r="N230" s="390"/>
      <c r="O230" s="418" t="str">
        <f>IF(G230&lt;&gt;"",G230,"")</f>
        <v/>
      </c>
      <c r="P230" s="378"/>
      <c r="Q230" s="378"/>
      <c r="R230" s="378"/>
      <c r="S230" s="378"/>
      <c r="U230" s="413" t="s">
        <v>1143</v>
      </c>
      <c r="V230" s="414">
        <f>IF($F230&gt;=V229,$W239,IF($F230&gt;0,$F230,0))</f>
        <v>0</v>
      </c>
      <c r="W230" s="414">
        <f>IF($F230&gt;=W229,$W$41,IF($F230&gt;V229,($F230-V229),0))</f>
        <v>0</v>
      </c>
      <c r="X230" s="414">
        <f>IF($F230&gt;=X229,$W$41,IF($F230&gt;W229,($F230-W229),0))</f>
        <v>0</v>
      </c>
      <c r="Y230" s="414">
        <f>IF($F230&gt;=Y229,$W$41,IF($F230&gt;X229,($F230-X229),0))</f>
        <v>0</v>
      </c>
      <c r="Z230" s="414">
        <f>IF($F230&gt;=Z229,$W$41,IF($F230&gt;Y229,($F230-Y229),0))</f>
        <v>0</v>
      </c>
      <c r="AA230" s="414">
        <f>IF($F230&gt;=AA229,$W$41,IF($F230&gt;Z229,($F230-Z229),0))</f>
        <v>0</v>
      </c>
    </row>
    <row r="231" spans="3:27" hidden="1" outlineLevel="1" x14ac:dyDescent="0.2">
      <c r="L231" s="103"/>
      <c r="M231" s="437"/>
      <c r="N231" s="438"/>
      <c r="O231" s="438"/>
      <c r="P231" s="438"/>
      <c r="Q231" s="438"/>
      <c r="R231" s="438"/>
      <c r="S231" s="438"/>
      <c r="U231" s="415" t="s">
        <v>1144</v>
      </c>
      <c r="V231" s="412">
        <f t="shared" ref="V231:AA231" si="274">IF(V230&gt;0,$W239-V230,$W239)</f>
        <v>0</v>
      </c>
      <c r="W231" s="412">
        <f t="shared" si="274"/>
        <v>0</v>
      </c>
      <c r="X231" s="412">
        <f t="shared" si="274"/>
        <v>0</v>
      </c>
      <c r="Y231" s="412">
        <f t="shared" si="274"/>
        <v>0</v>
      </c>
      <c r="Z231" s="412">
        <f t="shared" si="274"/>
        <v>0</v>
      </c>
      <c r="AA231" s="412">
        <f t="shared" si="274"/>
        <v>0</v>
      </c>
    </row>
    <row r="232" spans="3:27" hidden="1" outlineLevel="1" x14ac:dyDescent="0.2">
      <c r="E232" s="437" t="str">
        <f>E227</f>
        <v/>
      </c>
      <c r="F232" s="419"/>
      <c r="G232" s="419"/>
      <c r="H232" s="419"/>
      <c r="I232" s="419"/>
      <c r="J232" s="419"/>
      <c r="K232" s="419"/>
      <c r="L232" s="103"/>
      <c r="M232" s="437" t="str">
        <f>M227</f>
        <v/>
      </c>
      <c r="N232" s="439"/>
      <c r="O232" s="440"/>
      <c r="P232" s="440"/>
      <c r="Q232" s="440"/>
      <c r="R232" s="440"/>
      <c r="S232" s="440"/>
      <c r="U232" s="378"/>
      <c r="V232" s="378"/>
      <c r="W232" s="378"/>
      <c r="X232" s="378"/>
      <c r="Y232" s="378"/>
      <c r="Z232" s="378"/>
      <c r="AA232" s="378"/>
    </row>
    <row r="233" spans="3:27" hidden="1" outlineLevel="1" x14ac:dyDescent="0.2">
      <c r="E233" s="81" t="s">
        <v>1194</v>
      </c>
      <c r="F233" s="57">
        <f ca="1">$F227*V236</f>
        <v>0</v>
      </c>
      <c r="G233" s="57">
        <f t="shared" ref="G233" ca="1" si="275">$F227*W236</f>
        <v>0</v>
      </c>
      <c r="H233" s="57">
        <f t="shared" ref="H233" ca="1" si="276">$F227*X236</f>
        <v>0</v>
      </c>
      <c r="I233" s="57">
        <f t="shared" ref="I233" ca="1" si="277">$F227*Y236</f>
        <v>0</v>
      </c>
      <c r="J233" s="57">
        <f t="shared" ref="J233" ca="1" si="278">$F227*Z236</f>
        <v>0</v>
      </c>
      <c r="K233" s="57">
        <f t="shared" ref="K233" ca="1" si="279">$F227*AA236</f>
        <v>0</v>
      </c>
      <c r="L233" s="103"/>
      <c r="M233" s="81" t="s">
        <v>1194</v>
      </c>
      <c r="N233" s="57">
        <f ca="1">$N227*V237</f>
        <v>0</v>
      </c>
      <c r="O233" s="57">
        <f ca="1">$N227*W237</f>
        <v>0</v>
      </c>
      <c r="P233" s="57">
        <f t="shared" ref="P233" ca="1" si="280">$N227*X237</f>
        <v>0</v>
      </c>
      <c r="Q233" s="57">
        <f t="shared" ref="Q233" ca="1" si="281">$N227*Y237</f>
        <v>0</v>
      </c>
      <c r="R233" s="57">
        <f t="shared" ref="R233" ca="1" si="282">$N227*Z237</f>
        <v>0</v>
      </c>
      <c r="S233" s="57">
        <f t="shared" ref="S233" ca="1" si="283">$N227*AA237</f>
        <v>0</v>
      </c>
      <c r="U233" s="415" t="s">
        <v>1145</v>
      </c>
      <c r="V233" s="414">
        <f>IF($N230&gt;=V231,V231,N230)</f>
        <v>0</v>
      </c>
      <c r="W233" s="414">
        <f>IF(V234&gt;=W231,W231,V234)</f>
        <v>0</v>
      </c>
      <c r="X233" s="414">
        <f>IF(W234&gt;=X231,X231,W234)</f>
        <v>0</v>
      </c>
      <c r="Y233" s="414">
        <f>IF(X234&gt;=Y231,Y231,X234)</f>
        <v>0</v>
      </c>
      <c r="Z233" s="414">
        <f>IF(Y234&gt;=Z231,Z231,Y234)</f>
        <v>0</v>
      </c>
      <c r="AA233" s="414">
        <f>IF(Z234&gt;=AA231,AA231,Z234)</f>
        <v>0</v>
      </c>
    </row>
    <row r="234" spans="3:27" hidden="1" outlineLevel="1" x14ac:dyDescent="0.2">
      <c r="E234" s="81" t="s">
        <v>1195</v>
      </c>
      <c r="F234" s="115"/>
      <c r="G234" s="57">
        <f ca="1">$G227*V236</f>
        <v>0</v>
      </c>
      <c r="H234" s="57">
        <f t="shared" ref="H234" ca="1" si="284">$G227*W236</f>
        <v>0</v>
      </c>
      <c r="I234" s="57">
        <f t="shared" ref="I234" ca="1" si="285">$G227*X236</f>
        <v>0</v>
      </c>
      <c r="J234" s="57">
        <f t="shared" ref="J234" ca="1" si="286">$G227*Y236</f>
        <v>0</v>
      </c>
      <c r="K234" s="57">
        <f t="shared" ref="K234" ca="1" si="287">$G227*Z236</f>
        <v>0</v>
      </c>
      <c r="L234" s="103"/>
      <c r="M234" s="81" t="s">
        <v>1195</v>
      </c>
      <c r="N234" s="115"/>
      <c r="O234" s="57">
        <f ca="1">$O227*V237</f>
        <v>0</v>
      </c>
      <c r="P234" s="57">
        <f t="shared" ref="P234" ca="1" si="288">$O227*W237</f>
        <v>0</v>
      </c>
      <c r="Q234" s="57">
        <f t="shared" ref="Q234" ca="1" si="289">$O227*X237</f>
        <v>0</v>
      </c>
      <c r="R234" s="57">
        <f t="shared" ref="R234" ca="1" si="290">$O227*Y237</f>
        <v>0</v>
      </c>
      <c r="S234" s="57">
        <f t="shared" ref="S234" ca="1" si="291">$O227*Z237</f>
        <v>0</v>
      </c>
      <c r="U234" s="415" t="s">
        <v>1146</v>
      </c>
      <c r="V234" s="412">
        <f>$N230-V233</f>
        <v>0</v>
      </c>
      <c r="W234" s="412">
        <f>$N230-SUM($V233:W233)</f>
        <v>0</v>
      </c>
      <c r="X234" s="412">
        <f>$N230-SUM($V233:X233)</f>
        <v>0</v>
      </c>
      <c r="Y234" s="412">
        <f>$N230-SUM($V233:Y233)</f>
        <v>0</v>
      </c>
      <c r="Z234" s="412">
        <f>$N230-SUM($V233:Z233)</f>
        <v>0</v>
      </c>
      <c r="AA234" s="412">
        <f>$N230-SUM($V233:AA233)</f>
        <v>0</v>
      </c>
    </row>
    <row r="235" spans="3:27" hidden="1" outlineLevel="1" x14ac:dyDescent="0.2">
      <c r="E235" s="81" t="s">
        <v>1196</v>
      </c>
      <c r="F235" s="115"/>
      <c r="G235" s="115"/>
      <c r="H235" s="57">
        <f ca="1">$H227*V236</f>
        <v>0</v>
      </c>
      <c r="I235" s="57">
        <f t="shared" ref="I235" ca="1" si="292">$H227*W236</f>
        <v>0</v>
      </c>
      <c r="J235" s="57">
        <f t="shared" ref="J235" ca="1" si="293">$H227*X236</f>
        <v>0</v>
      </c>
      <c r="K235" s="57">
        <f t="shared" ref="K235" ca="1" si="294">$H227*Y236</f>
        <v>0</v>
      </c>
      <c r="L235" s="103"/>
      <c r="M235" s="81" t="s">
        <v>1196</v>
      </c>
      <c r="N235" s="115"/>
      <c r="O235" s="115"/>
      <c r="P235" s="57">
        <f ca="1">$P227*V237</f>
        <v>0</v>
      </c>
      <c r="Q235" s="57">
        <f t="shared" ref="Q235" ca="1" si="295">$P227*W237</f>
        <v>0</v>
      </c>
      <c r="R235" s="57">
        <f t="shared" ref="R235" ca="1" si="296">$P227*X237</f>
        <v>0</v>
      </c>
      <c r="S235" s="57">
        <f t="shared" ref="S235" ca="1" si="297">$P227*Y237</f>
        <v>0</v>
      </c>
      <c r="V235" s="416"/>
      <c r="AA235" s="378"/>
    </row>
    <row r="236" spans="3:27" hidden="1" outlineLevel="1" x14ac:dyDescent="0.2">
      <c r="E236" s="81" t="s">
        <v>1197</v>
      </c>
      <c r="F236" s="115"/>
      <c r="G236" s="115"/>
      <c r="H236" s="115"/>
      <c r="I236" s="57">
        <f ca="1">$I227*V236</f>
        <v>0</v>
      </c>
      <c r="J236" s="57">
        <f t="shared" ref="J236" ca="1" si="298">$I227*W236</f>
        <v>0</v>
      </c>
      <c r="K236" s="57">
        <f t="shared" ref="K236" ca="1" si="299">$I227*X236</f>
        <v>0</v>
      </c>
      <c r="L236" s="103"/>
      <c r="M236" s="81" t="s">
        <v>1197</v>
      </c>
      <c r="N236" s="115"/>
      <c r="O236" s="115"/>
      <c r="P236" s="115"/>
      <c r="Q236" s="57">
        <f ca="1">$Q227*V237</f>
        <v>0</v>
      </c>
      <c r="R236" s="57">
        <f t="shared" ref="R236" ca="1" si="300">$Q227*W237</f>
        <v>0</v>
      </c>
      <c r="S236" s="57">
        <f t="shared" ref="S236" ca="1" si="301">$Q227*X237</f>
        <v>0</v>
      </c>
      <c r="U236" s="413" t="s">
        <v>1143</v>
      </c>
      <c r="V236" s="417">
        <f t="shared" ref="V236:AA236" si="302">IFERROR(V230/$W239,0)</f>
        <v>0</v>
      </c>
      <c r="W236" s="417">
        <f t="shared" si="302"/>
        <v>0</v>
      </c>
      <c r="X236" s="417">
        <f t="shared" si="302"/>
        <v>0</v>
      </c>
      <c r="Y236" s="417">
        <f t="shared" si="302"/>
        <v>0</v>
      </c>
      <c r="Z236" s="417">
        <f t="shared" si="302"/>
        <v>0</v>
      </c>
      <c r="AA236" s="417">
        <f t="shared" si="302"/>
        <v>0</v>
      </c>
    </row>
    <row r="237" spans="3:27" hidden="1" outlineLevel="1" x14ac:dyDescent="0.2">
      <c r="E237" s="81" t="s">
        <v>1198</v>
      </c>
      <c r="F237" s="115"/>
      <c r="G237" s="115"/>
      <c r="H237" s="115"/>
      <c r="I237" s="115"/>
      <c r="J237" s="57">
        <f ca="1">$J227*V236</f>
        <v>0</v>
      </c>
      <c r="K237" s="57">
        <f ca="1">$J227*W236</f>
        <v>0</v>
      </c>
      <c r="L237" s="103"/>
      <c r="M237" s="81" t="s">
        <v>1198</v>
      </c>
      <c r="N237" s="115"/>
      <c r="O237" s="115"/>
      <c r="P237" s="115"/>
      <c r="Q237" s="115"/>
      <c r="R237" s="57">
        <f ca="1">$R227*V237</f>
        <v>0</v>
      </c>
      <c r="S237" s="57">
        <f ca="1">$R227*W237</f>
        <v>0</v>
      </c>
      <c r="U237" s="415" t="s">
        <v>1145</v>
      </c>
      <c r="V237" s="417">
        <f t="shared" ref="V237:AA237" si="303">IFERROR(V233/$W239,0)</f>
        <v>0</v>
      </c>
      <c r="W237" s="417">
        <f t="shared" si="303"/>
        <v>0</v>
      </c>
      <c r="X237" s="417">
        <f t="shared" si="303"/>
        <v>0</v>
      </c>
      <c r="Y237" s="417">
        <f t="shared" si="303"/>
        <v>0</v>
      </c>
      <c r="Z237" s="417">
        <f t="shared" si="303"/>
        <v>0</v>
      </c>
      <c r="AA237" s="417">
        <f t="shared" si="303"/>
        <v>0</v>
      </c>
    </row>
    <row r="238" spans="3:27" hidden="1" outlineLevel="1" x14ac:dyDescent="0.2">
      <c r="E238" s="81" t="s">
        <v>1199</v>
      </c>
      <c r="F238" s="115"/>
      <c r="G238" s="115"/>
      <c r="H238" s="115"/>
      <c r="I238" s="115"/>
      <c r="J238" s="115"/>
      <c r="K238" s="57">
        <f ca="1">$K227*V236</f>
        <v>0</v>
      </c>
      <c r="L238" s="103"/>
      <c r="M238" s="81" t="s">
        <v>1199</v>
      </c>
      <c r="N238" s="115"/>
      <c r="O238" s="115"/>
      <c r="P238" s="115"/>
      <c r="Q238" s="115"/>
      <c r="R238" s="115"/>
      <c r="S238" s="57">
        <f ca="1">$S227*V237</f>
        <v>0</v>
      </c>
    </row>
    <row r="239" spans="3:27" hidden="1" outlineLevel="1" x14ac:dyDescent="0.2">
      <c r="E239" s="420" t="str">
        <f>TxPhase1PxUnitsTx</f>
        <v/>
      </c>
      <c r="F239" s="421">
        <f ca="1">IF(F230&lt;&gt;"",SUM(F233:F238),F227)</f>
        <v>0</v>
      </c>
      <c r="G239" s="421">
        <f ca="1">IF(F230&lt;&gt;"",SUM(G233:G238),G227)</f>
        <v>0</v>
      </c>
      <c r="H239" s="421">
        <f ca="1">IF(F230&lt;&gt;"",SUM(H233:H238),H227)</f>
        <v>0</v>
      </c>
      <c r="I239" s="421">
        <f ca="1">IF(F230&lt;&gt;"",SUM(I233:I238),I227)</f>
        <v>0</v>
      </c>
      <c r="J239" s="421">
        <f ca="1">IF(F230&lt;&gt;"",SUM(J233:J238),J227)</f>
        <v>0</v>
      </c>
      <c r="K239" s="421">
        <f ca="1">IF(F230&lt;&gt;"",SUM(K233:K238),K227)</f>
        <v>0</v>
      </c>
      <c r="L239" s="103"/>
      <c r="M239" s="420" t="str">
        <f>TxPhase2PxUnitsTx</f>
        <v/>
      </c>
      <c r="N239" s="421">
        <f ca="1">IF(N230&lt;&gt;"",SUM(N233:N238),N227)</f>
        <v>0</v>
      </c>
      <c r="O239" s="421">
        <f ca="1">IF(N230&lt;&gt;"",SUM(O233:O238),O227)</f>
        <v>0</v>
      </c>
      <c r="P239" s="421">
        <f ca="1">IF(N230&lt;&gt;"",SUM(P233:P238),P227)</f>
        <v>0</v>
      </c>
      <c r="Q239" s="421">
        <f ca="1">IF(N230&lt;&gt;"",SUM(Q233:Q238),Q227)</f>
        <v>0</v>
      </c>
      <c r="R239" s="421">
        <f ca="1">IF(N230&lt;&gt;"",SUM(R233:R238),R227)</f>
        <v>0</v>
      </c>
      <c r="S239" s="421">
        <f ca="1">IF(N230&lt;&gt;"",SUM(S233:S238),S227)</f>
        <v>0</v>
      </c>
      <c r="U239" s="415" t="s">
        <v>1148</v>
      </c>
      <c r="V239" s="412">
        <f>IFERROR(VLOOKUP(G230,TimeUnitCode,2,FALSE),0)</f>
        <v>0</v>
      </c>
      <c r="W239" s="412">
        <f>IFERROR(INDEX(TimeUnitCount,V239,2),0)</f>
        <v>0</v>
      </c>
    </row>
    <row r="240" spans="3:27" hidden="1" outlineLevel="1" x14ac:dyDescent="0.2"/>
    <row r="241" spans="2:27" collapsed="1" x14ac:dyDescent="0.2"/>
    <row r="242" spans="2:27" ht="15.75" x14ac:dyDescent="0.2">
      <c r="B242" s="246">
        <f>IF(F252+N252&gt;12,1,0)</f>
        <v>0</v>
      </c>
      <c r="C242" s="246">
        <f ca="1">IFERROR(INDEX(PxTxPhase1,$D247,7),0)</f>
        <v>0</v>
      </c>
      <c r="D242" s="396">
        <v>11</v>
      </c>
      <c r="E242" s="72" t="str">
        <f>IF(F246&lt;&gt;"",CONCATENATE("DTG ",D242,": ",H246,": ",N242),MsgNotUsed)</f>
        <v>** NOT USED **</v>
      </c>
      <c r="F242" s="116"/>
      <c r="G242" s="116"/>
      <c r="H242" s="116"/>
      <c r="I242" s="116"/>
      <c r="J242" s="118"/>
      <c r="K242" s="118"/>
      <c r="L242" s="118"/>
      <c r="M242" s="266"/>
      <c r="N242" s="445" t="str">
        <f>IF(AND(F252="",N252=""),"Full year",IF(AND(F252&lt;&gt;"",N252=""),CONCATENATE(F252," ",G252),IF(AND(F252="",N252&lt;&gt;""),CONCATENATE(N252," ",G252),CONCATENATE(F252," + ",N252," ",G252))))</f>
        <v>Full year</v>
      </c>
      <c r="O242" s="266"/>
      <c r="P242" s="266"/>
      <c r="Q242" s="266"/>
      <c r="R242" s="266"/>
      <c r="S242" s="266"/>
      <c r="T242" s="266"/>
      <c r="U242" s="266"/>
      <c r="V242" s="266"/>
      <c r="W242" s="266"/>
      <c r="X242" s="266"/>
      <c r="Y242" s="266"/>
      <c r="Z242" s="266"/>
      <c r="AA242" s="266"/>
    </row>
    <row r="243" spans="2:27" hidden="1" outlineLevel="1" x14ac:dyDescent="0.2">
      <c r="F243" s="319">
        <v>1</v>
      </c>
      <c r="G243" s="319">
        <v>2</v>
      </c>
      <c r="H243" s="319">
        <v>3</v>
      </c>
      <c r="I243" s="319">
        <v>4</v>
      </c>
      <c r="J243" s="319">
        <v>5</v>
      </c>
      <c r="K243" s="319">
        <v>6</v>
      </c>
      <c r="N243" s="319">
        <v>1</v>
      </c>
      <c r="O243" s="319">
        <v>2</v>
      </c>
      <c r="P243" s="319">
        <v>3</v>
      </c>
      <c r="Q243" s="319">
        <v>4</v>
      </c>
      <c r="R243" s="319">
        <v>5</v>
      </c>
      <c r="S243" s="319">
        <v>6</v>
      </c>
    </row>
    <row r="244" spans="2:27" hidden="1" outlineLevel="1" x14ac:dyDescent="0.2">
      <c r="C244" s="103"/>
      <c r="D244" s="103"/>
      <c r="E244" t="s">
        <v>1193</v>
      </c>
    </row>
    <row r="245" spans="2:27" hidden="1" outlineLevel="1" x14ac:dyDescent="0.2">
      <c r="C245" s="103"/>
      <c r="D245" s="103"/>
      <c r="E245" s="260"/>
    </row>
    <row r="246" spans="2:27" hidden="1" outlineLevel="1" x14ac:dyDescent="0.2">
      <c r="C246" s="246">
        <f>IF(F246&lt;&gt;"",MATCH(F246,PxTxSource,0)-1,0)</f>
        <v>0</v>
      </c>
      <c r="D246" s="246">
        <f ca="1">IF(H246&lt;&gt;"",MATCH(H246,OFFSET(References!$AE$23,0,C246,PxPopMaxCount),0),0)</f>
        <v>0</v>
      </c>
      <c r="E246" s="8" t="s">
        <v>110</v>
      </c>
      <c r="F246" s="230"/>
      <c r="H246" s="580"/>
      <c r="I246" s="581"/>
      <c r="J246" s="581"/>
      <c r="K246" s="581"/>
      <c r="M246" s="217"/>
      <c r="N246" s="542" t="str">
        <f ca="1">IF(ISERROR($D247)=TRUE,MsgError &amp; VLOOKUP("BadPop",ErrorMessages,2,FALSE),"")</f>
        <v/>
      </c>
      <c r="O246" s="542"/>
      <c r="P246" s="542"/>
      <c r="Q246" s="542"/>
      <c r="R246" s="542"/>
      <c r="S246" s="542"/>
    </row>
    <row r="247" spans="2:27" hidden="1" outlineLevel="1" x14ac:dyDescent="0.2">
      <c r="C247" s="246">
        <f>INDEX(PxTxValid,,C246+1)</f>
        <v>1</v>
      </c>
      <c r="D247" s="246" t="str">
        <f ca="1">IF(AND(C246=0,D246=0),"",(C246*PxPopMaxCount)+D246)</f>
        <v/>
      </c>
      <c r="E247" s="103"/>
    </row>
    <row r="248" spans="2:27" hidden="1" outlineLevel="1" x14ac:dyDescent="0.2">
      <c r="E248" s="357"/>
      <c r="F248" s="74">
        <f>FirstYear</f>
        <v>2026</v>
      </c>
      <c r="G248" s="74">
        <f>F248+1</f>
        <v>2027</v>
      </c>
      <c r="H248" s="74">
        <f>G248+1</f>
        <v>2028</v>
      </c>
      <c r="I248" s="74">
        <f>H248+1</f>
        <v>2029</v>
      </c>
      <c r="J248" s="74">
        <f>I248+1</f>
        <v>2030</v>
      </c>
      <c r="K248" s="74">
        <f>J248+1</f>
        <v>2031</v>
      </c>
      <c r="L248" s="103"/>
      <c r="N248" s="74">
        <f>FirstYear</f>
        <v>2026</v>
      </c>
      <c r="O248" s="74">
        <f>N248+1</f>
        <v>2027</v>
      </c>
      <c r="P248" s="74">
        <f>O248+1</f>
        <v>2028</v>
      </c>
      <c r="Q248" s="74">
        <f>P248+1</f>
        <v>2029</v>
      </c>
      <c r="R248" s="74">
        <f>Q248+1</f>
        <v>2030</v>
      </c>
      <c r="S248" s="74">
        <f>R248+1</f>
        <v>2031</v>
      </c>
    </row>
    <row r="249" spans="2:27" hidden="1" outlineLevel="1" x14ac:dyDescent="0.2">
      <c r="E249" s="53" t="str">
        <f>TxPhase1Px</f>
        <v/>
      </c>
      <c r="F249" s="27">
        <f t="shared" ref="F249:K249" ca="1" si="304">IFERROR(INDEX(PxTxPhase1,$D247,F243),0)</f>
        <v>0</v>
      </c>
      <c r="G249" s="27">
        <f t="shared" ca="1" si="304"/>
        <v>0</v>
      </c>
      <c r="H249" s="27">
        <f t="shared" ca="1" si="304"/>
        <v>0</v>
      </c>
      <c r="I249" s="27">
        <f t="shared" ca="1" si="304"/>
        <v>0</v>
      </c>
      <c r="J249" s="27">
        <f t="shared" ca="1" si="304"/>
        <v>0</v>
      </c>
      <c r="K249" s="27">
        <f t="shared" ca="1" si="304"/>
        <v>0</v>
      </c>
      <c r="L249" s="103"/>
      <c r="M249" s="53" t="str">
        <f>TxPhase2Px</f>
        <v/>
      </c>
      <c r="N249" s="27">
        <f t="shared" ref="N249:S249" ca="1" si="305">IFERROR(INDEX(PxTxPhase2,$D247,N243),0)</f>
        <v>0</v>
      </c>
      <c r="O249" s="27">
        <f t="shared" ca="1" si="305"/>
        <v>0</v>
      </c>
      <c r="P249" s="27">
        <f t="shared" ca="1" si="305"/>
        <v>0</v>
      </c>
      <c r="Q249" s="27">
        <f t="shared" ca="1" si="305"/>
        <v>0</v>
      </c>
      <c r="R249" s="27">
        <f t="shared" ca="1" si="305"/>
        <v>0</v>
      </c>
      <c r="S249" s="27">
        <f t="shared" ca="1" si="305"/>
        <v>0</v>
      </c>
    </row>
    <row r="250" spans="2:27" hidden="1" outlineLevel="1" x14ac:dyDescent="0.2">
      <c r="L250" s="103"/>
    </row>
    <row r="251" spans="2:27" hidden="1" outlineLevel="1" x14ac:dyDescent="0.2">
      <c r="E251" s="103"/>
      <c r="F251" s="103"/>
      <c r="G251" s="103"/>
      <c r="H251" s="103"/>
      <c r="I251" s="103"/>
      <c r="J251" s="103"/>
      <c r="K251" s="103"/>
      <c r="L251" s="103"/>
      <c r="M251" s="103"/>
      <c r="U251" s="411"/>
      <c r="V251" s="412">
        <f>$W261*1</f>
        <v>0</v>
      </c>
      <c r="W251" s="412">
        <f>$W261*2</f>
        <v>0</v>
      </c>
      <c r="X251" s="412">
        <f>$W261*3</f>
        <v>0</v>
      </c>
      <c r="Y251" s="412">
        <f>$W261*4</f>
        <v>0</v>
      </c>
      <c r="Z251" s="412">
        <f>$W261*5</f>
        <v>0</v>
      </c>
      <c r="AA251" s="412">
        <f>$W261*6</f>
        <v>0</v>
      </c>
    </row>
    <row r="252" spans="2:27" hidden="1" outlineLevel="1" x14ac:dyDescent="0.2">
      <c r="E252" s="82" t="s">
        <v>1147</v>
      </c>
      <c r="F252" s="390"/>
      <c r="G252" s="227"/>
      <c r="H252" s="378"/>
      <c r="I252" s="378"/>
      <c r="J252" s="378"/>
      <c r="K252" s="378"/>
      <c r="L252" s="103"/>
      <c r="M252" s="82" t="s">
        <v>1147</v>
      </c>
      <c r="N252" s="390"/>
      <c r="O252" s="418" t="str">
        <f>IF(G252&lt;&gt;"",G252,"")</f>
        <v/>
      </c>
      <c r="P252" s="378"/>
      <c r="Q252" s="378"/>
      <c r="R252" s="378"/>
      <c r="S252" s="378"/>
      <c r="U252" s="413" t="s">
        <v>1143</v>
      </c>
      <c r="V252" s="414">
        <f>IF($F252&gt;=V251,$W261,IF($F252&gt;0,$F252,0))</f>
        <v>0</v>
      </c>
      <c r="W252" s="414">
        <f>IF($F252&gt;=W251,$W$41,IF($F252&gt;V251,($F252-V251),0))</f>
        <v>0</v>
      </c>
      <c r="X252" s="414">
        <f>IF($F252&gt;=X251,$W$41,IF($F252&gt;W251,($F252-W251),0))</f>
        <v>0</v>
      </c>
      <c r="Y252" s="414">
        <f>IF($F252&gt;=Y251,$W$41,IF($F252&gt;X251,($F252-X251),0))</f>
        <v>0</v>
      </c>
      <c r="Z252" s="414">
        <f>IF($F252&gt;=Z251,$W$41,IF($F252&gt;Y251,($F252-Y251),0))</f>
        <v>0</v>
      </c>
      <c r="AA252" s="414">
        <f>IF($F252&gt;=AA251,$W$41,IF($F252&gt;Z251,($F252-Z251),0))</f>
        <v>0</v>
      </c>
    </row>
    <row r="253" spans="2:27" hidden="1" outlineLevel="1" x14ac:dyDescent="0.2">
      <c r="L253" s="103"/>
      <c r="M253" s="437"/>
      <c r="N253" s="438"/>
      <c r="O253" s="438"/>
      <c r="P253" s="438"/>
      <c r="Q253" s="438"/>
      <c r="R253" s="438"/>
      <c r="S253" s="438"/>
      <c r="U253" s="415" t="s">
        <v>1144</v>
      </c>
      <c r="V253" s="412">
        <f t="shared" ref="V253:AA253" si="306">IF(V252&gt;0,$W261-V252,$W261)</f>
        <v>0</v>
      </c>
      <c r="W253" s="412">
        <f t="shared" si="306"/>
        <v>0</v>
      </c>
      <c r="X253" s="412">
        <f t="shared" si="306"/>
        <v>0</v>
      </c>
      <c r="Y253" s="412">
        <f t="shared" si="306"/>
        <v>0</v>
      </c>
      <c r="Z253" s="412">
        <f t="shared" si="306"/>
        <v>0</v>
      </c>
      <c r="AA253" s="412">
        <f t="shared" si="306"/>
        <v>0</v>
      </c>
    </row>
    <row r="254" spans="2:27" hidden="1" outlineLevel="1" x14ac:dyDescent="0.2">
      <c r="E254" s="437" t="str">
        <f>E249</f>
        <v/>
      </c>
      <c r="F254" s="419"/>
      <c r="G254" s="419"/>
      <c r="H254" s="419"/>
      <c r="I254" s="419"/>
      <c r="J254" s="419"/>
      <c r="K254" s="419"/>
      <c r="L254" s="103"/>
      <c r="M254" s="437" t="str">
        <f>M249</f>
        <v/>
      </c>
      <c r="N254" s="439"/>
      <c r="O254" s="440"/>
      <c r="P254" s="440"/>
      <c r="Q254" s="440"/>
      <c r="R254" s="440"/>
      <c r="S254" s="440"/>
      <c r="U254" s="378"/>
      <c r="V254" s="378"/>
      <c r="W254" s="378"/>
      <c r="X254" s="378"/>
      <c r="Y254" s="378"/>
      <c r="Z254" s="378"/>
      <c r="AA254" s="378"/>
    </row>
    <row r="255" spans="2:27" hidden="1" outlineLevel="1" x14ac:dyDescent="0.2">
      <c r="E255" s="81" t="s">
        <v>1194</v>
      </c>
      <c r="F255" s="57">
        <f ca="1">$F249*V258</f>
        <v>0</v>
      </c>
      <c r="G255" s="57">
        <f t="shared" ref="G255" ca="1" si="307">$F249*W258</f>
        <v>0</v>
      </c>
      <c r="H255" s="57">
        <f t="shared" ref="H255" ca="1" si="308">$F249*X258</f>
        <v>0</v>
      </c>
      <c r="I255" s="57">
        <f t="shared" ref="I255" ca="1" si="309">$F249*Y258</f>
        <v>0</v>
      </c>
      <c r="J255" s="57">
        <f t="shared" ref="J255" ca="1" si="310">$F249*Z258</f>
        <v>0</v>
      </c>
      <c r="K255" s="57">
        <f t="shared" ref="K255" ca="1" si="311">$F249*AA258</f>
        <v>0</v>
      </c>
      <c r="L255" s="103"/>
      <c r="M255" s="81" t="s">
        <v>1194</v>
      </c>
      <c r="N255" s="57">
        <f ca="1">$N249*V259</f>
        <v>0</v>
      </c>
      <c r="O255" s="57">
        <f ca="1">$N249*W259</f>
        <v>0</v>
      </c>
      <c r="P255" s="57">
        <f t="shared" ref="P255" ca="1" si="312">$N249*X259</f>
        <v>0</v>
      </c>
      <c r="Q255" s="57">
        <f t="shared" ref="Q255" ca="1" si="313">$N249*Y259</f>
        <v>0</v>
      </c>
      <c r="R255" s="57">
        <f t="shared" ref="R255" ca="1" si="314">$N249*Z259</f>
        <v>0</v>
      </c>
      <c r="S255" s="57">
        <f t="shared" ref="S255" ca="1" si="315">$N249*AA259</f>
        <v>0</v>
      </c>
      <c r="U255" s="415" t="s">
        <v>1145</v>
      </c>
      <c r="V255" s="414">
        <f>IF($N252&gt;=V253,V253,N252)</f>
        <v>0</v>
      </c>
      <c r="W255" s="414">
        <f>IF(V256&gt;=W253,W253,V256)</f>
        <v>0</v>
      </c>
      <c r="X255" s="414">
        <f>IF(W256&gt;=X253,X253,W256)</f>
        <v>0</v>
      </c>
      <c r="Y255" s="414">
        <f>IF(X256&gt;=Y253,Y253,X256)</f>
        <v>0</v>
      </c>
      <c r="Z255" s="414">
        <f>IF(Y256&gt;=Z253,Z253,Y256)</f>
        <v>0</v>
      </c>
      <c r="AA255" s="414">
        <f>IF(Z256&gt;=AA253,AA253,Z256)</f>
        <v>0</v>
      </c>
    </row>
    <row r="256" spans="2:27" hidden="1" outlineLevel="1" x14ac:dyDescent="0.2">
      <c r="E256" s="81" t="s">
        <v>1195</v>
      </c>
      <c r="F256" s="115"/>
      <c r="G256" s="57">
        <f ca="1">$G249*V258</f>
        <v>0</v>
      </c>
      <c r="H256" s="57">
        <f t="shared" ref="H256" ca="1" si="316">$G249*W258</f>
        <v>0</v>
      </c>
      <c r="I256" s="57">
        <f t="shared" ref="I256" ca="1" si="317">$G249*X258</f>
        <v>0</v>
      </c>
      <c r="J256" s="57">
        <f t="shared" ref="J256" ca="1" si="318">$G249*Y258</f>
        <v>0</v>
      </c>
      <c r="K256" s="57">
        <f t="shared" ref="K256" ca="1" si="319">$G249*Z258</f>
        <v>0</v>
      </c>
      <c r="L256" s="103"/>
      <c r="M256" s="81" t="s">
        <v>1195</v>
      </c>
      <c r="N256" s="115"/>
      <c r="O256" s="57">
        <f ca="1">$O249*V259</f>
        <v>0</v>
      </c>
      <c r="P256" s="57">
        <f t="shared" ref="P256" ca="1" si="320">$O249*W259</f>
        <v>0</v>
      </c>
      <c r="Q256" s="57">
        <f t="shared" ref="Q256" ca="1" si="321">$O249*X259</f>
        <v>0</v>
      </c>
      <c r="R256" s="57">
        <f t="shared" ref="R256" ca="1" si="322">$O249*Y259</f>
        <v>0</v>
      </c>
      <c r="S256" s="57">
        <f t="shared" ref="S256" ca="1" si="323">$O249*Z259</f>
        <v>0</v>
      </c>
      <c r="U256" s="415" t="s">
        <v>1146</v>
      </c>
      <c r="V256" s="412">
        <f>$N252-V255</f>
        <v>0</v>
      </c>
      <c r="W256" s="412">
        <f>$N252-SUM($V255:W255)</f>
        <v>0</v>
      </c>
      <c r="X256" s="412">
        <f>$N252-SUM($V255:X255)</f>
        <v>0</v>
      </c>
      <c r="Y256" s="412">
        <f>$N252-SUM($V255:Y255)</f>
        <v>0</v>
      </c>
      <c r="Z256" s="412">
        <f>$N252-SUM($V255:Z255)</f>
        <v>0</v>
      </c>
      <c r="AA256" s="412">
        <f>$N252-SUM($V255:AA255)</f>
        <v>0</v>
      </c>
    </row>
    <row r="257" spans="2:27" hidden="1" outlineLevel="1" x14ac:dyDescent="0.2">
      <c r="E257" s="81" t="s">
        <v>1196</v>
      </c>
      <c r="F257" s="115"/>
      <c r="G257" s="115"/>
      <c r="H257" s="57">
        <f ca="1">$H249*V258</f>
        <v>0</v>
      </c>
      <c r="I257" s="57">
        <f t="shared" ref="I257" ca="1" si="324">$H249*W258</f>
        <v>0</v>
      </c>
      <c r="J257" s="57">
        <f t="shared" ref="J257" ca="1" si="325">$H249*X258</f>
        <v>0</v>
      </c>
      <c r="K257" s="57">
        <f t="shared" ref="K257" ca="1" si="326">$H249*Y258</f>
        <v>0</v>
      </c>
      <c r="L257" s="103"/>
      <c r="M257" s="81" t="s">
        <v>1196</v>
      </c>
      <c r="N257" s="115"/>
      <c r="O257" s="115"/>
      <c r="P257" s="57">
        <f ca="1">$P249*V259</f>
        <v>0</v>
      </c>
      <c r="Q257" s="57">
        <f t="shared" ref="Q257" ca="1" si="327">$P249*W259</f>
        <v>0</v>
      </c>
      <c r="R257" s="57">
        <f t="shared" ref="R257" ca="1" si="328">$P249*X259</f>
        <v>0</v>
      </c>
      <c r="S257" s="57">
        <f t="shared" ref="S257" ca="1" si="329">$P249*Y259</f>
        <v>0</v>
      </c>
      <c r="V257" s="416"/>
      <c r="AA257" s="378"/>
    </row>
    <row r="258" spans="2:27" hidden="1" outlineLevel="1" x14ac:dyDescent="0.2">
      <c r="E258" s="81" t="s">
        <v>1197</v>
      </c>
      <c r="F258" s="115"/>
      <c r="G258" s="115"/>
      <c r="H258" s="115"/>
      <c r="I258" s="57">
        <f ca="1">$I249*V258</f>
        <v>0</v>
      </c>
      <c r="J258" s="57">
        <f t="shared" ref="J258" ca="1" si="330">$I249*W258</f>
        <v>0</v>
      </c>
      <c r="K258" s="57">
        <f t="shared" ref="K258" ca="1" si="331">$I249*X258</f>
        <v>0</v>
      </c>
      <c r="L258" s="103"/>
      <c r="M258" s="81" t="s">
        <v>1197</v>
      </c>
      <c r="N258" s="115"/>
      <c r="O258" s="115"/>
      <c r="P258" s="115"/>
      <c r="Q258" s="57">
        <f ca="1">$Q249*V259</f>
        <v>0</v>
      </c>
      <c r="R258" s="57">
        <f t="shared" ref="R258" ca="1" si="332">$Q249*W259</f>
        <v>0</v>
      </c>
      <c r="S258" s="57">
        <f t="shared" ref="S258" ca="1" si="333">$Q249*X259</f>
        <v>0</v>
      </c>
      <c r="U258" s="413" t="s">
        <v>1143</v>
      </c>
      <c r="V258" s="417">
        <f t="shared" ref="V258:AA258" si="334">IFERROR(V252/$W261,0)</f>
        <v>0</v>
      </c>
      <c r="W258" s="417">
        <f t="shared" si="334"/>
        <v>0</v>
      </c>
      <c r="X258" s="417">
        <f t="shared" si="334"/>
        <v>0</v>
      </c>
      <c r="Y258" s="417">
        <f t="shared" si="334"/>
        <v>0</v>
      </c>
      <c r="Z258" s="417">
        <f t="shared" si="334"/>
        <v>0</v>
      </c>
      <c r="AA258" s="417">
        <f t="shared" si="334"/>
        <v>0</v>
      </c>
    </row>
    <row r="259" spans="2:27" hidden="1" outlineLevel="1" x14ac:dyDescent="0.2">
      <c r="E259" s="81" t="s">
        <v>1198</v>
      </c>
      <c r="F259" s="115"/>
      <c r="G259" s="115"/>
      <c r="H259" s="115"/>
      <c r="I259" s="115"/>
      <c r="J259" s="57">
        <f ca="1">$J249*V258</f>
        <v>0</v>
      </c>
      <c r="K259" s="57">
        <f ca="1">$J249*W258</f>
        <v>0</v>
      </c>
      <c r="L259" s="103"/>
      <c r="M259" s="81" t="s">
        <v>1198</v>
      </c>
      <c r="N259" s="115"/>
      <c r="O259" s="115"/>
      <c r="P259" s="115"/>
      <c r="Q259" s="115"/>
      <c r="R259" s="57">
        <f ca="1">$R249*V259</f>
        <v>0</v>
      </c>
      <c r="S259" s="57">
        <f ca="1">$R249*W259</f>
        <v>0</v>
      </c>
      <c r="U259" s="415" t="s">
        <v>1145</v>
      </c>
      <c r="V259" s="417">
        <f t="shared" ref="V259:AA259" si="335">IFERROR(V255/$W261,0)</f>
        <v>0</v>
      </c>
      <c r="W259" s="417">
        <f t="shared" si="335"/>
        <v>0</v>
      </c>
      <c r="X259" s="417">
        <f t="shared" si="335"/>
        <v>0</v>
      </c>
      <c r="Y259" s="417">
        <f t="shared" si="335"/>
        <v>0</v>
      </c>
      <c r="Z259" s="417">
        <f t="shared" si="335"/>
        <v>0</v>
      </c>
      <c r="AA259" s="417">
        <f t="shared" si="335"/>
        <v>0</v>
      </c>
    </row>
    <row r="260" spans="2:27" hidden="1" outlineLevel="1" x14ac:dyDescent="0.2">
      <c r="E260" s="81" t="s">
        <v>1199</v>
      </c>
      <c r="F260" s="115"/>
      <c r="G260" s="115"/>
      <c r="H260" s="115"/>
      <c r="I260" s="115"/>
      <c r="J260" s="115"/>
      <c r="K260" s="57">
        <f ca="1">$K249*V258</f>
        <v>0</v>
      </c>
      <c r="L260" s="103"/>
      <c r="M260" s="81" t="s">
        <v>1199</v>
      </c>
      <c r="N260" s="115"/>
      <c r="O260" s="115"/>
      <c r="P260" s="115"/>
      <c r="Q260" s="115"/>
      <c r="R260" s="115"/>
      <c r="S260" s="57">
        <f ca="1">$S249*V259</f>
        <v>0</v>
      </c>
    </row>
    <row r="261" spans="2:27" hidden="1" outlineLevel="1" x14ac:dyDescent="0.2">
      <c r="E261" s="420" t="str">
        <f>TxPhase1PxUnitsTx</f>
        <v/>
      </c>
      <c r="F261" s="421">
        <f ca="1">IF(F252&lt;&gt;"",SUM(F255:F260),F249)</f>
        <v>0</v>
      </c>
      <c r="G261" s="421">
        <f ca="1">IF(F252&lt;&gt;"",SUM(G255:G260),G249)</f>
        <v>0</v>
      </c>
      <c r="H261" s="421">
        <f ca="1">IF(F252&lt;&gt;"",SUM(H255:H260),H249)</f>
        <v>0</v>
      </c>
      <c r="I261" s="421">
        <f ca="1">IF(F252&lt;&gt;"",SUM(I255:I260),I249)</f>
        <v>0</v>
      </c>
      <c r="J261" s="421">
        <f ca="1">IF(F252&lt;&gt;"",SUM(J255:J260),J249)</f>
        <v>0</v>
      </c>
      <c r="K261" s="421">
        <f ca="1">IF(F252&lt;&gt;"",SUM(K255:K260),K249)</f>
        <v>0</v>
      </c>
      <c r="L261" s="103"/>
      <c r="M261" s="420" t="str">
        <f>TxPhase2PxUnitsTx</f>
        <v/>
      </c>
      <c r="N261" s="421">
        <f ca="1">IF(N252&lt;&gt;"",SUM(N255:N260),N249)</f>
        <v>0</v>
      </c>
      <c r="O261" s="421">
        <f ca="1">IF(N252&lt;&gt;"",SUM(O255:O260),O249)</f>
        <v>0</v>
      </c>
      <c r="P261" s="421">
        <f ca="1">IF(N252&lt;&gt;"",SUM(P255:P260),P249)</f>
        <v>0</v>
      </c>
      <c r="Q261" s="421">
        <f ca="1">IF(N252&lt;&gt;"",SUM(Q255:Q260),Q249)</f>
        <v>0</v>
      </c>
      <c r="R261" s="421">
        <f ca="1">IF(N252&lt;&gt;"",SUM(R255:R260),R249)</f>
        <v>0</v>
      </c>
      <c r="S261" s="421">
        <f ca="1">IF(N252&lt;&gt;"",SUM(S255:S260),S249)</f>
        <v>0</v>
      </c>
      <c r="U261" s="415" t="s">
        <v>1148</v>
      </c>
      <c r="V261" s="412">
        <f>IFERROR(VLOOKUP(G252,TimeUnitCode,2,FALSE),0)</f>
        <v>0</v>
      </c>
      <c r="W261" s="412">
        <f>IFERROR(INDEX(TimeUnitCount,V261,2),0)</f>
        <v>0</v>
      </c>
    </row>
    <row r="262" spans="2:27" hidden="1" outlineLevel="1" x14ac:dyDescent="0.2"/>
    <row r="263" spans="2:27" collapsed="1" x14ac:dyDescent="0.2"/>
    <row r="264" spans="2:27" ht="15.75" x14ac:dyDescent="0.2">
      <c r="B264" s="246">
        <f>IF(F274+N274&gt;12,1,0)</f>
        <v>0</v>
      </c>
      <c r="C264" s="246">
        <f ca="1">IFERROR(INDEX(PxTxPhase1,$D269,7),0)</f>
        <v>0</v>
      </c>
      <c r="D264" s="396">
        <v>12</v>
      </c>
      <c r="E264" s="72" t="str">
        <f>IF(F268&lt;&gt;"",CONCATENATE("DTG ",D264,": ",H268,": ",N264),MsgNotUsed)</f>
        <v>** NOT USED **</v>
      </c>
      <c r="F264" s="116"/>
      <c r="G264" s="116"/>
      <c r="H264" s="116"/>
      <c r="I264" s="116"/>
      <c r="J264" s="118"/>
      <c r="K264" s="118"/>
      <c r="L264" s="118"/>
      <c r="M264" s="266"/>
      <c r="N264" s="445" t="str">
        <f>IF(AND(F274="",N274=""),"Full year",IF(AND(F274&lt;&gt;"",N274=""),CONCATENATE(F274," ",G274),IF(AND(F274="",N274&lt;&gt;""),CONCATENATE(N274," ",G274),CONCATENATE(F274," + ",N274," ",G274))))</f>
        <v>Full year</v>
      </c>
      <c r="O264" s="266"/>
      <c r="P264" s="266"/>
      <c r="Q264" s="266"/>
      <c r="R264" s="266"/>
      <c r="S264" s="266"/>
      <c r="T264" s="266"/>
      <c r="U264" s="266"/>
      <c r="V264" s="266"/>
      <c r="W264" s="266"/>
      <c r="X264" s="266"/>
      <c r="Y264" s="266"/>
      <c r="Z264" s="266"/>
      <c r="AA264" s="266"/>
    </row>
    <row r="265" spans="2:27" hidden="1" outlineLevel="1" x14ac:dyDescent="0.2">
      <c r="F265" s="319">
        <v>1</v>
      </c>
      <c r="G265" s="319">
        <v>2</v>
      </c>
      <c r="H265" s="319">
        <v>3</v>
      </c>
      <c r="I265" s="319">
        <v>4</v>
      </c>
      <c r="J265" s="319">
        <v>5</v>
      </c>
      <c r="K265" s="319">
        <v>6</v>
      </c>
      <c r="N265" s="319">
        <v>1</v>
      </c>
      <c r="O265" s="319">
        <v>2</v>
      </c>
      <c r="P265" s="319">
        <v>3</v>
      </c>
      <c r="Q265" s="319">
        <v>4</v>
      </c>
      <c r="R265" s="319">
        <v>5</v>
      </c>
      <c r="S265" s="319">
        <v>6</v>
      </c>
    </row>
    <row r="266" spans="2:27" hidden="1" outlineLevel="1" x14ac:dyDescent="0.2">
      <c r="C266" s="103"/>
      <c r="D266" s="103"/>
      <c r="E266" t="s">
        <v>1193</v>
      </c>
    </row>
    <row r="267" spans="2:27" hidden="1" outlineLevel="1" x14ac:dyDescent="0.2">
      <c r="C267" s="103"/>
      <c r="D267" s="103"/>
      <c r="E267" s="260"/>
    </row>
    <row r="268" spans="2:27" hidden="1" outlineLevel="1" x14ac:dyDescent="0.2">
      <c r="C268" s="246">
        <f>IF(F268&lt;&gt;"",MATCH(F268,PxTxSource,0)-1,0)</f>
        <v>0</v>
      </c>
      <c r="D268" s="246">
        <f ca="1">IF(H268&lt;&gt;"",MATCH(H268,OFFSET(References!$AE$23,0,C268,PxPopMaxCount),0),0)</f>
        <v>0</v>
      </c>
      <c r="E268" s="8" t="s">
        <v>110</v>
      </c>
      <c r="F268" s="230"/>
      <c r="H268" s="580"/>
      <c r="I268" s="581"/>
      <c r="J268" s="581"/>
      <c r="K268" s="581"/>
      <c r="M268" s="217"/>
      <c r="N268" s="542" t="str">
        <f ca="1">IF(ISERROR($D269)=TRUE,MsgError &amp; VLOOKUP("BadPop",ErrorMessages,2,FALSE),"")</f>
        <v/>
      </c>
      <c r="O268" s="542"/>
      <c r="P268" s="542"/>
      <c r="Q268" s="542"/>
      <c r="R268" s="542"/>
      <c r="S268" s="542"/>
    </row>
    <row r="269" spans="2:27" hidden="1" outlineLevel="1" x14ac:dyDescent="0.2">
      <c r="C269" s="246">
        <f>INDEX(PxTxValid,,C268+1)</f>
        <v>1</v>
      </c>
      <c r="D269" s="246" t="str">
        <f ca="1">IF(AND(C268&lt;&gt;0,D268&lt;&gt;0),(C268*PxPopMaxCount)+D268,"")</f>
        <v/>
      </c>
      <c r="E269" s="103"/>
    </row>
    <row r="270" spans="2:27" hidden="1" outlineLevel="1" x14ac:dyDescent="0.2">
      <c r="E270" s="357"/>
      <c r="F270" s="74">
        <f>FirstYear</f>
        <v>2026</v>
      </c>
      <c r="G270" s="74">
        <f>F270+1</f>
        <v>2027</v>
      </c>
      <c r="H270" s="74">
        <f>G270+1</f>
        <v>2028</v>
      </c>
      <c r="I270" s="74">
        <f>H270+1</f>
        <v>2029</v>
      </c>
      <c r="J270" s="74">
        <f>I270+1</f>
        <v>2030</v>
      </c>
      <c r="K270" s="74">
        <f>J270+1</f>
        <v>2031</v>
      </c>
      <c r="L270" s="103"/>
      <c r="N270" s="74">
        <f>FirstYear</f>
        <v>2026</v>
      </c>
      <c r="O270" s="74">
        <f>N270+1</f>
        <v>2027</v>
      </c>
      <c r="P270" s="74">
        <f>O270+1</f>
        <v>2028</v>
      </c>
      <c r="Q270" s="74">
        <f>P270+1</f>
        <v>2029</v>
      </c>
      <c r="R270" s="74">
        <f>Q270+1</f>
        <v>2030</v>
      </c>
      <c r="S270" s="74">
        <f>R270+1</f>
        <v>2031</v>
      </c>
    </row>
    <row r="271" spans="2:27" hidden="1" outlineLevel="1" x14ac:dyDescent="0.2">
      <c r="E271" s="53" t="str">
        <f>TxPhase1Px</f>
        <v/>
      </c>
      <c r="F271" s="27">
        <f t="shared" ref="F271:K271" ca="1" si="336">IFERROR(INDEX(PxTxPhase1,$D269,F265),0)</f>
        <v>0</v>
      </c>
      <c r="G271" s="27">
        <f t="shared" ca="1" si="336"/>
        <v>0</v>
      </c>
      <c r="H271" s="27">
        <f t="shared" ca="1" si="336"/>
        <v>0</v>
      </c>
      <c r="I271" s="27">
        <f t="shared" ca="1" si="336"/>
        <v>0</v>
      </c>
      <c r="J271" s="27">
        <f t="shared" ca="1" si="336"/>
        <v>0</v>
      </c>
      <c r="K271" s="27">
        <f t="shared" ca="1" si="336"/>
        <v>0</v>
      </c>
      <c r="L271" s="103"/>
      <c r="M271" s="53" t="str">
        <f>TxPhase2Px</f>
        <v/>
      </c>
      <c r="N271" s="27">
        <f t="shared" ref="N271:S271" ca="1" si="337">IFERROR(INDEX(PxTxPhase2,$D269,N265),0)</f>
        <v>0</v>
      </c>
      <c r="O271" s="27">
        <f t="shared" ca="1" si="337"/>
        <v>0</v>
      </c>
      <c r="P271" s="27">
        <f t="shared" ca="1" si="337"/>
        <v>0</v>
      </c>
      <c r="Q271" s="27">
        <f t="shared" ca="1" si="337"/>
        <v>0</v>
      </c>
      <c r="R271" s="27">
        <f t="shared" ca="1" si="337"/>
        <v>0</v>
      </c>
      <c r="S271" s="27">
        <f t="shared" ca="1" si="337"/>
        <v>0</v>
      </c>
    </row>
    <row r="272" spans="2:27" hidden="1" outlineLevel="1" x14ac:dyDescent="0.2">
      <c r="L272" s="103"/>
    </row>
    <row r="273" spans="2:27" hidden="1" outlineLevel="1" x14ac:dyDescent="0.2">
      <c r="E273" s="103"/>
      <c r="F273" s="103"/>
      <c r="G273" s="103"/>
      <c r="H273" s="103"/>
      <c r="I273" s="103"/>
      <c r="J273" s="103"/>
      <c r="K273" s="103"/>
      <c r="L273" s="103"/>
      <c r="M273" s="103"/>
      <c r="U273" s="411"/>
      <c r="V273" s="412">
        <f>$W283*1</f>
        <v>0</v>
      </c>
      <c r="W273" s="412">
        <f>$W283*2</f>
        <v>0</v>
      </c>
      <c r="X273" s="412">
        <f>$W283*3</f>
        <v>0</v>
      </c>
      <c r="Y273" s="412">
        <f>$W283*4</f>
        <v>0</v>
      </c>
      <c r="Z273" s="412">
        <f>$W283*5</f>
        <v>0</v>
      </c>
      <c r="AA273" s="412">
        <f>$W283*6</f>
        <v>0</v>
      </c>
    </row>
    <row r="274" spans="2:27" hidden="1" outlineLevel="1" x14ac:dyDescent="0.2">
      <c r="E274" s="82" t="s">
        <v>1147</v>
      </c>
      <c r="F274" s="390"/>
      <c r="G274" s="227"/>
      <c r="H274" s="378"/>
      <c r="I274" s="378"/>
      <c r="J274" s="378"/>
      <c r="K274" s="378"/>
      <c r="L274" s="103"/>
      <c r="M274" s="82" t="s">
        <v>1147</v>
      </c>
      <c r="N274" s="390"/>
      <c r="O274" s="418" t="str">
        <f>IF(G274&lt;&gt;"",G274,"")</f>
        <v/>
      </c>
      <c r="P274" s="378"/>
      <c r="Q274" s="378"/>
      <c r="R274" s="378"/>
      <c r="S274" s="378"/>
      <c r="U274" s="413" t="s">
        <v>1143</v>
      </c>
      <c r="V274" s="414">
        <f>IF($F274&gt;=V273,$W283,IF($F274&gt;0,$F274,0))</f>
        <v>0</v>
      </c>
      <c r="W274" s="414">
        <f>IF($F274&gt;=W273,$W$41,IF($F274&gt;V273,($F274-V273),0))</f>
        <v>0</v>
      </c>
      <c r="X274" s="414">
        <f>IF($F274&gt;=X273,$W$41,IF($F274&gt;W273,($F274-W273),0))</f>
        <v>0</v>
      </c>
      <c r="Y274" s="414">
        <f>IF($F274&gt;=Y273,$W$41,IF($F274&gt;X273,($F274-X273),0))</f>
        <v>0</v>
      </c>
      <c r="Z274" s="414">
        <f>IF($F274&gt;=Z273,$W$41,IF($F274&gt;Y273,($F274-Y273),0))</f>
        <v>0</v>
      </c>
      <c r="AA274" s="414">
        <f>IF($F274&gt;=AA273,$W$41,IF($F274&gt;Z273,($F274-Z273),0))</f>
        <v>0</v>
      </c>
    </row>
    <row r="275" spans="2:27" hidden="1" outlineLevel="1" x14ac:dyDescent="0.2">
      <c r="L275" s="103"/>
      <c r="M275" s="437"/>
      <c r="N275" s="438"/>
      <c r="O275" s="438"/>
      <c r="P275" s="438"/>
      <c r="Q275" s="438"/>
      <c r="R275" s="438"/>
      <c r="S275" s="438"/>
      <c r="U275" s="415" t="s">
        <v>1144</v>
      </c>
      <c r="V275" s="412">
        <f t="shared" ref="V275:AA275" si="338">IF(V274&gt;0,$W283-V274,$W283)</f>
        <v>0</v>
      </c>
      <c r="W275" s="412">
        <f t="shared" si="338"/>
        <v>0</v>
      </c>
      <c r="X275" s="412">
        <f t="shared" si="338"/>
        <v>0</v>
      </c>
      <c r="Y275" s="412">
        <f t="shared" si="338"/>
        <v>0</v>
      </c>
      <c r="Z275" s="412">
        <f t="shared" si="338"/>
        <v>0</v>
      </c>
      <c r="AA275" s="412">
        <f t="shared" si="338"/>
        <v>0</v>
      </c>
    </row>
    <row r="276" spans="2:27" hidden="1" outlineLevel="1" x14ac:dyDescent="0.2">
      <c r="E276" s="437" t="str">
        <f>E271</f>
        <v/>
      </c>
      <c r="F276" s="419"/>
      <c r="G276" s="419"/>
      <c r="H276" s="419"/>
      <c r="I276" s="419"/>
      <c r="J276" s="419"/>
      <c r="K276" s="419"/>
      <c r="L276" s="103"/>
      <c r="M276" s="437" t="str">
        <f>M271</f>
        <v/>
      </c>
      <c r="N276" s="439"/>
      <c r="O276" s="440"/>
      <c r="P276" s="440"/>
      <c r="Q276" s="440"/>
      <c r="R276" s="440"/>
      <c r="S276" s="440"/>
      <c r="U276" s="378"/>
      <c r="V276" s="378"/>
      <c r="W276" s="378"/>
      <c r="X276" s="378"/>
      <c r="Y276" s="378"/>
      <c r="Z276" s="378"/>
      <c r="AA276" s="378"/>
    </row>
    <row r="277" spans="2:27" hidden="1" outlineLevel="1" x14ac:dyDescent="0.2">
      <c r="E277" s="81" t="s">
        <v>1194</v>
      </c>
      <c r="F277" s="57">
        <f ca="1">$F271*V280</f>
        <v>0</v>
      </c>
      <c r="G277" s="57">
        <f t="shared" ref="G277" ca="1" si="339">$F271*W280</f>
        <v>0</v>
      </c>
      <c r="H277" s="57">
        <f t="shared" ref="H277" ca="1" si="340">$F271*X280</f>
        <v>0</v>
      </c>
      <c r="I277" s="57">
        <f t="shared" ref="I277" ca="1" si="341">$F271*Y280</f>
        <v>0</v>
      </c>
      <c r="J277" s="57">
        <f t="shared" ref="J277" ca="1" si="342">$F271*Z280</f>
        <v>0</v>
      </c>
      <c r="K277" s="57">
        <f t="shared" ref="K277" ca="1" si="343">$F271*AA280</f>
        <v>0</v>
      </c>
      <c r="L277" s="103"/>
      <c r="M277" s="81" t="s">
        <v>1194</v>
      </c>
      <c r="N277" s="57">
        <f ca="1">$N271*V281</f>
        <v>0</v>
      </c>
      <c r="O277" s="57">
        <f ca="1">$N271*W281</f>
        <v>0</v>
      </c>
      <c r="P277" s="57">
        <f t="shared" ref="P277" ca="1" si="344">$N271*X281</f>
        <v>0</v>
      </c>
      <c r="Q277" s="57">
        <f t="shared" ref="Q277" ca="1" si="345">$N271*Y281</f>
        <v>0</v>
      </c>
      <c r="R277" s="57">
        <f t="shared" ref="R277" ca="1" si="346">$N271*Z281</f>
        <v>0</v>
      </c>
      <c r="S277" s="57">
        <f t="shared" ref="S277" ca="1" si="347">$N271*AA281</f>
        <v>0</v>
      </c>
      <c r="U277" s="415" t="s">
        <v>1145</v>
      </c>
      <c r="V277" s="414">
        <f>IF($N274&gt;=V275,V275,N274)</f>
        <v>0</v>
      </c>
      <c r="W277" s="414">
        <f>IF(V278&gt;=W275,W275,V278)</f>
        <v>0</v>
      </c>
      <c r="X277" s="414">
        <f>IF(W278&gt;=X275,X275,W278)</f>
        <v>0</v>
      </c>
      <c r="Y277" s="414">
        <f>IF(X278&gt;=Y275,Y275,X278)</f>
        <v>0</v>
      </c>
      <c r="Z277" s="414">
        <f>IF(Y278&gt;=Z275,Z275,Y278)</f>
        <v>0</v>
      </c>
      <c r="AA277" s="414">
        <f>IF(Z278&gt;=AA275,AA275,Z278)</f>
        <v>0</v>
      </c>
    </row>
    <row r="278" spans="2:27" hidden="1" outlineLevel="1" x14ac:dyDescent="0.2">
      <c r="E278" s="81" t="s">
        <v>1195</v>
      </c>
      <c r="F278" s="115"/>
      <c r="G278" s="57">
        <f ca="1">$G271*V280</f>
        <v>0</v>
      </c>
      <c r="H278" s="57">
        <f t="shared" ref="H278" ca="1" si="348">$G271*W280</f>
        <v>0</v>
      </c>
      <c r="I278" s="57">
        <f t="shared" ref="I278" ca="1" si="349">$G271*X280</f>
        <v>0</v>
      </c>
      <c r="J278" s="57">
        <f t="shared" ref="J278" ca="1" si="350">$G271*Y280</f>
        <v>0</v>
      </c>
      <c r="K278" s="57">
        <f t="shared" ref="K278" ca="1" si="351">$G271*Z280</f>
        <v>0</v>
      </c>
      <c r="L278" s="103"/>
      <c r="M278" s="81" t="s">
        <v>1195</v>
      </c>
      <c r="N278" s="115"/>
      <c r="O278" s="57">
        <f ca="1">$O271*V281</f>
        <v>0</v>
      </c>
      <c r="P278" s="57">
        <f t="shared" ref="P278" ca="1" si="352">$O271*W281</f>
        <v>0</v>
      </c>
      <c r="Q278" s="57">
        <f t="shared" ref="Q278" ca="1" si="353">$O271*X281</f>
        <v>0</v>
      </c>
      <c r="R278" s="57">
        <f t="shared" ref="R278" ca="1" si="354">$O271*Y281</f>
        <v>0</v>
      </c>
      <c r="S278" s="57">
        <f t="shared" ref="S278" ca="1" si="355">$O271*Z281</f>
        <v>0</v>
      </c>
      <c r="U278" s="415" t="s">
        <v>1146</v>
      </c>
      <c r="V278" s="412">
        <f>$N274-V277</f>
        <v>0</v>
      </c>
      <c r="W278" s="412">
        <f>$N274-SUM($V277:W277)</f>
        <v>0</v>
      </c>
      <c r="X278" s="412">
        <f>$N274-SUM($V277:X277)</f>
        <v>0</v>
      </c>
      <c r="Y278" s="412">
        <f>$N274-SUM($V277:Y277)</f>
        <v>0</v>
      </c>
      <c r="Z278" s="412">
        <f>$N274-SUM($V277:Z277)</f>
        <v>0</v>
      </c>
      <c r="AA278" s="412">
        <f>$N274-SUM($V277:AA277)</f>
        <v>0</v>
      </c>
    </row>
    <row r="279" spans="2:27" hidden="1" outlineLevel="1" x14ac:dyDescent="0.2">
      <c r="E279" s="81" t="s">
        <v>1196</v>
      </c>
      <c r="F279" s="115"/>
      <c r="G279" s="115"/>
      <c r="H279" s="57">
        <f ca="1">$H271*V280</f>
        <v>0</v>
      </c>
      <c r="I279" s="57">
        <f t="shared" ref="I279" ca="1" si="356">$H271*W280</f>
        <v>0</v>
      </c>
      <c r="J279" s="57">
        <f t="shared" ref="J279" ca="1" si="357">$H271*X280</f>
        <v>0</v>
      </c>
      <c r="K279" s="57">
        <f t="shared" ref="K279" ca="1" si="358">$H271*Y280</f>
        <v>0</v>
      </c>
      <c r="L279" s="103"/>
      <c r="M279" s="81" t="s">
        <v>1196</v>
      </c>
      <c r="N279" s="115"/>
      <c r="O279" s="115"/>
      <c r="P279" s="57">
        <f ca="1">$P271*V281</f>
        <v>0</v>
      </c>
      <c r="Q279" s="57">
        <f t="shared" ref="Q279" ca="1" si="359">$P271*W281</f>
        <v>0</v>
      </c>
      <c r="R279" s="57">
        <f t="shared" ref="R279" ca="1" si="360">$P271*X281</f>
        <v>0</v>
      </c>
      <c r="S279" s="57">
        <f t="shared" ref="S279" ca="1" si="361">$P271*Y281</f>
        <v>0</v>
      </c>
      <c r="V279" s="416"/>
      <c r="AA279" s="378"/>
    </row>
    <row r="280" spans="2:27" hidden="1" outlineLevel="1" x14ac:dyDescent="0.2">
      <c r="E280" s="81" t="s">
        <v>1197</v>
      </c>
      <c r="F280" s="115"/>
      <c r="G280" s="115"/>
      <c r="H280" s="115"/>
      <c r="I280" s="57">
        <f ca="1">$I271*V280</f>
        <v>0</v>
      </c>
      <c r="J280" s="57">
        <f t="shared" ref="J280" ca="1" si="362">$I271*W280</f>
        <v>0</v>
      </c>
      <c r="K280" s="57">
        <f t="shared" ref="K280" ca="1" si="363">$I271*X280</f>
        <v>0</v>
      </c>
      <c r="L280" s="103"/>
      <c r="M280" s="81" t="s">
        <v>1197</v>
      </c>
      <c r="N280" s="115"/>
      <c r="O280" s="115"/>
      <c r="P280" s="115"/>
      <c r="Q280" s="57">
        <f ca="1">$Q271*V281</f>
        <v>0</v>
      </c>
      <c r="R280" s="57">
        <f t="shared" ref="R280" ca="1" si="364">$Q271*W281</f>
        <v>0</v>
      </c>
      <c r="S280" s="57">
        <f t="shared" ref="S280" ca="1" si="365">$Q271*X281</f>
        <v>0</v>
      </c>
      <c r="U280" s="413" t="s">
        <v>1143</v>
      </c>
      <c r="V280" s="417">
        <f t="shared" ref="V280:AA280" si="366">IFERROR(V274/$W283,0)</f>
        <v>0</v>
      </c>
      <c r="W280" s="417">
        <f t="shared" si="366"/>
        <v>0</v>
      </c>
      <c r="X280" s="417">
        <f t="shared" si="366"/>
        <v>0</v>
      </c>
      <c r="Y280" s="417">
        <f t="shared" si="366"/>
        <v>0</v>
      </c>
      <c r="Z280" s="417">
        <f t="shared" si="366"/>
        <v>0</v>
      </c>
      <c r="AA280" s="417">
        <f t="shared" si="366"/>
        <v>0</v>
      </c>
    </row>
    <row r="281" spans="2:27" hidden="1" outlineLevel="1" x14ac:dyDescent="0.2">
      <c r="E281" s="81" t="s">
        <v>1198</v>
      </c>
      <c r="F281" s="115"/>
      <c r="G281" s="115"/>
      <c r="H281" s="115"/>
      <c r="I281" s="115"/>
      <c r="J281" s="57">
        <f ca="1">$J271*V280</f>
        <v>0</v>
      </c>
      <c r="K281" s="57">
        <f ca="1">$J271*W280</f>
        <v>0</v>
      </c>
      <c r="L281" s="103"/>
      <c r="M281" s="81" t="s">
        <v>1198</v>
      </c>
      <c r="N281" s="115"/>
      <c r="O281" s="115"/>
      <c r="P281" s="115"/>
      <c r="Q281" s="115"/>
      <c r="R281" s="57">
        <f ca="1">$R271*V281</f>
        <v>0</v>
      </c>
      <c r="S281" s="57">
        <f ca="1">$R271*W281</f>
        <v>0</v>
      </c>
      <c r="U281" s="415" t="s">
        <v>1145</v>
      </c>
      <c r="V281" s="417">
        <f t="shared" ref="V281:AA281" si="367">IFERROR(V277/$W283,0)</f>
        <v>0</v>
      </c>
      <c r="W281" s="417">
        <f t="shared" si="367"/>
        <v>0</v>
      </c>
      <c r="X281" s="417">
        <f t="shared" si="367"/>
        <v>0</v>
      </c>
      <c r="Y281" s="417">
        <f t="shared" si="367"/>
        <v>0</v>
      </c>
      <c r="Z281" s="417">
        <f t="shared" si="367"/>
        <v>0</v>
      </c>
      <c r="AA281" s="417">
        <f t="shared" si="367"/>
        <v>0</v>
      </c>
    </row>
    <row r="282" spans="2:27" hidden="1" outlineLevel="1" x14ac:dyDescent="0.2">
      <c r="E282" s="81" t="s">
        <v>1199</v>
      </c>
      <c r="F282" s="115"/>
      <c r="G282" s="115"/>
      <c r="H282" s="115"/>
      <c r="I282" s="115"/>
      <c r="J282" s="115"/>
      <c r="K282" s="57">
        <f ca="1">$K271*V280</f>
        <v>0</v>
      </c>
      <c r="L282" s="103"/>
      <c r="M282" s="81" t="s">
        <v>1199</v>
      </c>
      <c r="N282" s="115"/>
      <c r="O282" s="115"/>
      <c r="P282" s="115"/>
      <c r="Q282" s="115"/>
      <c r="R282" s="115"/>
      <c r="S282" s="57">
        <f ca="1">$S271*V281</f>
        <v>0</v>
      </c>
    </row>
    <row r="283" spans="2:27" hidden="1" outlineLevel="1" x14ac:dyDescent="0.2">
      <c r="E283" s="420" t="str">
        <f>TxPhase1PxUnitsTx</f>
        <v/>
      </c>
      <c r="F283" s="421">
        <f ca="1">IF(F274&lt;&gt;"",SUM(F277:F282),F271)</f>
        <v>0</v>
      </c>
      <c r="G283" s="421">
        <f ca="1">IF(F274&lt;&gt;"",SUM(G277:G282),G271)</f>
        <v>0</v>
      </c>
      <c r="H283" s="421">
        <f ca="1">IF(F274&lt;&gt;"",SUM(H277:H282),H271)</f>
        <v>0</v>
      </c>
      <c r="I283" s="421">
        <f ca="1">IF(F274&lt;&gt;"",SUM(I277:I282),I271)</f>
        <v>0</v>
      </c>
      <c r="J283" s="421">
        <f ca="1">IF(F274&lt;&gt;"",SUM(J277:J282),J271)</f>
        <v>0</v>
      </c>
      <c r="K283" s="421">
        <f ca="1">IF(F274&lt;&gt;"",SUM(K277:K282),K271)</f>
        <v>0</v>
      </c>
      <c r="L283" s="103"/>
      <c r="M283" s="420" t="str">
        <f>TxPhase2PxUnitsTx</f>
        <v/>
      </c>
      <c r="N283" s="421">
        <f ca="1">IF(N274&lt;&gt;"",SUM(N277:N282),N271)</f>
        <v>0</v>
      </c>
      <c r="O283" s="421">
        <f ca="1">IF(N274&lt;&gt;"",SUM(O277:O282),O271)</f>
        <v>0</v>
      </c>
      <c r="P283" s="421">
        <f ca="1">IF(N274&lt;&gt;"",SUM(P277:P282),P271)</f>
        <v>0</v>
      </c>
      <c r="Q283" s="421">
        <f ca="1">IF(N274&lt;&gt;"",SUM(Q277:Q282),Q271)</f>
        <v>0</v>
      </c>
      <c r="R283" s="421">
        <f ca="1">IF(N274&lt;&gt;"",SUM(R277:R282),R271)</f>
        <v>0</v>
      </c>
      <c r="S283" s="421">
        <f ca="1">IF(N274&lt;&gt;"",SUM(S277:S282),S271)</f>
        <v>0</v>
      </c>
      <c r="U283" s="415" t="s">
        <v>1148</v>
      </c>
      <c r="V283" s="412">
        <f>IFERROR(VLOOKUP(G274,TimeUnitCode,2,FALSE),0)</f>
        <v>0</v>
      </c>
      <c r="W283" s="412">
        <f>IFERROR(INDEX(TimeUnitCount,V283,2),0)</f>
        <v>0</v>
      </c>
    </row>
    <row r="284" spans="2:27" hidden="1" outlineLevel="1" x14ac:dyDescent="0.2"/>
    <row r="285" spans="2:27" collapsed="1" x14ac:dyDescent="0.2"/>
    <row r="286" spans="2:27" ht="15.75" x14ac:dyDescent="0.2">
      <c r="B286" s="246">
        <f>IF(F296+N296&gt;12,1,0)</f>
        <v>0</v>
      </c>
      <c r="C286" s="246">
        <f ca="1">IFERROR(INDEX(PxTxPhase1,$D291,7),0)</f>
        <v>0</v>
      </c>
      <c r="D286" s="396">
        <v>13</v>
      </c>
      <c r="E286" s="72" t="str">
        <f>IF(F290&lt;&gt;"",CONCATENATE("DTG ",D286,": ",H290,": ",N286),MsgNotUsed)</f>
        <v>** NOT USED **</v>
      </c>
      <c r="F286" s="116"/>
      <c r="G286" s="116"/>
      <c r="H286" s="116"/>
      <c r="I286" s="116"/>
      <c r="J286" s="118"/>
      <c r="K286" s="118"/>
      <c r="L286" s="118"/>
      <c r="M286" s="266"/>
      <c r="N286" s="445" t="str">
        <f>IF(AND(F296="",N296=""),"Full year",IF(AND(F296&lt;&gt;"",N296=""),CONCATENATE(F296," ",G296),IF(AND(F296="",N296&lt;&gt;""),CONCATENATE(N296," ",G296),CONCATENATE(F296," + ",N296," ",G296))))</f>
        <v>Full year</v>
      </c>
      <c r="O286" s="266"/>
      <c r="P286" s="266"/>
      <c r="Q286" s="266"/>
      <c r="R286" s="266"/>
      <c r="S286" s="266"/>
      <c r="T286" s="266"/>
      <c r="U286" s="266"/>
      <c r="V286" s="266"/>
      <c r="W286" s="266"/>
      <c r="X286" s="266"/>
      <c r="Y286" s="266"/>
      <c r="Z286" s="266"/>
      <c r="AA286" s="266"/>
    </row>
    <row r="287" spans="2:27" hidden="1" outlineLevel="1" x14ac:dyDescent="0.2">
      <c r="F287" s="319">
        <v>1</v>
      </c>
      <c r="G287" s="319">
        <v>2</v>
      </c>
      <c r="H287" s="319">
        <v>3</v>
      </c>
      <c r="I287" s="319">
        <v>4</v>
      </c>
      <c r="J287" s="319">
        <v>5</v>
      </c>
      <c r="K287" s="319">
        <v>6</v>
      </c>
      <c r="N287" s="319">
        <v>1</v>
      </c>
      <c r="O287" s="319">
        <v>2</v>
      </c>
      <c r="P287" s="319">
        <v>3</v>
      </c>
      <c r="Q287" s="319">
        <v>4</v>
      </c>
      <c r="R287" s="319">
        <v>5</v>
      </c>
      <c r="S287" s="319">
        <v>6</v>
      </c>
    </row>
    <row r="288" spans="2:27" hidden="1" outlineLevel="1" x14ac:dyDescent="0.2">
      <c r="C288" s="103"/>
      <c r="D288" s="103"/>
      <c r="E288" t="s">
        <v>1193</v>
      </c>
    </row>
    <row r="289" spans="3:27" hidden="1" outlineLevel="1" x14ac:dyDescent="0.2">
      <c r="C289" s="103"/>
      <c r="D289" s="103"/>
      <c r="E289" s="260"/>
    </row>
    <row r="290" spans="3:27" hidden="1" outlineLevel="1" x14ac:dyDescent="0.2">
      <c r="C290" s="246">
        <f>IF(F290&lt;&gt;"",MATCH(F290,PxTxSource,0)-1,0)</f>
        <v>0</v>
      </c>
      <c r="D290" s="246">
        <f ca="1">IF(H290&lt;&gt;"",MATCH(H290,OFFSET(References!$AE$23,0,C290,PxPopMaxCount),0),0)</f>
        <v>0</v>
      </c>
      <c r="E290" s="8" t="s">
        <v>110</v>
      </c>
      <c r="F290" s="230"/>
      <c r="H290" s="580"/>
      <c r="I290" s="581"/>
      <c r="J290" s="581"/>
      <c r="K290" s="581"/>
      <c r="M290" s="217"/>
      <c r="N290" s="542" t="str">
        <f ca="1">IF(ISERROR($D291)=TRUE,MsgError &amp; VLOOKUP("BadPop",ErrorMessages,2,FALSE),"")</f>
        <v/>
      </c>
      <c r="O290" s="542"/>
      <c r="P290" s="542"/>
      <c r="Q290" s="542"/>
      <c r="R290" s="542"/>
      <c r="S290" s="542"/>
    </row>
    <row r="291" spans="3:27" hidden="1" outlineLevel="1" x14ac:dyDescent="0.2">
      <c r="C291" s="246">
        <f>INDEX(PxTxValid,,C290+1)</f>
        <v>1</v>
      </c>
      <c r="D291" s="246" t="str">
        <f ca="1">IF(AND(C290=0,D290=0),"",(C290*PxPopMaxCount)+D290)</f>
        <v/>
      </c>
      <c r="E291" s="103"/>
    </row>
    <row r="292" spans="3:27" hidden="1" outlineLevel="1" x14ac:dyDescent="0.2">
      <c r="E292" s="357"/>
      <c r="F292" s="74">
        <f>FirstYear</f>
        <v>2026</v>
      </c>
      <c r="G292" s="74">
        <f>F292+1</f>
        <v>2027</v>
      </c>
      <c r="H292" s="74">
        <f>G292+1</f>
        <v>2028</v>
      </c>
      <c r="I292" s="74">
        <f>H292+1</f>
        <v>2029</v>
      </c>
      <c r="J292" s="74">
        <f>I292+1</f>
        <v>2030</v>
      </c>
      <c r="K292" s="74">
        <f>J292+1</f>
        <v>2031</v>
      </c>
      <c r="L292" s="103"/>
      <c r="N292" s="74">
        <f>FirstYear</f>
        <v>2026</v>
      </c>
      <c r="O292" s="74">
        <f>N292+1</f>
        <v>2027</v>
      </c>
      <c r="P292" s="74">
        <f>O292+1</f>
        <v>2028</v>
      </c>
      <c r="Q292" s="74">
        <f>P292+1</f>
        <v>2029</v>
      </c>
      <c r="R292" s="74">
        <f>Q292+1</f>
        <v>2030</v>
      </c>
      <c r="S292" s="74">
        <f>R292+1</f>
        <v>2031</v>
      </c>
    </row>
    <row r="293" spans="3:27" hidden="1" outlineLevel="1" x14ac:dyDescent="0.2">
      <c r="E293" s="53" t="str">
        <f>TxPhase1Px</f>
        <v/>
      </c>
      <c r="F293" s="27">
        <f t="shared" ref="F293:K293" ca="1" si="368">IFERROR(INDEX(PxTxPhase1,$D291,F287),0)</f>
        <v>0</v>
      </c>
      <c r="G293" s="27">
        <f t="shared" ca="1" si="368"/>
        <v>0</v>
      </c>
      <c r="H293" s="27">
        <f t="shared" ca="1" si="368"/>
        <v>0</v>
      </c>
      <c r="I293" s="27">
        <f t="shared" ca="1" si="368"/>
        <v>0</v>
      </c>
      <c r="J293" s="27">
        <f t="shared" ca="1" si="368"/>
        <v>0</v>
      </c>
      <c r="K293" s="27">
        <f t="shared" ca="1" si="368"/>
        <v>0</v>
      </c>
      <c r="L293" s="103"/>
      <c r="M293" s="53" t="str">
        <f>TxPhase2Px</f>
        <v/>
      </c>
      <c r="N293" s="27">
        <f t="shared" ref="N293:S293" ca="1" si="369">IFERROR(INDEX(PxTxPhase2,$D291,N287),0)</f>
        <v>0</v>
      </c>
      <c r="O293" s="27">
        <f t="shared" ca="1" si="369"/>
        <v>0</v>
      </c>
      <c r="P293" s="27">
        <f t="shared" ca="1" si="369"/>
        <v>0</v>
      </c>
      <c r="Q293" s="27">
        <f t="shared" ca="1" si="369"/>
        <v>0</v>
      </c>
      <c r="R293" s="27">
        <f t="shared" ca="1" si="369"/>
        <v>0</v>
      </c>
      <c r="S293" s="27">
        <f t="shared" ca="1" si="369"/>
        <v>0</v>
      </c>
    </row>
    <row r="294" spans="3:27" hidden="1" outlineLevel="1" x14ac:dyDescent="0.2">
      <c r="L294" s="103"/>
    </row>
    <row r="295" spans="3:27" hidden="1" outlineLevel="1" x14ac:dyDescent="0.2">
      <c r="E295" s="103"/>
      <c r="F295" s="103"/>
      <c r="G295" s="103"/>
      <c r="H295" s="103"/>
      <c r="I295" s="103"/>
      <c r="J295" s="103"/>
      <c r="K295" s="103"/>
      <c r="L295" s="103"/>
      <c r="M295" s="103"/>
      <c r="U295" s="411"/>
      <c r="V295" s="412">
        <f>$W305*1</f>
        <v>0</v>
      </c>
      <c r="W295" s="412">
        <f>$W305*2</f>
        <v>0</v>
      </c>
      <c r="X295" s="412">
        <f>$W305*3</f>
        <v>0</v>
      </c>
      <c r="Y295" s="412">
        <f>$W305*4</f>
        <v>0</v>
      </c>
      <c r="Z295" s="412">
        <f>$W305*5</f>
        <v>0</v>
      </c>
      <c r="AA295" s="412">
        <f>$W305*6</f>
        <v>0</v>
      </c>
    </row>
    <row r="296" spans="3:27" hidden="1" outlineLevel="1" x14ac:dyDescent="0.2">
      <c r="E296" s="82" t="s">
        <v>1147</v>
      </c>
      <c r="F296" s="390"/>
      <c r="G296" s="227"/>
      <c r="H296" s="378"/>
      <c r="I296" s="378"/>
      <c r="J296" s="378"/>
      <c r="K296" s="378"/>
      <c r="L296" s="103"/>
      <c r="M296" s="82" t="s">
        <v>1147</v>
      </c>
      <c r="N296" s="390"/>
      <c r="O296" s="418" t="str">
        <f>IF(G296&lt;&gt;"",G296,"")</f>
        <v/>
      </c>
      <c r="P296" s="378"/>
      <c r="Q296" s="378"/>
      <c r="R296" s="378"/>
      <c r="S296" s="378"/>
      <c r="U296" s="413" t="s">
        <v>1143</v>
      </c>
      <c r="V296" s="414">
        <f>IF($F296&gt;=V295,$W305,IF($F296&gt;0,$F296,0))</f>
        <v>0</v>
      </c>
      <c r="W296" s="414">
        <f>IF($F296&gt;=W295,$W$41,IF($F296&gt;V295,($F296-V295),0))</f>
        <v>0</v>
      </c>
      <c r="X296" s="414">
        <f>IF($F296&gt;=X295,$W$41,IF($F296&gt;W295,($F296-W295),0))</f>
        <v>0</v>
      </c>
      <c r="Y296" s="414">
        <f>IF($F296&gt;=Y295,$W$41,IF($F296&gt;X295,($F296-X295),0))</f>
        <v>0</v>
      </c>
      <c r="Z296" s="414">
        <f>IF($F296&gt;=Z295,$W$41,IF($F296&gt;Y295,($F296-Y295),0))</f>
        <v>0</v>
      </c>
      <c r="AA296" s="414">
        <f>IF($F296&gt;=AA295,$W$41,IF($F296&gt;Z295,($F296-Z295),0))</f>
        <v>0</v>
      </c>
    </row>
    <row r="297" spans="3:27" hidden="1" outlineLevel="1" x14ac:dyDescent="0.2">
      <c r="L297" s="103"/>
      <c r="M297" s="437"/>
      <c r="N297" s="438"/>
      <c r="O297" s="438"/>
      <c r="P297" s="438"/>
      <c r="Q297" s="438"/>
      <c r="R297" s="438"/>
      <c r="S297" s="438"/>
      <c r="U297" s="415" t="s">
        <v>1144</v>
      </c>
      <c r="V297" s="412">
        <f t="shared" ref="V297:AA297" si="370">IF(V296&gt;0,$W305-V296,$W305)</f>
        <v>0</v>
      </c>
      <c r="W297" s="412">
        <f t="shared" si="370"/>
        <v>0</v>
      </c>
      <c r="X297" s="412">
        <f t="shared" si="370"/>
        <v>0</v>
      </c>
      <c r="Y297" s="412">
        <f t="shared" si="370"/>
        <v>0</v>
      </c>
      <c r="Z297" s="412">
        <f t="shared" si="370"/>
        <v>0</v>
      </c>
      <c r="AA297" s="412">
        <f t="shared" si="370"/>
        <v>0</v>
      </c>
    </row>
    <row r="298" spans="3:27" hidden="1" outlineLevel="1" x14ac:dyDescent="0.2">
      <c r="E298" s="437" t="str">
        <f>E293</f>
        <v/>
      </c>
      <c r="F298" s="419"/>
      <c r="G298" s="419"/>
      <c r="H298" s="419"/>
      <c r="I298" s="419"/>
      <c r="J298" s="419"/>
      <c r="K298" s="419"/>
      <c r="L298" s="103"/>
      <c r="M298" s="437" t="str">
        <f>M293</f>
        <v/>
      </c>
      <c r="N298" s="439"/>
      <c r="O298" s="440"/>
      <c r="P298" s="440"/>
      <c r="Q298" s="440"/>
      <c r="R298" s="440"/>
      <c r="S298" s="440"/>
      <c r="U298" s="378"/>
      <c r="V298" s="378"/>
      <c r="W298" s="378"/>
      <c r="X298" s="378"/>
      <c r="Y298" s="378"/>
      <c r="Z298" s="378"/>
      <c r="AA298" s="378"/>
    </row>
    <row r="299" spans="3:27" hidden="1" outlineLevel="1" x14ac:dyDescent="0.2">
      <c r="E299" s="81" t="s">
        <v>1194</v>
      </c>
      <c r="F299" s="57">
        <f ca="1">$F293*V302</f>
        <v>0</v>
      </c>
      <c r="G299" s="57">
        <f t="shared" ref="G299" ca="1" si="371">$F293*W302</f>
        <v>0</v>
      </c>
      <c r="H299" s="57">
        <f t="shared" ref="H299" ca="1" si="372">$F293*X302</f>
        <v>0</v>
      </c>
      <c r="I299" s="57">
        <f t="shared" ref="I299" ca="1" si="373">$F293*Y302</f>
        <v>0</v>
      </c>
      <c r="J299" s="57">
        <f t="shared" ref="J299" ca="1" si="374">$F293*Z302</f>
        <v>0</v>
      </c>
      <c r="K299" s="57">
        <f t="shared" ref="K299" ca="1" si="375">$F293*AA302</f>
        <v>0</v>
      </c>
      <c r="L299" s="103"/>
      <c r="M299" s="81" t="s">
        <v>1194</v>
      </c>
      <c r="N299" s="57">
        <f ca="1">$N293*V303</f>
        <v>0</v>
      </c>
      <c r="O299" s="57">
        <f ca="1">$N293*W303</f>
        <v>0</v>
      </c>
      <c r="P299" s="57">
        <f t="shared" ref="P299" ca="1" si="376">$N293*X303</f>
        <v>0</v>
      </c>
      <c r="Q299" s="57">
        <f t="shared" ref="Q299" ca="1" si="377">$N293*Y303</f>
        <v>0</v>
      </c>
      <c r="R299" s="57">
        <f t="shared" ref="R299" ca="1" si="378">$N293*Z303</f>
        <v>0</v>
      </c>
      <c r="S299" s="57">
        <f t="shared" ref="S299" ca="1" si="379">$N293*AA303</f>
        <v>0</v>
      </c>
      <c r="U299" s="415" t="s">
        <v>1145</v>
      </c>
      <c r="V299" s="414">
        <f>IF($N296&gt;=V297,V297,N296)</f>
        <v>0</v>
      </c>
      <c r="W299" s="414">
        <f>IF(V300&gt;=W297,W297,V300)</f>
        <v>0</v>
      </c>
      <c r="X299" s="414">
        <f>IF(W300&gt;=X297,X297,W300)</f>
        <v>0</v>
      </c>
      <c r="Y299" s="414">
        <f>IF(X300&gt;=Y297,Y297,X300)</f>
        <v>0</v>
      </c>
      <c r="Z299" s="414">
        <f>IF(Y300&gt;=Z297,Z297,Y300)</f>
        <v>0</v>
      </c>
      <c r="AA299" s="414">
        <f>IF(Z300&gt;=AA297,AA297,Z300)</f>
        <v>0</v>
      </c>
    </row>
    <row r="300" spans="3:27" hidden="1" outlineLevel="1" x14ac:dyDescent="0.2">
      <c r="E300" s="81" t="s">
        <v>1195</v>
      </c>
      <c r="F300" s="115"/>
      <c r="G300" s="57">
        <f ca="1">$G293*V302</f>
        <v>0</v>
      </c>
      <c r="H300" s="57">
        <f t="shared" ref="H300" ca="1" si="380">$G293*W302</f>
        <v>0</v>
      </c>
      <c r="I300" s="57">
        <f t="shared" ref="I300" ca="1" si="381">$G293*X302</f>
        <v>0</v>
      </c>
      <c r="J300" s="57">
        <f t="shared" ref="J300" ca="1" si="382">$G293*Y302</f>
        <v>0</v>
      </c>
      <c r="K300" s="57">
        <f t="shared" ref="K300" ca="1" si="383">$G293*Z302</f>
        <v>0</v>
      </c>
      <c r="L300" s="103"/>
      <c r="M300" s="81" t="s">
        <v>1195</v>
      </c>
      <c r="N300" s="115"/>
      <c r="O300" s="57">
        <f ca="1">$O293*V303</f>
        <v>0</v>
      </c>
      <c r="P300" s="57">
        <f t="shared" ref="P300" ca="1" si="384">$O293*W303</f>
        <v>0</v>
      </c>
      <c r="Q300" s="57">
        <f t="shared" ref="Q300" ca="1" si="385">$O293*X303</f>
        <v>0</v>
      </c>
      <c r="R300" s="57">
        <f t="shared" ref="R300" ca="1" si="386">$O293*Y303</f>
        <v>0</v>
      </c>
      <c r="S300" s="57">
        <f t="shared" ref="S300" ca="1" si="387">$O293*Z303</f>
        <v>0</v>
      </c>
      <c r="U300" s="415" t="s">
        <v>1146</v>
      </c>
      <c r="V300" s="412">
        <f>$N296-V299</f>
        <v>0</v>
      </c>
      <c r="W300" s="412">
        <f>$N296-SUM($V299:W299)</f>
        <v>0</v>
      </c>
      <c r="X300" s="412">
        <f>$N296-SUM($V299:X299)</f>
        <v>0</v>
      </c>
      <c r="Y300" s="412">
        <f>$N296-SUM($V299:Y299)</f>
        <v>0</v>
      </c>
      <c r="Z300" s="412">
        <f>$N296-SUM($V299:Z299)</f>
        <v>0</v>
      </c>
      <c r="AA300" s="412">
        <f>$N296-SUM($V299:AA299)</f>
        <v>0</v>
      </c>
    </row>
    <row r="301" spans="3:27" hidden="1" outlineLevel="1" x14ac:dyDescent="0.2">
      <c r="E301" s="81" t="s">
        <v>1196</v>
      </c>
      <c r="F301" s="115"/>
      <c r="G301" s="115"/>
      <c r="H301" s="57">
        <f ca="1">$H293*V302</f>
        <v>0</v>
      </c>
      <c r="I301" s="57">
        <f t="shared" ref="I301" ca="1" si="388">$H293*W302</f>
        <v>0</v>
      </c>
      <c r="J301" s="57">
        <f t="shared" ref="J301" ca="1" si="389">$H293*X302</f>
        <v>0</v>
      </c>
      <c r="K301" s="57">
        <f t="shared" ref="K301" ca="1" si="390">$H293*Y302</f>
        <v>0</v>
      </c>
      <c r="L301" s="103"/>
      <c r="M301" s="81" t="s">
        <v>1196</v>
      </c>
      <c r="N301" s="115"/>
      <c r="O301" s="115"/>
      <c r="P301" s="57">
        <f ca="1">$P293*V303</f>
        <v>0</v>
      </c>
      <c r="Q301" s="57">
        <f t="shared" ref="Q301" ca="1" si="391">$P293*W303</f>
        <v>0</v>
      </c>
      <c r="R301" s="57">
        <f t="shared" ref="R301" ca="1" si="392">$P293*X303</f>
        <v>0</v>
      </c>
      <c r="S301" s="57">
        <f t="shared" ref="S301" ca="1" si="393">$P293*Y303</f>
        <v>0</v>
      </c>
      <c r="V301" s="416"/>
      <c r="AA301" s="378"/>
    </row>
    <row r="302" spans="3:27" hidden="1" outlineLevel="1" x14ac:dyDescent="0.2">
      <c r="E302" s="81" t="s">
        <v>1197</v>
      </c>
      <c r="F302" s="115"/>
      <c r="G302" s="115"/>
      <c r="H302" s="115"/>
      <c r="I302" s="57">
        <f ca="1">$I293*V302</f>
        <v>0</v>
      </c>
      <c r="J302" s="57">
        <f t="shared" ref="J302" ca="1" si="394">$I293*W302</f>
        <v>0</v>
      </c>
      <c r="K302" s="57">
        <f t="shared" ref="K302" ca="1" si="395">$I293*X302</f>
        <v>0</v>
      </c>
      <c r="L302" s="103"/>
      <c r="M302" s="81" t="s">
        <v>1197</v>
      </c>
      <c r="N302" s="115"/>
      <c r="O302" s="115"/>
      <c r="P302" s="115"/>
      <c r="Q302" s="57">
        <f ca="1">$Q293*V303</f>
        <v>0</v>
      </c>
      <c r="R302" s="57">
        <f t="shared" ref="R302" ca="1" si="396">$Q293*W303</f>
        <v>0</v>
      </c>
      <c r="S302" s="57">
        <f t="shared" ref="S302" ca="1" si="397">$Q293*X303</f>
        <v>0</v>
      </c>
      <c r="U302" s="413" t="s">
        <v>1143</v>
      </c>
      <c r="V302" s="417">
        <f t="shared" ref="V302:AA302" si="398">IFERROR(V296/$W305,0)</f>
        <v>0</v>
      </c>
      <c r="W302" s="417">
        <f t="shared" si="398"/>
        <v>0</v>
      </c>
      <c r="X302" s="417">
        <f t="shared" si="398"/>
        <v>0</v>
      </c>
      <c r="Y302" s="417">
        <f t="shared" si="398"/>
        <v>0</v>
      </c>
      <c r="Z302" s="417">
        <f t="shared" si="398"/>
        <v>0</v>
      </c>
      <c r="AA302" s="417">
        <f t="shared" si="398"/>
        <v>0</v>
      </c>
    </row>
    <row r="303" spans="3:27" hidden="1" outlineLevel="1" x14ac:dyDescent="0.2">
      <c r="E303" s="81" t="s">
        <v>1198</v>
      </c>
      <c r="F303" s="115"/>
      <c r="G303" s="115"/>
      <c r="H303" s="115"/>
      <c r="I303" s="115"/>
      <c r="J303" s="57">
        <f ca="1">$J293*V302</f>
        <v>0</v>
      </c>
      <c r="K303" s="57">
        <f ca="1">$J293*W302</f>
        <v>0</v>
      </c>
      <c r="L303" s="103"/>
      <c r="M303" s="81" t="s">
        <v>1198</v>
      </c>
      <c r="N303" s="115"/>
      <c r="O303" s="115"/>
      <c r="P303" s="115"/>
      <c r="Q303" s="115"/>
      <c r="R303" s="57">
        <f ca="1">$R293*V303</f>
        <v>0</v>
      </c>
      <c r="S303" s="57">
        <f ca="1">$R293*W303</f>
        <v>0</v>
      </c>
      <c r="U303" s="415" t="s">
        <v>1145</v>
      </c>
      <c r="V303" s="417">
        <f t="shared" ref="V303:AA303" si="399">IFERROR(V299/$W305,0)</f>
        <v>0</v>
      </c>
      <c r="W303" s="417">
        <f t="shared" si="399"/>
        <v>0</v>
      </c>
      <c r="X303" s="417">
        <f t="shared" si="399"/>
        <v>0</v>
      </c>
      <c r="Y303" s="417">
        <f t="shared" si="399"/>
        <v>0</v>
      </c>
      <c r="Z303" s="417">
        <f t="shared" si="399"/>
        <v>0</v>
      </c>
      <c r="AA303" s="417">
        <f t="shared" si="399"/>
        <v>0</v>
      </c>
    </row>
    <row r="304" spans="3:27" hidden="1" outlineLevel="1" x14ac:dyDescent="0.2">
      <c r="E304" s="81" t="s">
        <v>1199</v>
      </c>
      <c r="F304" s="115"/>
      <c r="G304" s="115"/>
      <c r="H304" s="115"/>
      <c r="I304" s="115"/>
      <c r="J304" s="115"/>
      <c r="K304" s="57">
        <f ca="1">$K293*V302</f>
        <v>0</v>
      </c>
      <c r="L304" s="103"/>
      <c r="M304" s="81" t="s">
        <v>1199</v>
      </c>
      <c r="N304" s="115"/>
      <c r="O304" s="115"/>
      <c r="P304" s="115"/>
      <c r="Q304" s="115"/>
      <c r="R304" s="115"/>
      <c r="S304" s="57">
        <f ca="1">$S293*V303</f>
        <v>0</v>
      </c>
    </row>
    <row r="305" spans="2:27" hidden="1" outlineLevel="1" x14ac:dyDescent="0.2">
      <c r="E305" s="420" t="str">
        <f>TxPhase1PxUnitsTx</f>
        <v/>
      </c>
      <c r="F305" s="421">
        <f ca="1">IF(F296&lt;&gt;"",SUM(F299:F304),F293)</f>
        <v>0</v>
      </c>
      <c r="G305" s="421">
        <f ca="1">IF(F296&lt;&gt;"",SUM(G299:G304),G293)</f>
        <v>0</v>
      </c>
      <c r="H305" s="421">
        <f ca="1">IF(F296&lt;&gt;"",SUM(H299:H304),H293)</f>
        <v>0</v>
      </c>
      <c r="I305" s="421">
        <f ca="1">IF(F296&lt;&gt;"",SUM(I299:I304),I293)</f>
        <v>0</v>
      </c>
      <c r="J305" s="421">
        <f ca="1">IF(F296&lt;&gt;"",SUM(J299:J304),J293)</f>
        <v>0</v>
      </c>
      <c r="K305" s="421">
        <f ca="1">IF(F296&lt;&gt;"",SUM(K299:K304),K293)</f>
        <v>0</v>
      </c>
      <c r="L305" s="103"/>
      <c r="M305" s="420" t="str">
        <f>TxPhase2PxUnitsTx</f>
        <v/>
      </c>
      <c r="N305" s="421">
        <f ca="1">IF(N296&lt;&gt;"",SUM(N299:N304),N293)</f>
        <v>0</v>
      </c>
      <c r="O305" s="421">
        <f ca="1">IF(N296&lt;&gt;"",SUM(O299:O304),O293)</f>
        <v>0</v>
      </c>
      <c r="P305" s="421">
        <f ca="1">IF(N296&lt;&gt;"",SUM(P299:P304),P293)</f>
        <v>0</v>
      </c>
      <c r="Q305" s="421">
        <f ca="1">IF(N296&lt;&gt;"",SUM(Q299:Q304),Q293)</f>
        <v>0</v>
      </c>
      <c r="R305" s="421">
        <f ca="1">IF(N296&lt;&gt;"",SUM(R299:R304),R293)</f>
        <v>0</v>
      </c>
      <c r="S305" s="421">
        <f ca="1">IF(N296&lt;&gt;"",SUM(S299:S304),S293)</f>
        <v>0</v>
      </c>
      <c r="U305" s="415" t="s">
        <v>1148</v>
      </c>
      <c r="V305" s="412">
        <f>IFERROR(VLOOKUP(G296,TimeUnitCode,2,FALSE),0)</f>
        <v>0</v>
      </c>
      <c r="W305" s="412">
        <f>IFERROR(INDEX(TimeUnitCount,V305,2),0)</f>
        <v>0</v>
      </c>
    </row>
    <row r="306" spans="2:27" hidden="1" outlineLevel="1" x14ac:dyDescent="0.2"/>
    <row r="307" spans="2:27" collapsed="1" x14ac:dyDescent="0.2"/>
    <row r="308" spans="2:27" ht="15.75" x14ac:dyDescent="0.2">
      <c r="B308" s="246">
        <f>IF(F318+N318&gt;12,1,0)</f>
        <v>0</v>
      </c>
      <c r="C308" s="246">
        <f ca="1">IFERROR(INDEX(PxTxPhase1,$D313,7),0)</f>
        <v>0</v>
      </c>
      <c r="D308" s="396">
        <v>14</v>
      </c>
      <c r="E308" s="72" t="str">
        <f>IF(F312&lt;&gt;"",CONCATENATE("DTG ",D308,": ",H312,": ",N308),MsgNotUsed)</f>
        <v>** NOT USED **</v>
      </c>
      <c r="F308" s="116"/>
      <c r="G308" s="116"/>
      <c r="H308" s="116"/>
      <c r="I308" s="116"/>
      <c r="J308" s="118"/>
      <c r="K308" s="118"/>
      <c r="L308" s="118"/>
      <c r="M308" s="266"/>
      <c r="N308" s="445" t="str">
        <f>IF(AND(F318="",N318=""),"Full year",IF(AND(F318&lt;&gt;"",N318=""),CONCATENATE(F318," ",G318),IF(AND(F318="",N318&lt;&gt;""),CONCATENATE(N318," ",G318),CONCATENATE(F318," + ",N318," ",G318))))</f>
        <v>Full year</v>
      </c>
      <c r="O308" s="266"/>
      <c r="P308" s="266"/>
      <c r="Q308" s="266"/>
      <c r="R308" s="266"/>
      <c r="S308" s="266"/>
      <c r="T308" s="266"/>
      <c r="U308" s="266"/>
      <c r="V308" s="266"/>
      <c r="W308" s="266"/>
      <c r="X308" s="266"/>
      <c r="Y308" s="266"/>
      <c r="Z308" s="266"/>
      <c r="AA308" s="266"/>
    </row>
    <row r="309" spans="2:27" hidden="1" outlineLevel="1" x14ac:dyDescent="0.2">
      <c r="F309" s="319">
        <v>1</v>
      </c>
      <c r="G309" s="319">
        <v>2</v>
      </c>
      <c r="H309" s="319">
        <v>3</v>
      </c>
      <c r="I309" s="319">
        <v>4</v>
      </c>
      <c r="J309" s="319">
        <v>5</v>
      </c>
      <c r="K309" s="319">
        <v>6</v>
      </c>
      <c r="N309" s="319">
        <v>1</v>
      </c>
      <c r="O309" s="319">
        <v>2</v>
      </c>
      <c r="P309" s="319">
        <v>3</v>
      </c>
      <c r="Q309" s="319">
        <v>4</v>
      </c>
      <c r="R309" s="319">
        <v>5</v>
      </c>
      <c r="S309" s="319">
        <v>6</v>
      </c>
    </row>
    <row r="310" spans="2:27" hidden="1" outlineLevel="1" x14ac:dyDescent="0.2">
      <c r="C310" s="103"/>
      <c r="D310" s="103"/>
      <c r="E310" t="s">
        <v>1193</v>
      </c>
    </row>
    <row r="311" spans="2:27" hidden="1" outlineLevel="1" x14ac:dyDescent="0.2">
      <c r="C311" s="103"/>
      <c r="D311" s="103"/>
      <c r="E311" s="260"/>
    </row>
    <row r="312" spans="2:27" hidden="1" outlineLevel="1" x14ac:dyDescent="0.2">
      <c r="C312" s="246">
        <f>IF(F312&lt;&gt;"",MATCH(F312,PxTxSource,0)-1,0)</f>
        <v>0</v>
      </c>
      <c r="D312" s="246">
        <f ca="1">IF(H312&lt;&gt;"",MATCH(H312,OFFSET(References!$AE$23,0,C312,PxPopMaxCount),0),0)</f>
        <v>0</v>
      </c>
      <c r="E312" s="8" t="s">
        <v>110</v>
      </c>
      <c r="F312" s="230"/>
      <c r="H312" s="580"/>
      <c r="I312" s="581"/>
      <c r="J312" s="581"/>
      <c r="K312" s="581"/>
      <c r="M312" s="217"/>
      <c r="N312" s="542" t="str">
        <f ca="1">IF(ISERROR($D313)=TRUE,MsgError &amp; VLOOKUP("BadPop",ErrorMessages,2,FALSE),"")</f>
        <v/>
      </c>
      <c r="O312" s="542"/>
      <c r="P312" s="542"/>
      <c r="Q312" s="542"/>
      <c r="R312" s="542"/>
      <c r="S312" s="542"/>
    </row>
    <row r="313" spans="2:27" hidden="1" outlineLevel="1" x14ac:dyDescent="0.2">
      <c r="C313" s="246">
        <f>INDEX(PxTxValid,,C312+1)</f>
        <v>1</v>
      </c>
      <c r="D313" s="246" t="str">
        <f ca="1">IF(AND(C312=0,D312=0),"",(C312*PxPopMaxCount)+D312)</f>
        <v/>
      </c>
      <c r="E313" s="103"/>
    </row>
    <row r="314" spans="2:27" hidden="1" outlineLevel="1" x14ac:dyDescent="0.2">
      <c r="E314" s="357"/>
      <c r="F314" s="74">
        <f>FirstYear</f>
        <v>2026</v>
      </c>
      <c r="G314" s="74">
        <f>F314+1</f>
        <v>2027</v>
      </c>
      <c r="H314" s="74">
        <f>G314+1</f>
        <v>2028</v>
      </c>
      <c r="I314" s="74">
        <f>H314+1</f>
        <v>2029</v>
      </c>
      <c r="J314" s="74">
        <f>I314+1</f>
        <v>2030</v>
      </c>
      <c r="K314" s="74">
        <f>J314+1</f>
        <v>2031</v>
      </c>
      <c r="L314" s="103"/>
      <c r="N314" s="74">
        <f>FirstYear</f>
        <v>2026</v>
      </c>
      <c r="O314" s="74">
        <f>N314+1</f>
        <v>2027</v>
      </c>
      <c r="P314" s="74">
        <f>O314+1</f>
        <v>2028</v>
      </c>
      <c r="Q314" s="74">
        <f>P314+1</f>
        <v>2029</v>
      </c>
      <c r="R314" s="74">
        <f>Q314+1</f>
        <v>2030</v>
      </c>
      <c r="S314" s="74">
        <f>R314+1</f>
        <v>2031</v>
      </c>
    </row>
    <row r="315" spans="2:27" hidden="1" outlineLevel="1" x14ac:dyDescent="0.2">
      <c r="E315" s="53" t="str">
        <f>TxPhase1Px</f>
        <v/>
      </c>
      <c r="F315" s="27">
        <f t="shared" ref="F315:K315" ca="1" si="400">IFERROR(INDEX(PxTxPhase1,$D313,F309),0)</f>
        <v>0</v>
      </c>
      <c r="G315" s="27">
        <f t="shared" ca="1" si="400"/>
        <v>0</v>
      </c>
      <c r="H315" s="27">
        <f t="shared" ca="1" si="400"/>
        <v>0</v>
      </c>
      <c r="I315" s="27">
        <f t="shared" ca="1" si="400"/>
        <v>0</v>
      </c>
      <c r="J315" s="27">
        <f t="shared" ca="1" si="400"/>
        <v>0</v>
      </c>
      <c r="K315" s="27">
        <f t="shared" ca="1" si="400"/>
        <v>0</v>
      </c>
      <c r="L315" s="103"/>
      <c r="M315" s="53" t="str">
        <f>TxPhase2Px</f>
        <v/>
      </c>
      <c r="N315" s="27">
        <f t="shared" ref="N315:S315" ca="1" si="401">IFERROR(INDEX(PxTxPhase2,$D313,N309),0)</f>
        <v>0</v>
      </c>
      <c r="O315" s="27">
        <f t="shared" ca="1" si="401"/>
        <v>0</v>
      </c>
      <c r="P315" s="27">
        <f t="shared" ca="1" si="401"/>
        <v>0</v>
      </c>
      <c r="Q315" s="27">
        <f t="shared" ca="1" si="401"/>
        <v>0</v>
      </c>
      <c r="R315" s="27">
        <f t="shared" ca="1" si="401"/>
        <v>0</v>
      </c>
      <c r="S315" s="27">
        <f t="shared" ca="1" si="401"/>
        <v>0</v>
      </c>
    </row>
    <row r="316" spans="2:27" hidden="1" outlineLevel="1" x14ac:dyDescent="0.2">
      <c r="L316" s="103"/>
    </row>
    <row r="317" spans="2:27" hidden="1" outlineLevel="1" x14ac:dyDescent="0.2">
      <c r="E317" s="103"/>
      <c r="F317" s="103"/>
      <c r="G317" s="103"/>
      <c r="H317" s="103"/>
      <c r="I317" s="103"/>
      <c r="J317" s="103"/>
      <c r="K317" s="103"/>
      <c r="L317" s="103"/>
      <c r="M317" s="103"/>
      <c r="U317" s="411"/>
      <c r="V317" s="412">
        <f>$W327*1</f>
        <v>0</v>
      </c>
      <c r="W317" s="412">
        <f>$W327*2</f>
        <v>0</v>
      </c>
      <c r="X317" s="412">
        <f>$W327*3</f>
        <v>0</v>
      </c>
      <c r="Y317" s="412">
        <f>$W327*4</f>
        <v>0</v>
      </c>
      <c r="Z317" s="412">
        <f>$W327*5</f>
        <v>0</v>
      </c>
      <c r="AA317" s="412">
        <f>$W327*6</f>
        <v>0</v>
      </c>
    </row>
    <row r="318" spans="2:27" hidden="1" outlineLevel="1" x14ac:dyDescent="0.2">
      <c r="E318" s="82" t="s">
        <v>1147</v>
      </c>
      <c r="F318" s="390"/>
      <c r="G318" s="227"/>
      <c r="H318" s="378"/>
      <c r="I318" s="378"/>
      <c r="J318" s="378"/>
      <c r="K318" s="378"/>
      <c r="L318" s="103"/>
      <c r="M318" s="82" t="s">
        <v>1147</v>
      </c>
      <c r="N318" s="390"/>
      <c r="O318" s="418" t="str">
        <f>IF(G318&lt;&gt;"",G318,"")</f>
        <v/>
      </c>
      <c r="P318" s="378"/>
      <c r="Q318" s="378"/>
      <c r="R318" s="378"/>
      <c r="S318" s="378"/>
      <c r="U318" s="413" t="s">
        <v>1143</v>
      </c>
      <c r="V318" s="414">
        <f>IF($F318&gt;=V317,$W327,IF($F318&gt;0,$F318,0))</f>
        <v>0</v>
      </c>
      <c r="W318" s="414">
        <f>IF($F318&gt;=W317,$W$41,IF($F318&gt;V317,($F318-V317),0))</f>
        <v>0</v>
      </c>
      <c r="X318" s="414">
        <f>IF($F318&gt;=X317,$W$41,IF($F318&gt;W317,($F318-W317),0))</f>
        <v>0</v>
      </c>
      <c r="Y318" s="414">
        <f>IF($F318&gt;=Y317,$W$41,IF($F318&gt;X317,($F318-X317),0))</f>
        <v>0</v>
      </c>
      <c r="Z318" s="414">
        <f>IF($F318&gt;=Z317,$W$41,IF($F318&gt;Y317,($F318-Y317),0))</f>
        <v>0</v>
      </c>
      <c r="AA318" s="414">
        <f>IF($F318&gt;=AA317,$W$41,IF($F318&gt;Z317,($F318-Z317),0))</f>
        <v>0</v>
      </c>
    </row>
    <row r="319" spans="2:27" hidden="1" outlineLevel="1" x14ac:dyDescent="0.2">
      <c r="L319" s="103"/>
      <c r="M319" s="437"/>
      <c r="N319" s="438"/>
      <c r="O319" s="438"/>
      <c r="P319" s="438"/>
      <c r="Q319" s="438"/>
      <c r="R319" s="438"/>
      <c r="S319" s="438"/>
      <c r="U319" s="415" t="s">
        <v>1144</v>
      </c>
      <c r="V319" s="412">
        <f t="shared" ref="V319:AA319" si="402">IF(V318&gt;0,$W327-V318,$W327)</f>
        <v>0</v>
      </c>
      <c r="W319" s="412">
        <f t="shared" si="402"/>
        <v>0</v>
      </c>
      <c r="X319" s="412">
        <f t="shared" si="402"/>
        <v>0</v>
      </c>
      <c r="Y319" s="412">
        <f t="shared" si="402"/>
        <v>0</v>
      </c>
      <c r="Z319" s="412">
        <f t="shared" si="402"/>
        <v>0</v>
      </c>
      <c r="AA319" s="412">
        <f t="shared" si="402"/>
        <v>0</v>
      </c>
    </row>
    <row r="320" spans="2:27" hidden="1" outlineLevel="1" x14ac:dyDescent="0.2">
      <c r="E320" s="437" t="str">
        <f>E315</f>
        <v/>
      </c>
      <c r="F320" s="419"/>
      <c r="G320" s="419"/>
      <c r="H320" s="419"/>
      <c r="I320" s="419"/>
      <c r="J320" s="419"/>
      <c r="K320" s="419"/>
      <c r="L320" s="103"/>
      <c r="M320" s="437" t="str">
        <f>M315</f>
        <v/>
      </c>
      <c r="N320" s="439"/>
      <c r="O320" s="440"/>
      <c r="P320" s="440"/>
      <c r="Q320" s="440"/>
      <c r="R320" s="440"/>
      <c r="S320" s="440"/>
      <c r="U320" s="378"/>
      <c r="V320" s="378"/>
      <c r="W320" s="378"/>
      <c r="X320" s="378"/>
      <c r="Y320" s="378"/>
      <c r="Z320" s="378"/>
      <c r="AA320" s="378"/>
    </row>
    <row r="321" spans="2:27" hidden="1" outlineLevel="1" x14ac:dyDescent="0.2">
      <c r="E321" s="81" t="s">
        <v>1194</v>
      </c>
      <c r="F321" s="57">
        <f ca="1">$F315*V324</f>
        <v>0</v>
      </c>
      <c r="G321" s="57">
        <f t="shared" ref="G321" ca="1" si="403">$F315*W324</f>
        <v>0</v>
      </c>
      <c r="H321" s="57">
        <f t="shared" ref="H321" ca="1" si="404">$F315*X324</f>
        <v>0</v>
      </c>
      <c r="I321" s="57">
        <f t="shared" ref="I321" ca="1" si="405">$F315*Y324</f>
        <v>0</v>
      </c>
      <c r="J321" s="57">
        <f t="shared" ref="J321" ca="1" si="406">$F315*Z324</f>
        <v>0</v>
      </c>
      <c r="K321" s="57">
        <f t="shared" ref="K321" ca="1" si="407">$F315*AA324</f>
        <v>0</v>
      </c>
      <c r="L321" s="103"/>
      <c r="M321" s="81" t="s">
        <v>1194</v>
      </c>
      <c r="N321" s="57">
        <f ca="1">$N315*V325</f>
        <v>0</v>
      </c>
      <c r="O321" s="57">
        <f ca="1">$N315*W325</f>
        <v>0</v>
      </c>
      <c r="P321" s="57">
        <f t="shared" ref="P321" ca="1" si="408">$N315*X325</f>
        <v>0</v>
      </c>
      <c r="Q321" s="57">
        <f t="shared" ref="Q321" ca="1" si="409">$N315*Y325</f>
        <v>0</v>
      </c>
      <c r="R321" s="57">
        <f t="shared" ref="R321" ca="1" si="410">$N315*Z325</f>
        <v>0</v>
      </c>
      <c r="S321" s="57">
        <f t="shared" ref="S321" ca="1" si="411">$N315*AA325</f>
        <v>0</v>
      </c>
      <c r="U321" s="415" t="s">
        <v>1145</v>
      </c>
      <c r="V321" s="414">
        <f>IF($N318&gt;=V319,V319,N318)</f>
        <v>0</v>
      </c>
      <c r="W321" s="414">
        <f>IF(V322&gt;=W319,W319,V322)</f>
        <v>0</v>
      </c>
      <c r="X321" s="414">
        <f>IF(W322&gt;=X319,X319,W322)</f>
        <v>0</v>
      </c>
      <c r="Y321" s="414">
        <f>IF(X322&gt;=Y319,Y319,X322)</f>
        <v>0</v>
      </c>
      <c r="Z321" s="414">
        <f>IF(Y322&gt;=Z319,Z319,Y322)</f>
        <v>0</v>
      </c>
      <c r="AA321" s="414">
        <f>IF(Z322&gt;=AA319,AA319,Z322)</f>
        <v>0</v>
      </c>
    </row>
    <row r="322" spans="2:27" hidden="1" outlineLevel="1" x14ac:dyDescent="0.2">
      <c r="E322" s="81" t="s">
        <v>1195</v>
      </c>
      <c r="F322" s="115"/>
      <c r="G322" s="57">
        <f ca="1">$G315*V324</f>
        <v>0</v>
      </c>
      <c r="H322" s="57">
        <f t="shared" ref="H322" ca="1" si="412">$G315*W324</f>
        <v>0</v>
      </c>
      <c r="I322" s="57">
        <f t="shared" ref="I322" ca="1" si="413">$G315*X324</f>
        <v>0</v>
      </c>
      <c r="J322" s="57">
        <f t="shared" ref="J322" ca="1" si="414">$G315*Y324</f>
        <v>0</v>
      </c>
      <c r="K322" s="57">
        <f t="shared" ref="K322" ca="1" si="415">$G315*Z324</f>
        <v>0</v>
      </c>
      <c r="L322" s="103"/>
      <c r="M322" s="81" t="s">
        <v>1195</v>
      </c>
      <c r="N322" s="115"/>
      <c r="O322" s="57">
        <f ca="1">$O315*V325</f>
        <v>0</v>
      </c>
      <c r="P322" s="57">
        <f t="shared" ref="P322" ca="1" si="416">$O315*W325</f>
        <v>0</v>
      </c>
      <c r="Q322" s="57">
        <f t="shared" ref="Q322" ca="1" si="417">$O315*X325</f>
        <v>0</v>
      </c>
      <c r="R322" s="57">
        <f t="shared" ref="R322" ca="1" si="418">$O315*Y325</f>
        <v>0</v>
      </c>
      <c r="S322" s="57">
        <f t="shared" ref="S322" ca="1" si="419">$O315*Z325</f>
        <v>0</v>
      </c>
      <c r="U322" s="415" t="s">
        <v>1146</v>
      </c>
      <c r="V322" s="412">
        <f>$N318-V321</f>
        <v>0</v>
      </c>
      <c r="W322" s="412">
        <f>$N318-SUM($V321:W321)</f>
        <v>0</v>
      </c>
      <c r="X322" s="412">
        <f>$N318-SUM($V321:X321)</f>
        <v>0</v>
      </c>
      <c r="Y322" s="412">
        <f>$N318-SUM($V321:Y321)</f>
        <v>0</v>
      </c>
      <c r="Z322" s="412">
        <f>$N318-SUM($V321:Z321)</f>
        <v>0</v>
      </c>
      <c r="AA322" s="412">
        <f>$N318-SUM($V321:AA321)</f>
        <v>0</v>
      </c>
    </row>
    <row r="323" spans="2:27" hidden="1" outlineLevel="1" x14ac:dyDescent="0.2">
      <c r="E323" s="81" t="s">
        <v>1196</v>
      </c>
      <c r="F323" s="115"/>
      <c r="G323" s="115"/>
      <c r="H323" s="57">
        <f ca="1">$H315*V324</f>
        <v>0</v>
      </c>
      <c r="I323" s="57">
        <f t="shared" ref="I323" ca="1" si="420">$H315*W324</f>
        <v>0</v>
      </c>
      <c r="J323" s="57">
        <f t="shared" ref="J323" ca="1" si="421">$H315*X324</f>
        <v>0</v>
      </c>
      <c r="K323" s="57">
        <f t="shared" ref="K323" ca="1" si="422">$H315*Y324</f>
        <v>0</v>
      </c>
      <c r="L323" s="103"/>
      <c r="M323" s="81" t="s">
        <v>1196</v>
      </c>
      <c r="N323" s="115"/>
      <c r="O323" s="115"/>
      <c r="P323" s="57">
        <f ca="1">$P315*V325</f>
        <v>0</v>
      </c>
      <c r="Q323" s="57">
        <f t="shared" ref="Q323" ca="1" si="423">$P315*W325</f>
        <v>0</v>
      </c>
      <c r="R323" s="57">
        <f t="shared" ref="R323" ca="1" si="424">$P315*X325</f>
        <v>0</v>
      </c>
      <c r="S323" s="57">
        <f t="shared" ref="S323" ca="1" si="425">$P315*Y325</f>
        <v>0</v>
      </c>
      <c r="V323" s="416"/>
      <c r="AA323" s="378"/>
    </row>
    <row r="324" spans="2:27" hidden="1" outlineLevel="1" x14ac:dyDescent="0.2">
      <c r="E324" s="81" t="s">
        <v>1197</v>
      </c>
      <c r="F324" s="115"/>
      <c r="G324" s="115"/>
      <c r="H324" s="115"/>
      <c r="I324" s="57">
        <f ca="1">$I315*V324</f>
        <v>0</v>
      </c>
      <c r="J324" s="57">
        <f t="shared" ref="J324" ca="1" si="426">$I315*W324</f>
        <v>0</v>
      </c>
      <c r="K324" s="57">
        <f t="shared" ref="K324" ca="1" si="427">$I315*X324</f>
        <v>0</v>
      </c>
      <c r="L324" s="103"/>
      <c r="M324" s="81" t="s">
        <v>1197</v>
      </c>
      <c r="N324" s="115"/>
      <c r="O324" s="115"/>
      <c r="P324" s="115"/>
      <c r="Q324" s="57">
        <f ca="1">$Q315*V325</f>
        <v>0</v>
      </c>
      <c r="R324" s="57">
        <f t="shared" ref="R324" ca="1" si="428">$Q315*W325</f>
        <v>0</v>
      </c>
      <c r="S324" s="57">
        <f t="shared" ref="S324" ca="1" si="429">$Q315*X325</f>
        <v>0</v>
      </c>
      <c r="U324" s="413" t="s">
        <v>1143</v>
      </c>
      <c r="V324" s="417">
        <f t="shared" ref="V324:AA324" si="430">IFERROR(V318/$W327,0)</f>
        <v>0</v>
      </c>
      <c r="W324" s="417">
        <f t="shared" si="430"/>
        <v>0</v>
      </c>
      <c r="X324" s="417">
        <f t="shared" si="430"/>
        <v>0</v>
      </c>
      <c r="Y324" s="417">
        <f t="shared" si="430"/>
        <v>0</v>
      </c>
      <c r="Z324" s="417">
        <f t="shared" si="430"/>
        <v>0</v>
      </c>
      <c r="AA324" s="417">
        <f t="shared" si="430"/>
        <v>0</v>
      </c>
    </row>
    <row r="325" spans="2:27" hidden="1" outlineLevel="1" x14ac:dyDescent="0.2">
      <c r="E325" s="81" t="s">
        <v>1198</v>
      </c>
      <c r="F325" s="115"/>
      <c r="G325" s="115"/>
      <c r="H325" s="115"/>
      <c r="I325" s="115"/>
      <c r="J325" s="57">
        <f ca="1">$J315*V324</f>
        <v>0</v>
      </c>
      <c r="K325" s="57">
        <f ca="1">$J315*W324</f>
        <v>0</v>
      </c>
      <c r="L325" s="103"/>
      <c r="M325" s="81" t="s">
        <v>1198</v>
      </c>
      <c r="N325" s="115"/>
      <c r="O325" s="115"/>
      <c r="P325" s="115"/>
      <c r="Q325" s="115"/>
      <c r="R325" s="57">
        <f ca="1">$R315*V325</f>
        <v>0</v>
      </c>
      <c r="S325" s="57">
        <f ca="1">$R315*W325</f>
        <v>0</v>
      </c>
      <c r="U325" s="415" t="s">
        <v>1145</v>
      </c>
      <c r="V325" s="417">
        <f t="shared" ref="V325:AA325" si="431">IFERROR(V321/$W327,0)</f>
        <v>0</v>
      </c>
      <c r="W325" s="417">
        <f t="shared" si="431"/>
        <v>0</v>
      </c>
      <c r="X325" s="417">
        <f t="shared" si="431"/>
        <v>0</v>
      </c>
      <c r="Y325" s="417">
        <f t="shared" si="431"/>
        <v>0</v>
      </c>
      <c r="Z325" s="417">
        <f t="shared" si="431"/>
        <v>0</v>
      </c>
      <c r="AA325" s="417">
        <f t="shared" si="431"/>
        <v>0</v>
      </c>
    </row>
    <row r="326" spans="2:27" hidden="1" outlineLevel="1" x14ac:dyDescent="0.2">
      <c r="E326" s="81" t="s">
        <v>1199</v>
      </c>
      <c r="F326" s="115"/>
      <c r="G326" s="115"/>
      <c r="H326" s="115"/>
      <c r="I326" s="115"/>
      <c r="J326" s="115"/>
      <c r="K326" s="57">
        <f ca="1">$K315*V324</f>
        <v>0</v>
      </c>
      <c r="L326" s="103"/>
      <c r="M326" s="81" t="s">
        <v>1199</v>
      </c>
      <c r="N326" s="115"/>
      <c r="O326" s="115"/>
      <c r="P326" s="115"/>
      <c r="Q326" s="115"/>
      <c r="R326" s="115"/>
      <c r="S326" s="57">
        <f ca="1">$S315*V325</f>
        <v>0</v>
      </c>
    </row>
    <row r="327" spans="2:27" hidden="1" outlineLevel="1" x14ac:dyDescent="0.2">
      <c r="E327" s="420" t="str">
        <f>TxPhase1PxUnitsTx</f>
        <v/>
      </c>
      <c r="F327" s="421">
        <f ca="1">IF(F318&lt;&gt;"",SUM(F321:F326),F315)</f>
        <v>0</v>
      </c>
      <c r="G327" s="421">
        <f ca="1">IF(F318&lt;&gt;"",SUM(G321:G326),G315)</f>
        <v>0</v>
      </c>
      <c r="H327" s="421">
        <f ca="1">IF(F318&lt;&gt;"",SUM(H321:H326),H315)</f>
        <v>0</v>
      </c>
      <c r="I327" s="421">
        <f ca="1">IF(F318&lt;&gt;"",SUM(I321:I326),I315)</f>
        <v>0</v>
      </c>
      <c r="J327" s="421">
        <f ca="1">IF(F318&lt;&gt;"",SUM(J321:J326),J315)</f>
        <v>0</v>
      </c>
      <c r="K327" s="421">
        <f ca="1">IF(F318&lt;&gt;"",SUM(K321:K326),K315)</f>
        <v>0</v>
      </c>
      <c r="L327" s="103"/>
      <c r="M327" s="420" t="str">
        <f>TxPhase2PxUnitsTx</f>
        <v/>
      </c>
      <c r="N327" s="421">
        <f ca="1">IF(N318&lt;&gt;"",SUM(N321:N326),N315)</f>
        <v>0</v>
      </c>
      <c r="O327" s="421">
        <f ca="1">IF(N318&lt;&gt;"",SUM(O321:O326),O315)</f>
        <v>0</v>
      </c>
      <c r="P327" s="421">
        <f ca="1">IF(N318&lt;&gt;"",SUM(P321:P326),P315)</f>
        <v>0</v>
      </c>
      <c r="Q327" s="421">
        <f ca="1">IF(N318&lt;&gt;"",SUM(Q321:Q326),Q315)</f>
        <v>0</v>
      </c>
      <c r="R327" s="421">
        <f ca="1">IF(N318&lt;&gt;"",SUM(R321:R326),R315)</f>
        <v>0</v>
      </c>
      <c r="S327" s="421">
        <f ca="1">IF(N318&lt;&gt;"",SUM(S321:S326),S315)</f>
        <v>0</v>
      </c>
      <c r="U327" s="415" t="s">
        <v>1148</v>
      </c>
      <c r="V327" s="412">
        <f>IFERROR(VLOOKUP(G318,TimeUnitCode,2,FALSE),0)</f>
        <v>0</v>
      </c>
      <c r="W327" s="412">
        <f>IFERROR(INDEX(TimeUnitCount,V327,2),0)</f>
        <v>0</v>
      </c>
    </row>
    <row r="328" spans="2:27" hidden="1" outlineLevel="1" x14ac:dyDescent="0.2"/>
    <row r="329" spans="2:27" collapsed="1" x14ac:dyDescent="0.2"/>
    <row r="330" spans="2:27" ht="15.75" x14ac:dyDescent="0.2">
      <c r="B330" s="246">
        <f>IF(F340+N340&gt;12,1,0)</f>
        <v>0</v>
      </c>
      <c r="C330" s="246">
        <f ca="1">IFERROR(INDEX(PxTxPhase1,$D335,7),0)</f>
        <v>0</v>
      </c>
      <c r="D330" s="396">
        <v>15</v>
      </c>
      <c r="E330" s="72" t="str">
        <f>IF(F334&lt;&gt;"",CONCATENATE("DTG ",D330,": ",H334,": ",N330),MsgNotUsed)</f>
        <v>** NOT USED **</v>
      </c>
      <c r="F330" s="116"/>
      <c r="G330" s="116"/>
      <c r="H330" s="116"/>
      <c r="I330" s="116"/>
      <c r="J330" s="118"/>
      <c r="K330" s="118"/>
      <c r="L330" s="118"/>
      <c r="M330" s="266"/>
      <c r="N330" s="445" t="str">
        <f>IF(AND(F340="",N340=""),"Full year",IF(AND(F340&lt;&gt;"",N340=""),CONCATENATE(F340," ",G340),IF(AND(F340="",N340&lt;&gt;""),CONCATENATE(N340," ",G340),CONCATENATE(F340," + ",N340," ",G340))))</f>
        <v>Full year</v>
      </c>
      <c r="O330" s="266"/>
      <c r="P330" s="266"/>
      <c r="Q330" s="266"/>
      <c r="R330" s="266"/>
      <c r="S330" s="266"/>
      <c r="T330" s="266"/>
      <c r="U330" s="266"/>
      <c r="V330" s="266"/>
      <c r="W330" s="266"/>
      <c r="X330" s="266"/>
      <c r="Y330" s="266"/>
      <c r="Z330" s="266"/>
      <c r="AA330" s="266"/>
    </row>
    <row r="331" spans="2:27" hidden="1" outlineLevel="1" x14ac:dyDescent="0.2">
      <c r="F331" s="319">
        <v>1</v>
      </c>
      <c r="G331" s="319">
        <v>2</v>
      </c>
      <c r="H331" s="319">
        <v>3</v>
      </c>
      <c r="I331" s="319">
        <v>4</v>
      </c>
      <c r="J331" s="319">
        <v>5</v>
      </c>
      <c r="K331" s="319">
        <v>6</v>
      </c>
      <c r="N331" s="319">
        <v>1</v>
      </c>
      <c r="O331" s="319">
        <v>2</v>
      </c>
      <c r="P331" s="319">
        <v>3</v>
      </c>
      <c r="Q331" s="319">
        <v>4</v>
      </c>
      <c r="R331" s="319">
        <v>5</v>
      </c>
      <c r="S331" s="319">
        <v>6</v>
      </c>
    </row>
    <row r="332" spans="2:27" hidden="1" outlineLevel="1" x14ac:dyDescent="0.2">
      <c r="C332" s="103"/>
      <c r="D332" s="103"/>
      <c r="E332" t="s">
        <v>1193</v>
      </c>
    </row>
    <row r="333" spans="2:27" hidden="1" outlineLevel="1" x14ac:dyDescent="0.2">
      <c r="C333" s="103"/>
      <c r="D333" s="103"/>
      <c r="E333" s="260"/>
    </row>
    <row r="334" spans="2:27" hidden="1" outlineLevel="1" x14ac:dyDescent="0.2">
      <c r="C334" s="246">
        <f>IF(F334&lt;&gt;"",MATCH(F334,PxTxSource,0)-1,0)</f>
        <v>0</v>
      </c>
      <c r="D334" s="246">
        <f ca="1">IF(H334&lt;&gt;"",MATCH(H334,OFFSET(References!$AE$23,0,C334,PxPopMaxCount),0),0)</f>
        <v>0</v>
      </c>
      <c r="E334" s="8" t="s">
        <v>110</v>
      </c>
      <c r="F334" s="230"/>
      <c r="H334" s="580"/>
      <c r="I334" s="581"/>
      <c r="J334" s="581"/>
      <c r="K334" s="581"/>
      <c r="M334" s="217"/>
      <c r="N334" s="542" t="str">
        <f ca="1">IF(ISERROR($D335)=TRUE,MsgError &amp; VLOOKUP("BadPop",ErrorMessages,2,FALSE),"")</f>
        <v/>
      </c>
      <c r="O334" s="542"/>
      <c r="P334" s="542"/>
      <c r="Q334" s="542"/>
      <c r="R334" s="542"/>
      <c r="S334" s="542"/>
    </row>
    <row r="335" spans="2:27" hidden="1" outlineLevel="1" x14ac:dyDescent="0.2">
      <c r="C335" s="246">
        <f>INDEX(PxTxValid,,C334+1)</f>
        <v>1</v>
      </c>
      <c r="D335" s="246" t="str">
        <f ca="1">IF(AND(C334=0,D334=0),"",(C334*PxPopMaxCount)+D334)</f>
        <v/>
      </c>
      <c r="E335" s="103"/>
    </row>
    <row r="336" spans="2:27" hidden="1" outlineLevel="1" x14ac:dyDescent="0.2">
      <c r="E336" s="357"/>
      <c r="F336" s="74">
        <f>FirstYear</f>
        <v>2026</v>
      </c>
      <c r="G336" s="74">
        <f>F336+1</f>
        <v>2027</v>
      </c>
      <c r="H336" s="74">
        <f>G336+1</f>
        <v>2028</v>
      </c>
      <c r="I336" s="74">
        <f>H336+1</f>
        <v>2029</v>
      </c>
      <c r="J336" s="74">
        <f>I336+1</f>
        <v>2030</v>
      </c>
      <c r="K336" s="74">
        <f>J336+1</f>
        <v>2031</v>
      </c>
      <c r="L336" s="103"/>
      <c r="N336" s="74">
        <f>FirstYear</f>
        <v>2026</v>
      </c>
      <c r="O336" s="74">
        <f>N336+1</f>
        <v>2027</v>
      </c>
      <c r="P336" s="74">
        <f>O336+1</f>
        <v>2028</v>
      </c>
      <c r="Q336" s="74">
        <f>P336+1</f>
        <v>2029</v>
      </c>
      <c r="R336" s="74">
        <f>Q336+1</f>
        <v>2030</v>
      </c>
      <c r="S336" s="74">
        <f>R336+1</f>
        <v>2031</v>
      </c>
    </row>
    <row r="337" spans="2:27" hidden="1" outlineLevel="1" x14ac:dyDescent="0.2">
      <c r="E337" s="53" t="str">
        <f>TxPhase1Px</f>
        <v/>
      </c>
      <c r="F337" s="27">
        <f t="shared" ref="F337:K337" ca="1" si="432">IFERROR(INDEX(PxTxPhase1,$D335,F331),0)</f>
        <v>0</v>
      </c>
      <c r="G337" s="27">
        <f t="shared" ca="1" si="432"/>
        <v>0</v>
      </c>
      <c r="H337" s="27">
        <f t="shared" ca="1" si="432"/>
        <v>0</v>
      </c>
      <c r="I337" s="27">
        <f t="shared" ca="1" si="432"/>
        <v>0</v>
      </c>
      <c r="J337" s="27">
        <f t="shared" ca="1" si="432"/>
        <v>0</v>
      </c>
      <c r="K337" s="27">
        <f t="shared" ca="1" si="432"/>
        <v>0</v>
      </c>
      <c r="L337" s="103"/>
      <c r="M337" s="53" t="str">
        <f>TxPhase2Px</f>
        <v/>
      </c>
      <c r="N337" s="27">
        <f t="shared" ref="N337:S337" ca="1" si="433">IFERROR(INDEX(PxTxPhase2,$D335,N331),0)</f>
        <v>0</v>
      </c>
      <c r="O337" s="27">
        <f t="shared" ca="1" si="433"/>
        <v>0</v>
      </c>
      <c r="P337" s="27">
        <f t="shared" ca="1" si="433"/>
        <v>0</v>
      </c>
      <c r="Q337" s="27">
        <f t="shared" ca="1" si="433"/>
        <v>0</v>
      </c>
      <c r="R337" s="27">
        <f t="shared" ca="1" si="433"/>
        <v>0</v>
      </c>
      <c r="S337" s="27">
        <f t="shared" ca="1" si="433"/>
        <v>0</v>
      </c>
    </row>
    <row r="338" spans="2:27" hidden="1" outlineLevel="1" x14ac:dyDescent="0.2">
      <c r="L338" s="103"/>
    </row>
    <row r="339" spans="2:27" hidden="1" outlineLevel="1" x14ac:dyDescent="0.2">
      <c r="E339" s="103"/>
      <c r="F339" s="103"/>
      <c r="G339" s="103"/>
      <c r="H339" s="103"/>
      <c r="I339" s="103"/>
      <c r="J339" s="103"/>
      <c r="K339" s="103"/>
      <c r="L339" s="103"/>
      <c r="M339" s="103"/>
      <c r="U339" s="411"/>
      <c r="V339" s="412">
        <f>$W349*1</f>
        <v>0</v>
      </c>
      <c r="W339" s="412">
        <f>$W349*2</f>
        <v>0</v>
      </c>
      <c r="X339" s="412">
        <f>$W349*3</f>
        <v>0</v>
      </c>
      <c r="Y339" s="412">
        <f>$W349*4</f>
        <v>0</v>
      </c>
      <c r="Z339" s="412">
        <f>$W349*5</f>
        <v>0</v>
      </c>
      <c r="AA339" s="412">
        <f>$W349*6</f>
        <v>0</v>
      </c>
    </row>
    <row r="340" spans="2:27" hidden="1" outlineLevel="1" x14ac:dyDescent="0.2">
      <c r="E340" s="82" t="s">
        <v>1147</v>
      </c>
      <c r="F340" s="390"/>
      <c r="G340" s="227"/>
      <c r="H340" s="378"/>
      <c r="I340" s="378"/>
      <c r="J340" s="378"/>
      <c r="K340" s="378"/>
      <c r="L340" s="103"/>
      <c r="M340" s="82" t="s">
        <v>1147</v>
      </c>
      <c r="N340" s="390"/>
      <c r="O340" s="418" t="str">
        <f>IF(G340&lt;&gt;"",G340,"")</f>
        <v/>
      </c>
      <c r="P340" s="378"/>
      <c r="Q340" s="378"/>
      <c r="R340" s="378"/>
      <c r="S340" s="378"/>
      <c r="U340" s="413" t="s">
        <v>1143</v>
      </c>
      <c r="V340" s="414">
        <f>IF($F340&gt;=V339,$W349,IF($F340&gt;0,$F340,0))</f>
        <v>0</v>
      </c>
      <c r="W340" s="414">
        <f>IF($F340&gt;=W339,$W$41,IF($F340&gt;V339,($F340-V339),0))</f>
        <v>0</v>
      </c>
      <c r="X340" s="414">
        <f>IF($F340&gt;=X339,$W$41,IF($F340&gt;W339,($F340-W339),0))</f>
        <v>0</v>
      </c>
      <c r="Y340" s="414">
        <f>IF($F340&gt;=Y339,$W$41,IF($F340&gt;X339,($F340-X339),0))</f>
        <v>0</v>
      </c>
      <c r="Z340" s="414">
        <f>IF($F340&gt;=Z339,$W$41,IF($F340&gt;Y339,($F340-Y339),0))</f>
        <v>0</v>
      </c>
      <c r="AA340" s="414">
        <f>IF($F340&gt;=AA339,$W$41,IF($F340&gt;Z339,($F340-Z339),0))</f>
        <v>0</v>
      </c>
    </row>
    <row r="341" spans="2:27" hidden="1" outlineLevel="1" x14ac:dyDescent="0.2">
      <c r="L341" s="103"/>
      <c r="M341" s="437"/>
      <c r="N341" s="438"/>
      <c r="O341" s="438"/>
      <c r="P341" s="438"/>
      <c r="Q341" s="438"/>
      <c r="R341" s="438"/>
      <c r="S341" s="438"/>
      <c r="U341" s="415" t="s">
        <v>1144</v>
      </c>
      <c r="V341" s="412">
        <f t="shared" ref="V341:AA341" si="434">IF(V340&gt;0,$W349-V340,$W349)</f>
        <v>0</v>
      </c>
      <c r="W341" s="412">
        <f t="shared" si="434"/>
        <v>0</v>
      </c>
      <c r="X341" s="412">
        <f t="shared" si="434"/>
        <v>0</v>
      </c>
      <c r="Y341" s="412">
        <f t="shared" si="434"/>
        <v>0</v>
      </c>
      <c r="Z341" s="412">
        <f t="shared" si="434"/>
        <v>0</v>
      </c>
      <c r="AA341" s="412">
        <f t="shared" si="434"/>
        <v>0</v>
      </c>
    </row>
    <row r="342" spans="2:27" hidden="1" outlineLevel="1" x14ac:dyDescent="0.2">
      <c r="E342" s="437" t="str">
        <f>E337</f>
        <v/>
      </c>
      <c r="F342" s="419"/>
      <c r="G342" s="419"/>
      <c r="H342" s="419"/>
      <c r="I342" s="419"/>
      <c r="J342" s="419"/>
      <c r="K342" s="419"/>
      <c r="L342" s="103"/>
      <c r="M342" s="437" t="str">
        <f>M337</f>
        <v/>
      </c>
      <c r="N342" s="439"/>
      <c r="O342" s="440"/>
      <c r="P342" s="440"/>
      <c r="Q342" s="440"/>
      <c r="R342" s="440"/>
      <c r="S342" s="440"/>
      <c r="U342" s="378"/>
      <c r="V342" s="378"/>
      <c r="W342" s="378"/>
      <c r="X342" s="378"/>
      <c r="Y342" s="378"/>
      <c r="Z342" s="378"/>
      <c r="AA342" s="378"/>
    </row>
    <row r="343" spans="2:27" hidden="1" outlineLevel="1" x14ac:dyDescent="0.2">
      <c r="E343" s="81" t="s">
        <v>1194</v>
      </c>
      <c r="F343" s="57">
        <f ca="1">$F337*V346</f>
        <v>0</v>
      </c>
      <c r="G343" s="57">
        <f t="shared" ref="G343" ca="1" si="435">$F337*W346</f>
        <v>0</v>
      </c>
      <c r="H343" s="57">
        <f t="shared" ref="H343" ca="1" si="436">$F337*X346</f>
        <v>0</v>
      </c>
      <c r="I343" s="57">
        <f t="shared" ref="I343" ca="1" si="437">$F337*Y346</f>
        <v>0</v>
      </c>
      <c r="J343" s="57">
        <f t="shared" ref="J343" ca="1" si="438">$F337*Z346</f>
        <v>0</v>
      </c>
      <c r="K343" s="57">
        <f t="shared" ref="K343" ca="1" si="439">$F337*AA346</f>
        <v>0</v>
      </c>
      <c r="L343" s="103"/>
      <c r="M343" s="81" t="s">
        <v>1194</v>
      </c>
      <c r="N343" s="57">
        <f ca="1">$N337*V347</f>
        <v>0</v>
      </c>
      <c r="O343" s="57">
        <f ca="1">$N337*W347</f>
        <v>0</v>
      </c>
      <c r="P343" s="57">
        <f t="shared" ref="P343" ca="1" si="440">$N337*X347</f>
        <v>0</v>
      </c>
      <c r="Q343" s="57">
        <f t="shared" ref="Q343" ca="1" si="441">$N337*Y347</f>
        <v>0</v>
      </c>
      <c r="R343" s="57">
        <f t="shared" ref="R343" ca="1" si="442">$N337*Z347</f>
        <v>0</v>
      </c>
      <c r="S343" s="57">
        <f t="shared" ref="S343" ca="1" si="443">$N337*AA347</f>
        <v>0</v>
      </c>
      <c r="U343" s="415" t="s">
        <v>1145</v>
      </c>
      <c r="V343" s="414">
        <f>IF($N340&gt;=V341,V341,N340)</f>
        <v>0</v>
      </c>
      <c r="W343" s="414">
        <f>IF(V344&gt;=W341,W341,V344)</f>
        <v>0</v>
      </c>
      <c r="X343" s="414">
        <f>IF(W344&gt;=X341,X341,W344)</f>
        <v>0</v>
      </c>
      <c r="Y343" s="414">
        <f>IF(X344&gt;=Y341,Y341,X344)</f>
        <v>0</v>
      </c>
      <c r="Z343" s="414">
        <f>IF(Y344&gt;=Z341,Z341,Y344)</f>
        <v>0</v>
      </c>
      <c r="AA343" s="414">
        <f>IF(Z344&gt;=AA341,AA341,Z344)</f>
        <v>0</v>
      </c>
    </row>
    <row r="344" spans="2:27" hidden="1" outlineLevel="1" x14ac:dyDescent="0.2">
      <c r="E344" s="81" t="s">
        <v>1195</v>
      </c>
      <c r="F344" s="115"/>
      <c r="G344" s="57">
        <f ca="1">$G337*V346</f>
        <v>0</v>
      </c>
      <c r="H344" s="57">
        <f t="shared" ref="H344" ca="1" si="444">$G337*W346</f>
        <v>0</v>
      </c>
      <c r="I344" s="57">
        <f t="shared" ref="I344" ca="1" si="445">$G337*X346</f>
        <v>0</v>
      </c>
      <c r="J344" s="57">
        <f t="shared" ref="J344" ca="1" si="446">$G337*Y346</f>
        <v>0</v>
      </c>
      <c r="K344" s="57">
        <f t="shared" ref="K344" ca="1" si="447">$G337*Z346</f>
        <v>0</v>
      </c>
      <c r="L344" s="103"/>
      <c r="M344" s="81" t="s">
        <v>1195</v>
      </c>
      <c r="N344" s="115"/>
      <c r="O344" s="57">
        <f ca="1">$O337*V347</f>
        <v>0</v>
      </c>
      <c r="P344" s="57">
        <f t="shared" ref="P344" ca="1" si="448">$O337*W347</f>
        <v>0</v>
      </c>
      <c r="Q344" s="57">
        <f t="shared" ref="Q344" ca="1" si="449">$O337*X347</f>
        <v>0</v>
      </c>
      <c r="R344" s="57">
        <f t="shared" ref="R344" ca="1" si="450">$O337*Y347</f>
        <v>0</v>
      </c>
      <c r="S344" s="57">
        <f t="shared" ref="S344" ca="1" si="451">$O337*Z347</f>
        <v>0</v>
      </c>
      <c r="U344" s="415" t="s">
        <v>1146</v>
      </c>
      <c r="V344" s="412">
        <f>$N340-V343</f>
        <v>0</v>
      </c>
      <c r="W344" s="412">
        <f>$N340-SUM($V343:W343)</f>
        <v>0</v>
      </c>
      <c r="X344" s="412">
        <f>$N340-SUM($V343:X343)</f>
        <v>0</v>
      </c>
      <c r="Y344" s="412">
        <f>$N340-SUM($V343:Y343)</f>
        <v>0</v>
      </c>
      <c r="Z344" s="412">
        <f>$N340-SUM($V343:Z343)</f>
        <v>0</v>
      </c>
      <c r="AA344" s="412">
        <f>$N340-SUM($V343:AA343)</f>
        <v>0</v>
      </c>
    </row>
    <row r="345" spans="2:27" hidden="1" outlineLevel="1" x14ac:dyDescent="0.2">
      <c r="E345" s="81" t="s">
        <v>1196</v>
      </c>
      <c r="F345" s="115"/>
      <c r="G345" s="115"/>
      <c r="H345" s="57">
        <f ca="1">$H337*V346</f>
        <v>0</v>
      </c>
      <c r="I345" s="57">
        <f t="shared" ref="I345" ca="1" si="452">$H337*W346</f>
        <v>0</v>
      </c>
      <c r="J345" s="57">
        <f t="shared" ref="J345" ca="1" si="453">$H337*X346</f>
        <v>0</v>
      </c>
      <c r="K345" s="57">
        <f t="shared" ref="K345" ca="1" si="454">$H337*Y346</f>
        <v>0</v>
      </c>
      <c r="L345" s="103"/>
      <c r="M345" s="81" t="s">
        <v>1196</v>
      </c>
      <c r="N345" s="115"/>
      <c r="O345" s="115"/>
      <c r="P345" s="57">
        <f ca="1">$P337*V347</f>
        <v>0</v>
      </c>
      <c r="Q345" s="57">
        <f t="shared" ref="Q345" ca="1" si="455">$P337*W347</f>
        <v>0</v>
      </c>
      <c r="R345" s="57">
        <f t="shared" ref="R345" ca="1" si="456">$P337*X347</f>
        <v>0</v>
      </c>
      <c r="S345" s="57">
        <f t="shared" ref="S345" ca="1" si="457">$P337*Y347</f>
        <v>0</v>
      </c>
      <c r="V345" s="416"/>
      <c r="AA345" s="378"/>
    </row>
    <row r="346" spans="2:27" hidden="1" outlineLevel="1" x14ac:dyDescent="0.2">
      <c r="E346" s="81" t="s">
        <v>1197</v>
      </c>
      <c r="F346" s="115"/>
      <c r="G346" s="115"/>
      <c r="H346" s="115"/>
      <c r="I346" s="57">
        <f ca="1">$I337*V346</f>
        <v>0</v>
      </c>
      <c r="J346" s="57">
        <f t="shared" ref="J346" ca="1" si="458">$I337*W346</f>
        <v>0</v>
      </c>
      <c r="K346" s="57">
        <f t="shared" ref="K346" ca="1" si="459">$I337*X346</f>
        <v>0</v>
      </c>
      <c r="L346" s="103"/>
      <c r="M346" s="81" t="s">
        <v>1197</v>
      </c>
      <c r="N346" s="115"/>
      <c r="O346" s="115"/>
      <c r="P346" s="115"/>
      <c r="Q346" s="57">
        <f ca="1">$Q337*V347</f>
        <v>0</v>
      </c>
      <c r="R346" s="57">
        <f t="shared" ref="R346" ca="1" si="460">$Q337*W347</f>
        <v>0</v>
      </c>
      <c r="S346" s="57">
        <f t="shared" ref="S346" ca="1" si="461">$Q337*X347</f>
        <v>0</v>
      </c>
      <c r="U346" s="413" t="s">
        <v>1143</v>
      </c>
      <c r="V346" s="417">
        <f t="shared" ref="V346:AA346" si="462">IFERROR(V340/$W349,0)</f>
        <v>0</v>
      </c>
      <c r="W346" s="417">
        <f t="shared" si="462"/>
        <v>0</v>
      </c>
      <c r="X346" s="417">
        <f t="shared" si="462"/>
        <v>0</v>
      </c>
      <c r="Y346" s="417">
        <f t="shared" si="462"/>
        <v>0</v>
      </c>
      <c r="Z346" s="417">
        <f t="shared" si="462"/>
        <v>0</v>
      </c>
      <c r="AA346" s="417">
        <f t="shared" si="462"/>
        <v>0</v>
      </c>
    </row>
    <row r="347" spans="2:27" hidden="1" outlineLevel="1" x14ac:dyDescent="0.2">
      <c r="E347" s="81" t="s">
        <v>1198</v>
      </c>
      <c r="F347" s="115"/>
      <c r="G347" s="115"/>
      <c r="H347" s="115"/>
      <c r="I347" s="115"/>
      <c r="J347" s="57">
        <f ca="1">$J337*V346</f>
        <v>0</v>
      </c>
      <c r="K347" s="57">
        <f ca="1">$J337*W346</f>
        <v>0</v>
      </c>
      <c r="L347" s="103"/>
      <c r="M347" s="81" t="s">
        <v>1198</v>
      </c>
      <c r="N347" s="115"/>
      <c r="O347" s="115"/>
      <c r="P347" s="115"/>
      <c r="Q347" s="115"/>
      <c r="R347" s="57">
        <f ca="1">$R337*V347</f>
        <v>0</v>
      </c>
      <c r="S347" s="57">
        <f ca="1">$R337*W347</f>
        <v>0</v>
      </c>
      <c r="U347" s="415" t="s">
        <v>1145</v>
      </c>
      <c r="V347" s="417">
        <f t="shared" ref="V347:AA347" si="463">IFERROR(V343/$W349,0)</f>
        <v>0</v>
      </c>
      <c r="W347" s="417">
        <f t="shared" si="463"/>
        <v>0</v>
      </c>
      <c r="X347" s="417">
        <f t="shared" si="463"/>
        <v>0</v>
      </c>
      <c r="Y347" s="417">
        <f t="shared" si="463"/>
        <v>0</v>
      </c>
      <c r="Z347" s="417">
        <f t="shared" si="463"/>
        <v>0</v>
      </c>
      <c r="AA347" s="417">
        <f t="shared" si="463"/>
        <v>0</v>
      </c>
    </row>
    <row r="348" spans="2:27" hidden="1" outlineLevel="1" x14ac:dyDescent="0.2">
      <c r="E348" s="81" t="s">
        <v>1199</v>
      </c>
      <c r="F348" s="115"/>
      <c r="G348" s="115"/>
      <c r="H348" s="115"/>
      <c r="I348" s="115"/>
      <c r="J348" s="115"/>
      <c r="K348" s="57">
        <f ca="1">$K337*V346</f>
        <v>0</v>
      </c>
      <c r="L348" s="103"/>
      <c r="M348" s="81" t="s">
        <v>1199</v>
      </c>
      <c r="N348" s="115"/>
      <c r="O348" s="115"/>
      <c r="P348" s="115"/>
      <c r="Q348" s="115"/>
      <c r="R348" s="115"/>
      <c r="S348" s="57">
        <f ca="1">$S337*V347</f>
        <v>0</v>
      </c>
    </row>
    <row r="349" spans="2:27" hidden="1" outlineLevel="1" x14ac:dyDescent="0.2">
      <c r="E349" s="420" t="str">
        <f>TxPhase1PxUnitsTx</f>
        <v/>
      </c>
      <c r="F349" s="421">
        <f ca="1">IF(F340&lt;&gt;"",SUM(F343:F348),F337)</f>
        <v>0</v>
      </c>
      <c r="G349" s="421">
        <f ca="1">IF(F340&lt;&gt;"",SUM(G343:G348),G337)</f>
        <v>0</v>
      </c>
      <c r="H349" s="421">
        <f ca="1">IF(F340&lt;&gt;"",SUM(H343:H348),H337)</f>
        <v>0</v>
      </c>
      <c r="I349" s="421">
        <f ca="1">IF(F340&lt;&gt;"",SUM(I343:I348),I337)</f>
        <v>0</v>
      </c>
      <c r="J349" s="421">
        <f ca="1">IF(F340&lt;&gt;"",SUM(J343:J348),J337)</f>
        <v>0</v>
      </c>
      <c r="K349" s="421">
        <f ca="1">IF(F340&lt;&gt;"",SUM(K343:K348),K337)</f>
        <v>0</v>
      </c>
      <c r="L349" s="103"/>
      <c r="M349" s="420" t="str">
        <f>TxPhase2PxUnitsTx</f>
        <v/>
      </c>
      <c r="N349" s="421">
        <f ca="1">IF(N340&lt;&gt;"",SUM(N343:N348),N337)</f>
        <v>0</v>
      </c>
      <c r="O349" s="421">
        <f ca="1">IF(N340&lt;&gt;"",SUM(O343:O348),O337)</f>
        <v>0</v>
      </c>
      <c r="P349" s="421">
        <f ca="1">IF(N340&lt;&gt;"",SUM(P343:P348),P337)</f>
        <v>0</v>
      </c>
      <c r="Q349" s="421">
        <f ca="1">IF(N340&lt;&gt;"",SUM(Q343:Q348),Q337)</f>
        <v>0</v>
      </c>
      <c r="R349" s="421">
        <f ca="1">IF(N340&lt;&gt;"",SUM(R343:R348),R337)</f>
        <v>0</v>
      </c>
      <c r="S349" s="421">
        <f ca="1">IF(N340&lt;&gt;"",SUM(S343:S348),S337)</f>
        <v>0</v>
      </c>
      <c r="U349" s="415" t="s">
        <v>1148</v>
      </c>
      <c r="V349" s="412">
        <f>IFERROR(VLOOKUP(G340,TimeUnitCode,2,FALSE),0)</f>
        <v>0</v>
      </c>
      <c r="W349" s="412">
        <f>IFERROR(INDEX(TimeUnitCount,V349,2),0)</f>
        <v>0</v>
      </c>
    </row>
    <row r="350" spans="2:27" hidden="1" outlineLevel="1" x14ac:dyDescent="0.2"/>
    <row r="351" spans="2:27" collapsed="1" x14ac:dyDescent="0.2"/>
    <row r="352" spans="2:27" ht="15.75" x14ac:dyDescent="0.2">
      <c r="B352" s="246">
        <f>IF(F362+N362&gt;12,1,0)</f>
        <v>0</v>
      </c>
      <c r="C352" s="246">
        <f ca="1">IFERROR(INDEX(PxTxPhase1,$D357,7),0)</f>
        <v>0</v>
      </c>
      <c r="D352" s="396">
        <v>16</v>
      </c>
      <c r="E352" s="72" t="str">
        <f>IF(F356&lt;&gt;"",CONCATENATE("DTG ",D352,": ",H356,": ",N352),MsgNotUsed)</f>
        <v>** NOT USED **</v>
      </c>
      <c r="F352" s="116"/>
      <c r="G352" s="116"/>
      <c r="H352" s="116"/>
      <c r="I352" s="116"/>
      <c r="J352" s="118"/>
      <c r="K352" s="118"/>
      <c r="L352" s="118"/>
      <c r="M352" s="266"/>
      <c r="N352" s="445" t="str">
        <f>IF(AND(F362="",N362=""),"Full year",IF(AND(F362&lt;&gt;"",N362=""),CONCATENATE(F362," ",G362),IF(AND(F362="",N362&lt;&gt;""),CONCATENATE(N362," ",G362),CONCATENATE(F362," + ",N362," ",G362))))</f>
        <v>Full year</v>
      </c>
      <c r="O352" s="266"/>
      <c r="P352" s="266"/>
      <c r="Q352" s="266"/>
      <c r="R352" s="266"/>
      <c r="S352" s="266"/>
      <c r="T352" s="266"/>
      <c r="U352" s="266"/>
      <c r="V352" s="266"/>
      <c r="W352" s="266"/>
      <c r="X352" s="266"/>
      <c r="Y352" s="266"/>
      <c r="Z352" s="266"/>
      <c r="AA352" s="266"/>
    </row>
    <row r="353" spans="3:27" hidden="1" outlineLevel="1" x14ac:dyDescent="0.2">
      <c r="F353" s="319">
        <v>1</v>
      </c>
      <c r="G353" s="319">
        <v>2</v>
      </c>
      <c r="H353" s="319">
        <v>3</v>
      </c>
      <c r="I353" s="319">
        <v>4</v>
      </c>
      <c r="J353" s="319">
        <v>5</v>
      </c>
      <c r="K353" s="319">
        <v>6</v>
      </c>
      <c r="N353" s="319">
        <v>1</v>
      </c>
      <c r="O353" s="319">
        <v>2</v>
      </c>
      <c r="P353" s="319">
        <v>3</v>
      </c>
      <c r="Q353" s="319">
        <v>4</v>
      </c>
      <c r="R353" s="319">
        <v>5</v>
      </c>
      <c r="S353" s="319">
        <v>6</v>
      </c>
    </row>
    <row r="354" spans="3:27" hidden="1" outlineLevel="1" x14ac:dyDescent="0.2">
      <c r="C354" s="103"/>
      <c r="D354" s="103"/>
      <c r="E354" t="s">
        <v>1193</v>
      </c>
    </row>
    <row r="355" spans="3:27" hidden="1" outlineLevel="1" x14ac:dyDescent="0.2">
      <c r="C355" s="103"/>
      <c r="D355" s="103"/>
      <c r="E355" s="260"/>
    </row>
    <row r="356" spans="3:27" hidden="1" outlineLevel="1" x14ac:dyDescent="0.2">
      <c r="C356" s="246">
        <f>IF(F356&lt;&gt;"",MATCH(F356,PxTxSource,0)-1,0)</f>
        <v>0</v>
      </c>
      <c r="D356" s="246">
        <f ca="1">IF(H356&lt;&gt;"",MATCH(H356,OFFSET(References!$AE$23,0,C356,PxPopMaxCount),0),0)</f>
        <v>0</v>
      </c>
      <c r="E356" s="8" t="s">
        <v>110</v>
      </c>
      <c r="F356" s="230"/>
      <c r="H356" s="580"/>
      <c r="I356" s="581"/>
      <c r="J356" s="581"/>
      <c r="K356" s="581"/>
      <c r="M356" s="217"/>
      <c r="N356" s="542" t="str">
        <f ca="1">IF(ISERROR($D357)=TRUE,MsgError &amp; VLOOKUP("BadPop",ErrorMessages,2,FALSE),"")</f>
        <v/>
      </c>
      <c r="O356" s="542"/>
      <c r="P356" s="542"/>
      <c r="Q356" s="542"/>
      <c r="R356" s="542"/>
      <c r="S356" s="542"/>
    </row>
    <row r="357" spans="3:27" hidden="1" outlineLevel="1" x14ac:dyDescent="0.2">
      <c r="C357" s="246">
        <f>INDEX(PxTxValid,,C356+1)</f>
        <v>1</v>
      </c>
      <c r="D357" s="246" t="str">
        <f ca="1">IF(AND(C356=0,D356=0),"",(C356*PxPopMaxCount)+D356)</f>
        <v/>
      </c>
      <c r="E357" s="103"/>
    </row>
    <row r="358" spans="3:27" hidden="1" outlineLevel="1" x14ac:dyDescent="0.2">
      <c r="E358" s="357"/>
      <c r="F358" s="74">
        <f>FirstYear</f>
        <v>2026</v>
      </c>
      <c r="G358" s="74">
        <f>F358+1</f>
        <v>2027</v>
      </c>
      <c r="H358" s="74">
        <f>G358+1</f>
        <v>2028</v>
      </c>
      <c r="I358" s="74">
        <f>H358+1</f>
        <v>2029</v>
      </c>
      <c r="J358" s="74">
        <f>I358+1</f>
        <v>2030</v>
      </c>
      <c r="K358" s="74">
        <f>J358+1</f>
        <v>2031</v>
      </c>
      <c r="L358" s="103"/>
      <c r="N358" s="74">
        <f>FirstYear</f>
        <v>2026</v>
      </c>
      <c r="O358" s="74">
        <f>N358+1</f>
        <v>2027</v>
      </c>
      <c r="P358" s="74">
        <f>O358+1</f>
        <v>2028</v>
      </c>
      <c r="Q358" s="74">
        <f>P358+1</f>
        <v>2029</v>
      </c>
      <c r="R358" s="74">
        <f>Q358+1</f>
        <v>2030</v>
      </c>
      <c r="S358" s="74">
        <f>R358+1</f>
        <v>2031</v>
      </c>
    </row>
    <row r="359" spans="3:27" hidden="1" outlineLevel="1" x14ac:dyDescent="0.2">
      <c r="E359" s="53" t="str">
        <f>TxPhase1Px</f>
        <v/>
      </c>
      <c r="F359" s="27">
        <f t="shared" ref="F359:K359" ca="1" si="464">IFERROR(INDEX(PxTxPhase1,$D357,F353),0)</f>
        <v>0</v>
      </c>
      <c r="G359" s="27">
        <f t="shared" ca="1" si="464"/>
        <v>0</v>
      </c>
      <c r="H359" s="27">
        <f t="shared" ca="1" si="464"/>
        <v>0</v>
      </c>
      <c r="I359" s="27">
        <f t="shared" ca="1" si="464"/>
        <v>0</v>
      </c>
      <c r="J359" s="27">
        <f t="shared" ca="1" si="464"/>
        <v>0</v>
      </c>
      <c r="K359" s="27">
        <f t="shared" ca="1" si="464"/>
        <v>0</v>
      </c>
      <c r="L359" s="103"/>
      <c r="M359" s="53" t="str">
        <f>TxPhase2Px</f>
        <v/>
      </c>
      <c r="N359" s="27">
        <f t="shared" ref="N359:S359" ca="1" si="465">IFERROR(INDEX(PxTxPhase2,$D357,N353),0)</f>
        <v>0</v>
      </c>
      <c r="O359" s="27">
        <f t="shared" ca="1" si="465"/>
        <v>0</v>
      </c>
      <c r="P359" s="27">
        <f t="shared" ca="1" si="465"/>
        <v>0</v>
      </c>
      <c r="Q359" s="27">
        <f t="shared" ca="1" si="465"/>
        <v>0</v>
      </c>
      <c r="R359" s="27">
        <f t="shared" ca="1" si="465"/>
        <v>0</v>
      </c>
      <c r="S359" s="27">
        <f t="shared" ca="1" si="465"/>
        <v>0</v>
      </c>
    </row>
    <row r="360" spans="3:27" hidden="1" outlineLevel="1" x14ac:dyDescent="0.2">
      <c r="L360" s="103"/>
    </row>
    <row r="361" spans="3:27" hidden="1" outlineLevel="1" x14ac:dyDescent="0.2">
      <c r="E361" s="103"/>
      <c r="F361" s="103"/>
      <c r="G361" s="103"/>
      <c r="H361" s="103"/>
      <c r="I361" s="103"/>
      <c r="J361" s="103"/>
      <c r="K361" s="103"/>
      <c r="L361" s="103"/>
      <c r="M361" s="103"/>
      <c r="U361" s="411"/>
      <c r="V361" s="412">
        <f>$W371*1</f>
        <v>0</v>
      </c>
      <c r="W361" s="412">
        <f>$W371*2</f>
        <v>0</v>
      </c>
      <c r="X361" s="412">
        <f>$W371*3</f>
        <v>0</v>
      </c>
      <c r="Y361" s="412">
        <f>$W371*4</f>
        <v>0</v>
      </c>
      <c r="Z361" s="412">
        <f>$W371*5</f>
        <v>0</v>
      </c>
      <c r="AA361" s="412">
        <f>$W371*6</f>
        <v>0</v>
      </c>
    </row>
    <row r="362" spans="3:27" hidden="1" outlineLevel="1" x14ac:dyDescent="0.2">
      <c r="E362" s="82" t="s">
        <v>1147</v>
      </c>
      <c r="F362" s="390"/>
      <c r="G362" s="227"/>
      <c r="H362" s="378"/>
      <c r="I362" s="378"/>
      <c r="J362" s="378"/>
      <c r="K362" s="378"/>
      <c r="L362" s="103"/>
      <c r="M362" s="82" t="s">
        <v>1147</v>
      </c>
      <c r="N362" s="390"/>
      <c r="O362" s="418" t="str">
        <f>IF(G362&lt;&gt;"",G362,"")</f>
        <v/>
      </c>
      <c r="P362" s="378"/>
      <c r="Q362" s="378"/>
      <c r="R362" s="378"/>
      <c r="S362" s="378"/>
      <c r="U362" s="413" t="s">
        <v>1143</v>
      </c>
      <c r="V362" s="414">
        <f>IF($F362&gt;=V361,$W371,IF($F362&gt;0,$F362,0))</f>
        <v>0</v>
      </c>
      <c r="W362" s="414">
        <f>IF($F362&gt;=W361,$W$41,IF($F362&gt;V361,($F362-V361),0))</f>
        <v>0</v>
      </c>
      <c r="X362" s="414">
        <f>IF($F362&gt;=X361,$W$41,IF($F362&gt;W361,($F362-W361),0))</f>
        <v>0</v>
      </c>
      <c r="Y362" s="414">
        <f>IF($F362&gt;=Y361,$W$41,IF($F362&gt;X361,($F362-X361),0))</f>
        <v>0</v>
      </c>
      <c r="Z362" s="414">
        <f>IF($F362&gt;=Z361,$W$41,IF($F362&gt;Y361,($F362-Y361),0))</f>
        <v>0</v>
      </c>
      <c r="AA362" s="414">
        <f>IF($F362&gt;=AA361,$W$41,IF($F362&gt;Z361,($F362-Z361),0))</f>
        <v>0</v>
      </c>
    </row>
    <row r="363" spans="3:27" hidden="1" outlineLevel="1" x14ac:dyDescent="0.2">
      <c r="L363" s="103"/>
      <c r="M363" s="437"/>
      <c r="N363" s="438"/>
      <c r="O363" s="438"/>
      <c r="P363" s="438"/>
      <c r="Q363" s="438"/>
      <c r="R363" s="438"/>
      <c r="S363" s="438"/>
      <c r="U363" s="415" t="s">
        <v>1144</v>
      </c>
      <c r="V363" s="412">
        <f t="shared" ref="V363:AA363" si="466">IF(V362&gt;0,$W371-V362,$W371)</f>
        <v>0</v>
      </c>
      <c r="W363" s="412">
        <f t="shared" si="466"/>
        <v>0</v>
      </c>
      <c r="X363" s="412">
        <f t="shared" si="466"/>
        <v>0</v>
      </c>
      <c r="Y363" s="412">
        <f t="shared" si="466"/>
        <v>0</v>
      </c>
      <c r="Z363" s="412">
        <f t="shared" si="466"/>
        <v>0</v>
      </c>
      <c r="AA363" s="412">
        <f t="shared" si="466"/>
        <v>0</v>
      </c>
    </row>
    <row r="364" spans="3:27" hidden="1" outlineLevel="1" x14ac:dyDescent="0.2">
      <c r="E364" s="437" t="str">
        <f>E359</f>
        <v/>
      </c>
      <c r="F364" s="419"/>
      <c r="G364" s="419"/>
      <c r="H364" s="419"/>
      <c r="I364" s="419"/>
      <c r="J364" s="419"/>
      <c r="K364" s="419"/>
      <c r="L364" s="103"/>
      <c r="M364" s="437" t="str">
        <f>M359</f>
        <v/>
      </c>
      <c r="N364" s="439"/>
      <c r="O364" s="440"/>
      <c r="P364" s="440"/>
      <c r="Q364" s="440"/>
      <c r="R364" s="440"/>
      <c r="S364" s="440"/>
      <c r="U364" s="378"/>
      <c r="V364" s="378"/>
      <c r="W364" s="378"/>
      <c r="X364" s="378"/>
      <c r="Y364" s="378"/>
      <c r="Z364" s="378"/>
      <c r="AA364" s="378"/>
    </row>
    <row r="365" spans="3:27" hidden="1" outlineLevel="1" x14ac:dyDescent="0.2">
      <c r="E365" s="81" t="s">
        <v>1194</v>
      </c>
      <c r="F365" s="57">
        <f ca="1">$F359*V368</f>
        <v>0</v>
      </c>
      <c r="G365" s="57">
        <f t="shared" ref="G365" ca="1" si="467">$F359*W368</f>
        <v>0</v>
      </c>
      <c r="H365" s="57">
        <f t="shared" ref="H365" ca="1" si="468">$F359*X368</f>
        <v>0</v>
      </c>
      <c r="I365" s="57">
        <f t="shared" ref="I365" ca="1" si="469">$F359*Y368</f>
        <v>0</v>
      </c>
      <c r="J365" s="57">
        <f t="shared" ref="J365" ca="1" si="470">$F359*Z368</f>
        <v>0</v>
      </c>
      <c r="K365" s="57">
        <f t="shared" ref="K365" ca="1" si="471">$F359*AA368</f>
        <v>0</v>
      </c>
      <c r="L365" s="103"/>
      <c r="M365" s="81" t="s">
        <v>1194</v>
      </c>
      <c r="N365" s="57">
        <f ca="1">$N359*V369</f>
        <v>0</v>
      </c>
      <c r="O365" s="57">
        <f ca="1">$N359*W369</f>
        <v>0</v>
      </c>
      <c r="P365" s="57">
        <f t="shared" ref="P365" ca="1" si="472">$N359*X369</f>
        <v>0</v>
      </c>
      <c r="Q365" s="57">
        <f t="shared" ref="Q365" ca="1" si="473">$N359*Y369</f>
        <v>0</v>
      </c>
      <c r="R365" s="57">
        <f t="shared" ref="R365" ca="1" si="474">$N359*Z369</f>
        <v>0</v>
      </c>
      <c r="S365" s="57">
        <f t="shared" ref="S365" ca="1" si="475">$N359*AA369</f>
        <v>0</v>
      </c>
      <c r="U365" s="415" t="s">
        <v>1145</v>
      </c>
      <c r="V365" s="414">
        <f>IF($N362&gt;=V363,V363,N362)</f>
        <v>0</v>
      </c>
      <c r="W365" s="414">
        <f>IF(V366&gt;=W363,W363,V366)</f>
        <v>0</v>
      </c>
      <c r="X365" s="414">
        <f>IF(W366&gt;=X363,X363,W366)</f>
        <v>0</v>
      </c>
      <c r="Y365" s="414">
        <f>IF(X366&gt;=Y363,Y363,X366)</f>
        <v>0</v>
      </c>
      <c r="Z365" s="414">
        <f>IF(Y366&gt;=Z363,Z363,Y366)</f>
        <v>0</v>
      </c>
      <c r="AA365" s="414">
        <f>IF(Z366&gt;=AA363,AA363,Z366)</f>
        <v>0</v>
      </c>
    </row>
    <row r="366" spans="3:27" hidden="1" outlineLevel="1" x14ac:dyDescent="0.2">
      <c r="E366" s="81" t="s">
        <v>1195</v>
      </c>
      <c r="F366" s="115"/>
      <c r="G366" s="57">
        <f ca="1">$G359*V368</f>
        <v>0</v>
      </c>
      <c r="H366" s="57">
        <f t="shared" ref="H366" ca="1" si="476">$G359*W368</f>
        <v>0</v>
      </c>
      <c r="I366" s="57">
        <f t="shared" ref="I366" ca="1" si="477">$G359*X368</f>
        <v>0</v>
      </c>
      <c r="J366" s="57">
        <f t="shared" ref="J366" ca="1" si="478">$G359*Y368</f>
        <v>0</v>
      </c>
      <c r="K366" s="57">
        <f t="shared" ref="K366" ca="1" si="479">$G359*Z368</f>
        <v>0</v>
      </c>
      <c r="L366" s="103"/>
      <c r="M366" s="81" t="s">
        <v>1195</v>
      </c>
      <c r="N366" s="115"/>
      <c r="O366" s="57">
        <f ca="1">$O359*V369</f>
        <v>0</v>
      </c>
      <c r="P366" s="57">
        <f t="shared" ref="P366" ca="1" si="480">$O359*W369</f>
        <v>0</v>
      </c>
      <c r="Q366" s="57">
        <f t="shared" ref="Q366" ca="1" si="481">$O359*X369</f>
        <v>0</v>
      </c>
      <c r="R366" s="57">
        <f t="shared" ref="R366" ca="1" si="482">$O359*Y369</f>
        <v>0</v>
      </c>
      <c r="S366" s="57">
        <f t="shared" ref="S366" ca="1" si="483">$O359*Z369</f>
        <v>0</v>
      </c>
      <c r="U366" s="415" t="s">
        <v>1146</v>
      </c>
      <c r="V366" s="412">
        <f>$N362-V365</f>
        <v>0</v>
      </c>
      <c r="W366" s="412">
        <f>$N362-SUM($V365:W365)</f>
        <v>0</v>
      </c>
      <c r="X366" s="412">
        <f>$N362-SUM($V365:X365)</f>
        <v>0</v>
      </c>
      <c r="Y366" s="412">
        <f>$N362-SUM($V365:Y365)</f>
        <v>0</v>
      </c>
      <c r="Z366" s="412">
        <f>$N362-SUM($V365:Z365)</f>
        <v>0</v>
      </c>
      <c r="AA366" s="412">
        <f>$N362-SUM($V365:AA365)</f>
        <v>0</v>
      </c>
    </row>
    <row r="367" spans="3:27" hidden="1" outlineLevel="1" x14ac:dyDescent="0.2">
      <c r="E367" s="81" t="s">
        <v>1196</v>
      </c>
      <c r="F367" s="115"/>
      <c r="G367" s="115"/>
      <c r="H367" s="57">
        <f ca="1">$H359*V368</f>
        <v>0</v>
      </c>
      <c r="I367" s="57">
        <f t="shared" ref="I367" ca="1" si="484">$H359*W368</f>
        <v>0</v>
      </c>
      <c r="J367" s="57">
        <f t="shared" ref="J367" ca="1" si="485">$H359*X368</f>
        <v>0</v>
      </c>
      <c r="K367" s="57">
        <f t="shared" ref="K367" ca="1" si="486">$H359*Y368</f>
        <v>0</v>
      </c>
      <c r="L367" s="103"/>
      <c r="M367" s="81" t="s">
        <v>1196</v>
      </c>
      <c r="N367" s="115"/>
      <c r="O367" s="115"/>
      <c r="P367" s="57">
        <f ca="1">$P359*V369</f>
        <v>0</v>
      </c>
      <c r="Q367" s="57">
        <f t="shared" ref="Q367" ca="1" si="487">$P359*W369</f>
        <v>0</v>
      </c>
      <c r="R367" s="57">
        <f t="shared" ref="R367" ca="1" si="488">$P359*X369</f>
        <v>0</v>
      </c>
      <c r="S367" s="57">
        <f t="shared" ref="S367" ca="1" si="489">$P359*Y369</f>
        <v>0</v>
      </c>
      <c r="V367" s="416"/>
      <c r="AA367" s="378"/>
    </row>
    <row r="368" spans="3:27" hidden="1" outlineLevel="1" x14ac:dyDescent="0.2">
      <c r="E368" s="81" t="s">
        <v>1197</v>
      </c>
      <c r="F368" s="115"/>
      <c r="G368" s="115"/>
      <c r="H368" s="115"/>
      <c r="I368" s="57">
        <f ca="1">$I359*V368</f>
        <v>0</v>
      </c>
      <c r="J368" s="57">
        <f t="shared" ref="J368" ca="1" si="490">$I359*W368</f>
        <v>0</v>
      </c>
      <c r="K368" s="57">
        <f t="shared" ref="K368" ca="1" si="491">$I359*X368</f>
        <v>0</v>
      </c>
      <c r="L368" s="103"/>
      <c r="M368" s="81" t="s">
        <v>1197</v>
      </c>
      <c r="N368" s="115"/>
      <c r="O368" s="115"/>
      <c r="P368" s="115"/>
      <c r="Q368" s="57">
        <f ca="1">$Q359*V369</f>
        <v>0</v>
      </c>
      <c r="R368" s="57">
        <f t="shared" ref="R368" ca="1" si="492">$Q359*W369</f>
        <v>0</v>
      </c>
      <c r="S368" s="57">
        <f t="shared" ref="S368" ca="1" si="493">$Q359*X369</f>
        <v>0</v>
      </c>
      <c r="U368" s="413" t="s">
        <v>1143</v>
      </c>
      <c r="V368" s="417">
        <f t="shared" ref="V368:AA368" si="494">IFERROR(V362/$W371,0)</f>
        <v>0</v>
      </c>
      <c r="W368" s="417">
        <f t="shared" si="494"/>
        <v>0</v>
      </c>
      <c r="X368" s="417">
        <f t="shared" si="494"/>
        <v>0</v>
      </c>
      <c r="Y368" s="417">
        <f t="shared" si="494"/>
        <v>0</v>
      </c>
      <c r="Z368" s="417">
        <f t="shared" si="494"/>
        <v>0</v>
      </c>
      <c r="AA368" s="417">
        <f t="shared" si="494"/>
        <v>0</v>
      </c>
    </row>
    <row r="369" spans="2:27" hidden="1" outlineLevel="1" x14ac:dyDescent="0.2">
      <c r="E369" s="81" t="s">
        <v>1198</v>
      </c>
      <c r="F369" s="115"/>
      <c r="G369" s="115"/>
      <c r="H369" s="115"/>
      <c r="I369" s="115"/>
      <c r="J369" s="57">
        <f ca="1">$J359*V368</f>
        <v>0</v>
      </c>
      <c r="K369" s="57">
        <f ca="1">$J359*W368</f>
        <v>0</v>
      </c>
      <c r="L369" s="103"/>
      <c r="M369" s="81" t="s">
        <v>1198</v>
      </c>
      <c r="N369" s="115"/>
      <c r="O369" s="115"/>
      <c r="P369" s="115"/>
      <c r="Q369" s="115"/>
      <c r="R369" s="57">
        <f ca="1">$R359*V369</f>
        <v>0</v>
      </c>
      <c r="S369" s="57">
        <f ca="1">$R359*W369</f>
        <v>0</v>
      </c>
      <c r="U369" s="415" t="s">
        <v>1145</v>
      </c>
      <c r="V369" s="417">
        <f t="shared" ref="V369:AA369" si="495">IFERROR(V365/$W371,0)</f>
        <v>0</v>
      </c>
      <c r="W369" s="417">
        <f t="shared" si="495"/>
        <v>0</v>
      </c>
      <c r="X369" s="417">
        <f t="shared" si="495"/>
        <v>0</v>
      </c>
      <c r="Y369" s="417">
        <f t="shared" si="495"/>
        <v>0</v>
      </c>
      <c r="Z369" s="417">
        <f t="shared" si="495"/>
        <v>0</v>
      </c>
      <c r="AA369" s="417">
        <f t="shared" si="495"/>
        <v>0</v>
      </c>
    </row>
    <row r="370" spans="2:27" hidden="1" outlineLevel="1" x14ac:dyDescent="0.2">
      <c r="E370" s="81" t="s">
        <v>1199</v>
      </c>
      <c r="F370" s="115"/>
      <c r="G370" s="115"/>
      <c r="H370" s="115"/>
      <c r="I370" s="115"/>
      <c r="J370" s="115"/>
      <c r="K370" s="57">
        <f ca="1">$K359*V368</f>
        <v>0</v>
      </c>
      <c r="L370" s="103"/>
      <c r="M370" s="81" t="s">
        <v>1199</v>
      </c>
      <c r="N370" s="115"/>
      <c r="O370" s="115"/>
      <c r="P370" s="115"/>
      <c r="Q370" s="115"/>
      <c r="R370" s="115"/>
      <c r="S370" s="57">
        <f ca="1">$S359*V369</f>
        <v>0</v>
      </c>
    </row>
    <row r="371" spans="2:27" hidden="1" outlineLevel="1" x14ac:dyDescent="0.2">
      <c r="E371" s="420" t="str">
        <f>TxPhase1PxUnitsTx</f>
        <v/>
      </c>
      <c r="F371" s="421">
        <f ca="1">IF(F362&lt;&gt;"",SUM(F365:F370),F359)</f>
        <v>0</v>
      </c>
      <c r="G371" s="421">
        <f ca="1">IF(F362&lt;&gt;"",SUM(G365:G370),G359)</f>
        <v>0</v>
      </c>
      <c r="H371" s="421">
        <f ca="1">IF(F362&lt;&gt;"",SUM(H365:H370),H359)</f>
        <v>0</v>
      </c>
      <c r="I371" s="421">
        <f ca="1">IF(F362&lt;&gt;"",SUM(I365:I370),I359)</f>
        <v>0</v>
      </c>
      <c r="J371" s="421">
        <f ca="1">IF(F362&lt;&gt;"",SUM(J365:J370),J359)</f>
        <v>0</v>
      </c>
      <c r="K371" s="421">
        <f ca="1">IF(F362&lt;&gt;"",SUM(K365:K370),K359)</f>
        <v>0</v>
      </c>
      <c r="L371" s="103"/>
      <c r="M371" s="420" t="str">
        <f>TxPhase2PxUnitsTx</f>
        <v/>
      </c>
      <c r="N371" s="421">
        <f ca="1">IF(N362&lt;&gt;"",SUM(N365:N370),N359)</f>
        <v>0</v>
      </c>
      <c r="O371" s="421">
        <f ca="1">IF(N362&lt;&gt;"",SUM(O365:O370),O359)</f>
        <v>0</v>
      </c>
      <c r="P371" s="421">
        <f ca="1">IF(N362&lt;&gt;"",SUM(P365:P370),P359)</f>
        <v>0</v>
      </c>
      <c r="Q371" s="421">
        <f ca="1">IF(N362&lt;&gt;"",SUM(Q365:Q370),Q359)</f>
        <v>0</v>
      </c>
      <c r="R371" s="421">
        <f ca="1">IF(N362&lt;&gt;"",SUM(R365:R370),R359)</f>
        <v>0</v>
      </c>
      <c r="S371" s="421">
        <f ca="1">IF(N362&lt;&gt;"",SUM(S365:S370),S359)</f>
        <v>0</v>
      </c>
      <c r="U371" s="415" t="s">
        <v>1148</v>
      </c>
      <c r="V371" s="412">
        <f>IFERROR(VLOOKUP(G362,TimeUnitCode,2,FALSE),0)</f>
        <v>0</v>
      </c>
      <c r="W371" s="412">
        <f>IFERROR(INDEX(TimeUnitCount,V371,2),0)</f>
        <v>0</v>
      </c>
    </row>
    <row r="372" spans="2:27" hidden="1" outlineLevel="1" x14ac:dyDescent="0.2"/>
    <row r="373" spans="2:27" collapsed="1" x14ac:dyDescent="0.2"/>
    <row r="374" spans="2:27" ht="15.75" x14ac:dyDescent="0.2">
      <c r="B374" s="246">
        <f>IF(F384+N384&gt;12,1,0)</f>
        <v>0</v>
      </c>
      <c r="C374" s="246">
        <f ca="1">IFERROR(INDEX(PxTxPhase1,$D379,7),0)</f>
        <v>0</v>
      </c>
      <c r="D374" s="396">
        <v>17</v>
      </c>
      <c r="E374" s="72" t="str">
        <f>IF(F378&lt;&gt;"",CONCATENATE("DTG ",D374,": ",H378,": ",N374),MsgNotUsed)</f>
        <v>** NOT USED **</v>
      </c>
      <c r="F374" s="116"/>
      <c r="G374" s="116"/>
      <c r="H374" s="116"/>
      <c r="I374" s="116"/>
      <c r="J374" s="118"/>
      <c r="K374" s="118"/>
      <c r="L374" s="118"/>
      <c r="M374" s="266"/>
      <c r="N374" s="445" t="str">
        <f>IF(AND(F384="",N384=""),"Full year",IF(AND(F384&lt;&gt;"",N384=""),CONCATENATE(F384," ",G384),IF(AND(F384="",N384&lt;&gt;""),CONCATENATE(N384," ",G384),CONCATENATE(F384," + ",N384," ",G384))))</f>
        <v>Full year</v>
      </c>
      <c r="O374" s="266"/>
      <c r="P374" s="266"/>
      <c r="Q374" s="266"/>
      <c r="R374" s="266"/>
      <c r="S374" s="266"/>
      <c r="T374" s="266"/>
      <c r="U374" s="266"/>
      <c r="V374" s="266"/>
      <c r="W374" s="266"/>
      <c r="X374" s="266"/>
      <c r="Y374" s="266"/>
      <c r="Z374" s="266"/>
      <c r="AA374" s="266"/>
    </row>
    <row r="375" spans="2:27" hidden="1" outlineLevel="1" x14ac:dyDescent="0.2">
      <c r="F375" s="319">
        <v>1</v>
      </c>
      <c r="G375" s="319">
        <v>2</v>
      </c>
      <c r="H375" s="319">
        <v>3</v>
      </c>
      <c r="I375" s="319">
        <v>4</v>
      </c>
      <c r="J375" s="319">
        <v>5</v>
      </c>
      <c r="K375" s="319">
        <v>6</v>
      </c>
      <c r="N375" s="319">
        <v>1</v>
      </c>
      <c r="O375" s="319">
        <v>2</v>
      </c>
      <c r="P375" s="319">
        <v>3</v>
      </c>
      <c r="Q375" s="319">
        <v>4</v>
      </c>
      <c r="R375" s="319">
        <v>5</v>
      </c>
      <c r="S375" s="319">
        <v>6</v>
      </c>
    </row>
    <row r="376" spans="2:27" hidden="1" outlineLevel="1" x14ac:dyDescent="0.2">
      <c r="C376" s="103"/>
      <c r="D376" s="103"/>
      <c r="E376" t="s">
        <v>1193</v>
      </c>
    </row>
    <row r="377" spans="2:27" hidden="1" outlineLevel="1" x14ac:dyDescent="0.2">
      <c r="C377" s="103"/>
      <c r="D377" s="103"/>
      <c r="E377" s="260"/>
    </row>
    <row r="378" spans="2:27" hidden="1" outlineLevel="1" x14ac:dyDescent="0.2">
      <c r="C378" s="246">
        <f>IF(F378&lt;&gt;"",MATCH(F378,PxTxSource,0)-1,0)</f>
        <v>0</v>
      </c>
      <c r="D378" s="246">
        <f ca="1">IF(H378&lt;&gt;"",MATCH(H378,OFFSET(References!$AE$23,0,C378,PxPopMaxCount),0),0)</f>
        <v>0</v>
      </c>
      <c r="E378" s="8" t="s">
        <v>110</v>
      </c>
      <c r="F378" s="230"/>
      <c r="H378" s="580"/>
      <c r="I378" s="581"/>
      <c r="J378" s="581"/>
      <c r="K378" s="581"/>
      <c r="M378" s="217"/>
      <c r="N378" s="542" t="str">
        <f ca="1">IF(ISERROR($D379)=TRUE,MsgError &amp; VLOOKUP("BadPop",ErrorMessages,2,FALSE),"")</f>
        <v/>
      </c>
      <c r="O378" s="542"/>
      <c r="P378" s="542"/>
      <c r="Q378" s="542"/>
      <c r="R378" s="542"/>
      <c r="S378" s="542"/>
    </row>
    <row r="379" spans="2:27" hidden="1" outlineLevel="1" x14ac:dyDescent="0.2">
      <c r="C379" s="246">
        <f>INDEX(PxTxValid,,C378+1)</f>
        <v>1</v>
      </c>
      <c r="D379" s="246" t="str">
        <f ca="1">IF(AND(C378=0,D378=0),"",(C378*PxPopMaxCount)+D378)</f>
        <v/>
      </c>
      <c r="E379" s="103"/>
    </row>
    <row r="380" spans="2:27" hidden="1" outlineLevel="1" x14ac:dyDescent="0.2">
      <c r="E380" s="357"/>
      <c r="F380" s="74">
        <f>FirstYear</f>
        <v>2026</v>
      </c>
      <c r="G380" s="74">
        <f>F380+1</f>
        <v>2027</v>
      </c>
      <c r="H380" s="74">
        <f>G380+1</f>
        <v>2028</v>
      </c>
      <c r="I380" s="74">
        <f>H380+1</f>
        <v>2029</v>
      </c>
      <c r="J380" s="74">
        <f>I380+1</f>
        <v>2030</v>
      </c>
      <c r="K380" s="74">
        <f>J380+1</f>
        <v>2031</v>
      </c>
      <c r="L380" s="103"/>
      <c r="N380" s="74">
        <f>FirstYear</f>
        <v>2026</v>
      </c>
      <c r="O380" s="74">
        <f>N380+1</f>
        <v>2027</v>
      </c>
      <c r="P380" s="74">
        <f>O380+1</f>
        <v>2028</v>
      </c>
      <c r="Q380" s="74">
        <f>P380+1</f>
        <v>2029</v>
      </c>
      <c r="R380" s="74">
        <f>Q380+1</f>
        <v>2030</v>
      </c>
      <c r="S380" s="74">
        <f>R380+1</f>
        <v>2031</v>
      </c>
    </row>
    <row r="381" spans="2:27" hidden="1" outlineLevel="1" x14ac:dyDescent="0.2">
      <c r="E381" s="53" t="str">
        <f>TxPhase1Px</f>
        <v/>
      </c>
      <c r="F381" s="27">
        <f t="shared" ref="F381:K381" ca="1" si="496">IFERROR(INDEX(PxTxPhase1,$D379,F375),0)</f>
        <v>0</v>
      </c>
      <c r="G381" s="27">
        <f t="shared" ca="1" si="496"/>
        <v>0</v>
      </c>
      <c r="H381" s="27">
        <f t="shared" ca="1" si="496"/>
        <v>0</v>
      </c>
      <c r="I381" s="27">
        <f t="shared" ca="1" si="496"/>
        <v>0</v>
      </c>
      <c r="J381" s="27">
        <f t="shared" ca="1" si="496"/>
        <v>0</v>
      </c>
      <c r="K381" s="27">
        <f t="shared" ca="1" si="496"/>
        <v>0</v>
      </c>
      <c r="L381" s="103"/>
      <c r="M381" s="53" t="str">
        <f>TxPhase2Px</f>
        <v/>
      </c>
      <c r="N381" s="27">
        <f t="shared" ref="N381:S381" ca="1" si="497">IFERROR(INDEX(PxTxPhase2,$D379,N375),0)</f>
        <v>0</v>
      </c>
      <c r="O381" s="27">
        <f t="shared" ca="1" si="497"/>
        <v>0</v>
      </c>
      <c r="P381" s="27">
        <f t="shared" ca="1" si="497"/>
        <v>0</v>
      </c>
      <c r="Q381" s="27">
        <f t="shared" ca="1" si="497"/>
        <v>0</v>
      </c>
      <c r="R381" s="27">
        <f t="shared" ca="1" si="497"/>
        <v>0</v>
      </c>
      <c r="S381" s="27">
        <f t="shared" ca="1" si="497"/>
        <v>0</v>
      </c>
    </row>
    <row r="382" spans="2:27" hidden="1" outlineLevel="1" x14ac:dyDescent="0.2">
      <c r="L382" s="103"/>
    </row>
    <row r="383" spans="2:27" hidden="1" outlineLevel="1" x14ac:dyDescent="0.2">
      <c r="E383" s="103"/>
      <c r="F383" s="103"/>
      <c r="G383" s="103"/>
      <c r="H383" s="103"/>
      <c r="I383" s="103"/>
      <c r="J383" s="103"/>
      <c r="K383" s="103"/>
      <c r="L383" s="103"/>
      <c r="M383" s="103"/>
      <c r="U383" s="411"/>
      <c r="V383" s="412">
        <f>$W393*1</f>
        <v>0</v>
      </c>
      <c r="W383" s="412">
        <f>$W393*2</f>
        <v>0</v>
      </c>
      <c r="X383" s="412">
        <f>$W393*3</f>
        <v>0</v>
      </c>
      <c r="Y383" s="412">
        <f>$W393*4</f>
        <v>0</v>
      </c>
      <c r="Z383" s="412">
        <f>$W393*5</f>
        <v>0</v>
      </c>
      <c r="AA383" s="412">
        <f>$W393*6</f>
        <v>0</v>
      </c>
    </row>
    <row r="384" spans="2:27" hidden="1" outlineLevel="1" x14ac:dyDescent="0.2">
      <c r="E384" s="82" t="s">
        <v>1147</v>
      </c>
      <c r="F384" s="390"/>
      <c r="G384" s="227"/>
      <c r="H384" s="378"/>
      <c r="I384" s="378"/>
      <c r="J384" s="378"/>
      <c r="K384" s="378"/>
      <c r="L384" s="103"/>
      <c r="M384" s="82" t="s">
        <v>1147</v>
      </c>
      <c r="N384" s="390"/>
      <c r="O384" s="418" t="str">
        <f>IF(G384&lt;&gt;"",G384,"")</f>
        <v/>
      </c>
      <c r="P384" s="378"/>
      <c r="Q384" s="378"/>
      <c r="R384" s="378"/>
      <c r="S384" s="378"/>
      <c r="U384" s="413" t="s">
        <v>1143</v>
      </c>
      <c r="V384" s="414">
        <f>IF($F384&gt;=V383,$W393,IF($F384&gt;0,$F384,0))</f>
        <v>0</v>
      </c>
      <c r="W384" s="414">
        <f>IF($F384&gt;=W383,$W$41,IF($F384&gt;V383,($F384-V383),0))</f>
        <v>0</v>
      </c>
      <c r="X384" s="414">
        <f>IF($F384&gt;=X383,$W$41,IF($F384&gt;W383,($F384-W383),0))</f>
        <v>0</v>
      </c>
      <c r="Y384" s="414">
        <f>IF($F384&gt;=Y383,$W$41,IF($F384&gt;X383,($F384-X383),0))</f>
        <v>0</v>
      </c>
      <c r="Z384" s="414">
        <f>IF($F384&gt;=Z383,$W$41,IF($F384&gt;Y383,($F384-Y383),0))</f>
        <v>0</v>
      </c>
      <c r="AA384" s="414">
        <f>IF($F384&gt;=AA383,$W$41,IF($F384&gt;Z383,($F384-Z383),0))</f>
        <v>0</v>
      </c>
    </row>
    <row r="385" spans="2:27" hidden="1" outlineLevel="1" x14ac:dyDescent="0.2">
      <c r="L385" s="103"/>
      <c r="M385" s="437"/>
      <c r="N385" s="438"/>
      <c r="O385" s="438"/>
      <c r="P385" s="438"/>
      <c r="Q385" s="438"/>
      <c r="R385" s="438"/>
      <c r="S385" s="438"/>
      <c r="U385" s="415" t="s">
        <v>1144</v>
      </c>
      <c r="V385" s="412">
        <f t="shared" ref="V385:AA385" si="498">IF(V384&gt;0,$W393-V384,$W393)</f>
        <v>0</v>
      </c>
      <c r="W385" s="412">
        <f t="shared" si="498"/>
        <v>0</v>
      </c>
      <c r="X385" s="412">
        <f t="shared" si="498"/>
        <v>0</v>
      </c>
      <c r="Y385" s="412">
        <f t="shared" si="498"/>
        <v>0</v>
      </c>
      <c r="Z385" s="412">
        <f t="shared" si="498"/>
        <v>0</v>
      </c>
      <c r="AA385" s="412">
        <f t="shared" si="498"/>
        <v>0</v>
      </c>
    </row>
    <row r="386" spans="2:27" hidden="1" outlineLevel="1" x14ac:dyDescent="0.2">
      <c r="E386" s="437" t="str">
        <f>E381</f>
        <v/>
      </c>
      <c r="F386" s="419"/>
      <c r="G386" s="419"/>
      <c r="H386" s="419"/>
      <c r="I386" s="419"/>
      <c r="J386" s="419"/>
      <c r="K386" s="419"/>
      <c r="L386" s="103"/>
      <c r="M386" s="437" t="str">
        <f>M381</f>
        <v/>
      </c>
      <c r="N386" s="439"/>
      <c r="O386" s="440"/>
      <c r="P386" s="440"/>
      <c r="Q386" s="440"/>
      <c r="R386" s="440"/>
      <c r="S386" s="440"/>
      <c r="U386" s="378"/>
      <c r="V386" s="378"/>
      <c r="W386" s="378"/>
      <c r="X386" s="378"/>
      <c r="Y386" s="378"/>
      <c r="Z386" s="378"/>
      <c r="AA386" s="378"/>
    </row>
    <row r="387" spans="2:27" hidden="1" outlineLevel="1" x14ac:dyDescent="0.2">
      <c r="E387" s="81" t="s">
        <v>1194</v>
      </c>
      <c r="F387" s="57">
        <f ca="1">$F381*V390</f>
        <v>0</v>
      </c>
      <c r="G387" s="57">
        <f t="shared" ref="G387" ca="1" si="499">$F381*W390</f>
        <v>0</v>
      </c>
      <c r="H387" s="57">
        <f t="shared" ref="H387" ca="1" si="500">$F381*X390</f>
        <v>0</v>
      </c>
      <c r="I387" s="57">
        <f t="shared" ref="I387" ca="1" si="501">$F381*Y390</f>
        <v>0</v>
      </c>
      <c r="J387" s="57">
        <f t="shared" ref="J387" ca="1" si="502">$F381*Z390</f>
        <v>0</v>
      </c>
      <c r="K387" s="57">
        <f t="shared" ref="K387" ca="1" si="503">$F381*AA390</f>
        <v>0</v>
      </c>
      <c r="L387" s="103"/>
      <c r="M387" s="81" t="s">
        <v>1194</v>
      </c>
      <c r="N387" s="57">
        <f ca="1">$N381*V391</f>
        <v>0</v>
      </c>
      <c r="O387" s="57">
        <f ca="1">$N381*W391</f>
        <v>0</v>
      </c>
      <c r="P387" s="57">
        <f t="shared" ref="P387" ca="1" si="504">$N381*X391</f>
        <v>0</v>
      </c>
      <c r="Q387" s="57">
        <f t="shared" ref="Q387" ca="1" si="505">$N381*Y391</f>
        <v>0</v>
      </c>
      <c r="R387" s="57">
        <f t="shared" ref="R387" ca="1" si="506">$N381*Z391</f>
        <v>0</v>
      </c>
      <c r="S387" s="57">
        <f t="shared" ref="S387" ca="1" si="507">$N381*AA391</f>
        <v>0</v>
      </c>
      <c r="U387" s="415" t="s">
        <v>1145</v>
      </c>
      <c r="V387" s="414">
        <f>IF($N384&gt;=V385,V385,N384)</f>
        <v>0</v>
      </c>
      <c r="W387" s="414">
        <f>IF(V388&gt;=W385,W385,V388)</f>
        <v>0</v>
      </c>
      <c r="X387" s="414">
        <f>IF(W388&gt;=X385,X385,W388)</f>
        <v>0</v>
      </c>
      <c r="Y387" s="414">
        <f>IF(X388&gt;=Y385,Y385,X388)</f>
        <v>0</v>
      </c>
      <c r="Z387" s="414">
        <f>IF(Y388&gt;=Z385,Z385,Y388)</f>
        <v>0</v>
      </c>
      <c r="AA387" s="414">
        <f>IF(Z388&gt;=AA385,AA385,Z388)</f>
        <v>0</v>
      </c>
    </row>
    <row r="388" spans="2:27" hidden="1" outlineLevel="1" x14ac:dyDescent="0.2">
      <c r="E388" s="81" t="s">
        <v>1195</v>
      </c>
      <c r="F388" s="115"/>
      <c r="G388" s="57">
        <f ca="1">$G381*V390</f>
        <v>0</v>
      </c>
      <c r="H388" s="57">
        <f t="shared" ref="H388" ca="1" si="508">$G381*W390</f>
        <v>0</v>
      </c>
      <c r="I388" s="57">
        <f t="shared" ref="I388" ca="1" si="509">$G381*X390</f>
        <v>0</v>
      </c>
      <c r="J388" s="57">
        <f t="shared" ref="J388" ca="1" si="510">$G381*Y390</f>
        <v>0</v>
      </c>
      <c r="K388" s="57">
        <f t="shared" ref="K388" ca="1" si="511">$G381*Z390</f>
        <v>0</v>
      </c>
      <c r="L388" s="103"/>
      <c r="M388" s="81" t="s">
        <v>1195</v>
      </c>
      <c r="N388" s="115"/>
      <c r="O388" s="57">
        <f ca="1">$O381*V391</f>
        <v>0</v>
      </c>
      <c r="P388" s="57">
        <f t="shared" ref="P388" ca="1" si="512">$O381*W391</f>
        <v>0</v>
      </c>
      <c r="Q388" s="57">
        <f t="shared" ref="Q388" ca="1" si="513">$O381*X391</f>
        <v>0</v>
      </c>
      <c r="R388" s="57">
        <f t="shared" ref="R388" ca="1" si="514">$O381*Y391</f>
        <v>0</v>
      </c>
      <c r="S388" s="57">
        <f t="shared" ref="S388" ca="1" si="515">$O381*Z391</f>
        <v>0</v>
      </c>
      <c r="U388" s="415" t="s">
        <v>1146</v>
      </c>
      <c r="V388" s="412">
        <f>$N384-V387</f>
        <v>0</v>
      </c>
      <c r="W388" s="412">
        <f>$N384-SUM($V387:W387)</f>
        <v>0</v>
      </c>
      <c r="X388" s="412">
        <f>$N384-SUM($V387:X387)</f>
        <v>0</v>
      </c>
      <c r="Y388" s="412">
        <f>$N384-SUM($V387:Y387)</f>
        <v>0</v>
      </c>
      <c r="Z388" s="412">
        <f>$N384-SUM($V387:Z387)</f>
        <v>0</v>
      </c>
      <c r="AA388" s="412">
        <f>$N384-SUM($V387:AA387)</f>
        <v>0</v>
      </c>
    </row>
    <row r="389" spans="2:27" hidden="1" outlineLevel="1" x14ac:dyDescent="0.2">
      <c r="E389" s="81" t="s">
        <v>1196</v>
      </c>
      <c r="F389" s="115"/>
      <c r="G389" s="115"/>
      <c r="H389" s="57">
        <f ca="1">$H381*V390</f>
        <v>0</v>
      </c>
      <c r="I389" s="57">
        <f t="shared" ref="I389" ca="1" si="516">$H381*W390</f>
        <v>0</v>
      </c>
      <c r="J389" s="57">
        <f t="shared" ref="J389" ca="1" si="517">$H381*X390</f>
        <v>0</v>
      </c>
      <c r="K389" s="57">
        <f t="shared" ref="K389" ca="1" si="518">$H381*Y390</f>
        <v>0</v>
      </c>
      <c r="L389" s="103"/>
      <c r="M389" s="81" t="s">
        <v>1196</v>
      </c>
      <c r="N389" s="115"/>
      <c r="O389" s="115"/>
      <c r="P389" s="57">
        <f ca="1">$P381*V391</f>
        <v>0</v>
      </c>
      <c r="Q389" s="57">
        <f t="shared" ref="Q389" ca="1" si="519">$P381*W391</f>
        <v>0</v>
      </c>
      <c r="R389" s="57">
        <f t="shared" ref="R389" ca="1" si="520">$P381*X391</f>
        <v>0</v>
      </c>
      <c r="S389" s="57">
        <f t="shared" ref="S389" ca="1" si="521">$P381*Y391</f>
        <v>0</v>
      </c>
      <c r="V389" s="416"/>
      <c r="AA389" s="378"/>
    </row>
    <row r="390" spans="2:27" hidden="1" outlineLevel="1" x14ac:dyDescent="0.2">
      <c r="E390" s="81" t="s">
        <v>1197</v>
      </c>
      <c r="F390" s="115"/>
      <c r="G390" s="115"/>
      <c r="H390" s="115"/>
      <c r="I390" s="57">
        <f ca="1">$I381*V390</f>
        <v>0</v>
      </c>
      <c r="J390" s="57">
        <f t="shared" ref="J390" ca="1" si="522">$I381*W390</f>
        <v>0</v>
      </c>
      <c r="K390" s="57">
        <f t="shared" ref="K390" ca="1" si="523">$I381*X390</f>
        <v>0</v>
      </c>
      <c r="L390" s="103"/>
      <c r="M390" s="81" t="s">
        <v>1197</v>
      </c>
      <c r="N390" s="115"/>
      <c r="O390" s="115"/>
      <c r="P390" s="115"/>
      <c r="Q390" s="57">
        <f ca="1">$Q381*V391</f>
        <v>0</v>
      </c>
      <c r="R390" s="57">
        <f t="shared" ref="R390" ca="1" si="524">$Q381*W391</f>
        <v>0</v>
      </c>
      <c r="S390" s="57">
        <f t="shared" ref="S390" ca="1" si="525">$Q381*X391</f>
        <v>0</v>
      </c>
      <c r="U390" s="413" t="s">
        <v>1143</v>
      </c>
      <c r="V390" s="417">
        <f t="shared" ref="V390:AA390" si="526">IFERROR(V384/$W393,0)</f>
        <v>0</v>
      </c>
      <c r="W390" s="417">
        <f t="shared" si="526"/>
        <v>0</v>
      </c>
      <c r="X390" s="417">
        <f t="shared" si="526"/>
        <v>0</v>
      </c>
      <c r="Y390" s="417">
        <f t="shared" si="526"/>
        <v>0</v>
      </c>
      <c r="Z390" s="417">
        <f t="shared" si="526"/>
        <v>0</v>
      </c>
      <c r="AA390" s="417">
        <f t="shared" si="526"/>
        <v>0</v>
      </c>
    </row>
    <row r="391" spans="2:27" hidden="1" outlineLevel="1" x14ac:dyDescent="0.2">
      <c r="E391" s="81" t="s">
        <v>1198</v>
      </c>
      <c r="F391" s="115"/>
      <c r="G391" s="115"/>
      <c r="H391" s="115"/>
      <c r="I391" s="115"/>
      <c r="J391" s="57">
        <f ca="1">$J381*V390</f>
        <v>0</v>
      </c>
      <c r="K391" s="57">
        <f ca="1">$J381*W390</f>
        <v>0</v>
      </c>
      <c r="L391" s="103"/>
      <c r="M391" s="81" t="s">
        <v>1198</v>
      </c>
      <c r="N391" s="115"/>
      <c r="O391" s="115"/>
      <c r="P391" s="115"/>
      <c r="Q391" s="115"/>
      <c r="R391" s="57">
        <f ca="1">$R381*V391</f>
        <v>0</v>
      </c>
      <c r="S391" s="57">
        <f ca="1">$R381*W391</f>
        <v>0</v>
      </c>
      <c r="U391" s="415" t="s">
        <v>1145</v>
      </c>
      <c r="V391" s="417">
        <f t="shared" ref="V391:AA391" si="527">IFERROR(V387/$W393,0)</f>
        <v>0</v>
      </c>
      <c r="W391" s="417">
        <f t="shared" si="527"/>
        <v>0</v>
      </c>
      <c r="X391" s="417">
        <f t="shared" si="527"/>
        <v>0</v>
      </c>
      <c r="Y391" s="417">
        <f t="shared" si="527"/>
        <v>0</v>
      </c>
      <c r="Z391" s="417">
        <f t="shared" si="527"/>
        <v>0</v>
      </c>
      <c r="AA391" s="417">
        <f t="shared" si="527"/>
        <v>0</v>
      </c>
    </row>
    <row r="392" spans="2:27" hidden="1" outlineLevel="1" x14ac:dyDescent="0.2">
      <c r="E392" s="81" t="s">
        <v>1199</v>
      </c>
      <c r="F392" s="115"/>
      <c r="G392" s="115"/>
      <c r="H392" s="115"/>
      <c r="I392" s="115"/>
      <c r="J392" s="115"/>
      <c r="K392" s="57">
        <f ca="1">$K381*V390</f>
        <v>0</v>
      </c>
      <c r="L392" s="103"/>
      <c r="M392" s="81" t="s">
        <v>1199</v>
      </c>
      <c r="N392" s="115"/>
      <c r="O392" s="115"/>
      <c r="P392" s="115"/>
      <c r="Q392" s="115"/>
      <c r="R392" s="115"/>
      <c r="S392" s="57">
        <f ca="1">$S381*V391</f>
        <v>0</v>
      </c>
    </row>
    <row r="393" spans="2:27" hidden="1" outlineLevel="1" x14ac:dyDescent="0.2">
      <c r="E393" s="420" t="str">
        <f>TxPhase1PxUnitsTx</f>
        <v/>
      </c>
      <c r="F393" s="421">
        <f ca="1">IF(F384&lt;&gt;"",SUM(F387:F392),F381)</f>
        <v>0</v>
      </c>
      <c r="G393" s="421">
        <f ca="1">IF(F384&lt;&gt;"",SUM(G387:G392),G381)</f>
        <v>0</v>
      </c>
      <c r="H393" s="421">
        <f ca="1">IF(F384&lt;&gt;"",SUM(H387:H392),H381)</f>
        <v>0</v>
      </c>
      <c r="I393" s="421">
        <f ca="1">IF(F384&lt;&gt;"",SUM(I387:I392),I381)</f>
        <v>0</v>
      </c>
      <c r="J393" s="421">
        <f ca="1">IF(F384&lt;&gt;"",SUM(J387:J392),J381)</f>
        <v>0</v>
      </c>
      <c r="K393" s="421">
        <f ca="1">IF(F384&lt;&gt;"",SUM(K387:K392),K381)</f>
        <v>0</v>
      </c>
      <c r="L393" s="103"/>
      <c r="M393" s="420" t="str">
        <f>TxPhase2PxUnitsTx</f>
        <v/>
      </c>
      <c r="N393" s="421">
        <f ca="1">IF(N384&lt;&gt;"",SUM(N387:N392),N381)</f>
        <v>0</v>
      </c>
      <c r="O393" s="421">
        <f ca="1">IF(N384&lt;&gt;"",SUM(O387:O392),O381)</f>
        <v>0</v>
      </c>
      <c r="P393" s="421">
        <f ca="1">IF(N384&lt;&gt;"",SUM(P387:P392),P381)</f>
        <v>0</v>
      </c>
      <c r="Q393" s="421">
        <f ca="1">IF(N384&lt;&gt;"",SUM(Q387:Q392),Q381)</f>
        <v>0</v>
      </c>
      <c r="R393" s="421">
        <f ca="1">IF(N384&lt;&gt;"",SUM(R387:R392),R381)</f>
        <v>0</v>
      </c>
      <c r="S393" s="421">
        <f ca="1">IF(N384&lt;&gt;"",SUM(S387:S392),S381)</f>
        <v>0</v>
      </c>
      <c r="U393" s="415" t="s">
        <v>1148</v>
      </c>
      <c r="V393" s="412">
        <f>IFERROR(VLOOKUP(G384,TimeUnitCode,2,FALSE),0)</f>
        <v>0</v>
      </c>
      <c r="W393" s="412">
        <f>IFERROR(INDEX(TimeUnitCount,V393,2),0)</f>
        <v>0</v>
      </c>
    </row>
    <row r="394" spans="2:27" hidden="1" outlineLevel="1" x14ac:dyDescent="0.2"/>
    <row r="395" spans="2:27" collapsed="1" x14ac:dyDescent="0.2"/>
    <row r="396" spans="2:27" ht="15.75" x14ac:dyDescent="0.2">
      <c r="B396" s="246">
        <f>IF(F406+N406&gt;12,1,0)</f>
        <v>0</v>
      </c>
      <c r="C396" s="246">
        <f ca="1">IFERROR(INDEX(PxTxPhase1,$D401,7),0)</f>
        <v>0</v>
      </c>
      <c r="D396" s="396">
        <v>18</v>
      </c>
      <c r="E396" s="72" t="str">
        <f>IF(F400&lt;&gt;"",CONCATENATE("DTG ",D396,": ",H400,": ",N396),MsgNotUsed)</f>
        <v>** NOT USED **</v>
      </c>
      <c r="F396" s="116"/>
      <c r="G396" s="116"/>
      <c r="H396" s="116"/>
      <c r="I396" s="116"/>
      <c r="J396" s="118"/>
      <c r="K396" s="118"/>
      <c r="L396" s="118"/>
      <c r="M396" s="266"/>
      <c r="N396" s="445" t="str">
        <f>IF(AND(F406="",N406=""),"Full year",IF(AND(F406&lt;&gt;"",N406=""),CONCATENATE(F406," ",G406),IF(AND(F406="",N406&lt;&gt;""),CONCATENATE(N406," ",G406),CONCATENATE(F406," + ",N406," ",G406))))</f>
        <v>Full year</v>
      </c>
      <c r="O396" s="266"/>
      <c r="P396" s="266"/>
      <c r="Q396" s="266"/>
      <c r="R396" s="266"/>
      <c r="S396" s="266"/>
      <c r="T396" s="266"/>
      <c r="U396" s="266"/>
      <c r="V396" s="266"/>
      <c r="W396" s="266"/>
      <c r="X396" s="266"/>
      <c r="Y396" s="266"/>
      <c r="Z396" s="266"/>
      <c r="AA396" s="266"/>
    </row>
    <row r="397" spans="2:27" hidden="1" outlineLevel="1" x14ac:dyDescent="0.2">
      <c r="F397" s="319">
        <v>1</v>
      </c>
      <c r="G397" s="319">
        <v>2</v>
      </c>
      <c r="H397" s="319">
        <v>3</v>
      </c>
      <c r="I397" s="319">
        <v>4</v>
      </c>
      <c r="J397" s="319">
        <v>5</v>
      </c>
      <c r="K397" s="319">
        <v>6</v>
      </c>
      <c r="N397" s="319">
        <v>1</v>
      </c>
      <c r="O397" s="319">
        <v>2</v>
      </c>
      <c r="P397" s="319">
        <v>3</v>
      </c>
      <c r="Q397" s="319">
        <v>4</v>
      </c>
      <c r="R397" s="319">
        <v>5</v>
      </c>
      <c r="S397" s="319">
        <v>6</v>
      </c>
    </row>
    <row r="398" spans="2:27" hidden="1" outlineLevel="1" x14ac:dyDescent="0.2">
      <c r="C398" s="103"/>
      <c r="D398" s="103"/>
      <c r="E398" t="s">
        <v>1193</v>
      </c>
    </row>
    <row r="399" spans="2:27" hidden="1" outlineLevel="1" x14ac:dyDescent="0.2">
      <c r="C399" s="103"/>
      <c r="D399" s="103"/>
      <c r="E399" s="260"/>
    </row>
    <row r="400" spans="2:27" hidden="1" outlineLevel="1" x14ac:dyDescent="0.2">
      <c r="C400" s="246">
        <f>IF(F400&lt;&gt;"",MATCH(F400,PxTxSource,0)-1,0)</f>
        <v>0</v>
      </c>
      <c r="D400" s="246">
        <f ca="1">IF(H400&lt;&gt;"",MATCH(H400,OFFSET(References!$AE$23,0,C400,PxPopMaxCount),0),0)</f>
        <v>0</v>
      </c>
      <c r="E400" s="8" t="s">
        <v>110</v>
      </c>
      <c r="F400" s="230"/>
      <c r="H400" s="580"/>
      <c r="I400" s="581"/>
      <c r="J400" s="581"/>
      <c r="K400" s="581"/>
      <c r="M400" s="217"/>
      <c r="N400" s="542" t="str">
        <f ca="1">IF(ISERROR($D401)=TRUE,MsgError &amp; VLOOKUP("BadPop",ErrorMessages,2,FALSE),"")</f>
        <v/>
      </c>
      <c r="O400" s="542"/>
      <c r="P400" s="542"/>
      <c r="Q400" s="542"/>
      <c r="R400" s="542"/>
      <c r="S400" s="542"/>
    </row>
    <row r="401" spans="3:27" hidden="1" outlineLevel="1" x14ac:dyDescent="0.2">
      <c r="C401" s="246">
        <f>INDEX(PxTxValid,,C400+1)</f>
        <v>1</v>
      </c>
      <c r="D401" s="246" t="str">
        <f ca="1">IF(AND(C400=0,D400=0),"",(C400*PxPopMaxCount)+D400)</f>
        <v/>
      </c>
      <c r="E401" s="103"/>
    </row>
    <row r="402" spans="3:27" hidden="1" outlineLevel="1" x14ac:dyDescent="0.2">
      <c r="E402" s="357"/>
      <c r="F402" s="74">
        <f>FirstYear</f>
        <v>2026</v>
      </c>
      <c r="G402" s="74">
        <f>F402+1</f>
        <v>2027</v>
      </c>
      <c r="H402" s="74">
        <f>G402+1</f>
        <v>2028</v>
      </c>
      <c r="I402" s="74">
        <f>H402+1</f>
        <v>2029</v>
      </c>
      <c r="J402" s="74">
        <f>I402+1</f>
        <v>2030</v>
      </c>
      <c r="K402" s="74">
        <f>J402+1</f>
        <v>2031</v>
      </c>
      <c r="L402" s="103"/>
      <c r="N402" s="74">
        <f>FirstYear</f>
        <v>2026</v>
      </c>
      <c r="O402" s="74">
        <f>N402+1</f>
        <v>2027</v>
      </c>
      <c r="P402" s="74">
        <f>O402+1</f>
        <v>2028</v>
      </c>
      <c r="Q402" s="74">
        <f>P402+1</f>
        <v>2029</v>
      </c>
      <c r="R402" s="74">
        <f>Q402+1</f>
        <v>2030</v>
      </c>
      <c r="S402" s="74">
        <f>R402+1</f>
        <v>2031</v>
      </c>
    </row>
    <row r="403" spans="3:27" hidden="1" outlineLevel="1" x14ac:dyDescent="0.2">
      <c r="E403" s="53" t="str">
        <f>TxPhase1Px</f>
        <v/>
      </c>
      <c r="F403" s="27">
        <f t="shared" ref="F403:K403" ca="1" si="528">IFERROR(INDEX(PxTxPhase1,$D401,F397),0)</f>
        <v>0</v>
      </c>
      <c r="G403" s="27">
        <f t="shared" ca="1" si="528"/>
        <v>0</v>
      </c>
      <c r="H403" s="27">
        <f t="shared" ca="1" si="528"/>
        <v>0</v>
      </c>
      <c r="I403" s="27">
        <f t="shared" ca="1" si="528"/>
        <v>0</v>
      </c>
      <c r="J403" s="27">
        <f t="shared" ca="1" si="528"/>
        <v>0</v>
      </c>
      <c r="K403" s="27">
        <f t="shared" ca="1" si="528"/>
        <v>0</v>
      </c>
      <c r="L403" s="103"/>
      <c r="M403" s="53" t="str">
        <f>TxPhase2Px</f>
        <v/>
      </c>
      <c r="N403" s="27">
        <f t="shared" ref="N403:S403" ca="1" si="529">IFERROR(INDEX(PxTxPhase2,$D401,N397),0)</f>
        <v>0</v>
      </c>
      <c r="O403" s="27">
        <f t="shared" ca="1" si="529"/>
        <v>0</v>
      </c>
      <c r="P403" s="27">
        <f t="shared" ca="1" si="529"/>
        <v>0</v>
      </c>
      <c r="Q403" s="27">
        <f t="shared" ca="1" si="529"/>
        <v>0</v>
      </c>
      <c r="R403" s="27">
        <f t="shared" ca="1" si="529"/>
        <v>0</v>
      </c>
      <c r="S403" s="27">
        <f t="shared" ca="1" si="529"/>
        <v>0</v>
      </c>
    </row>
    <row r="404" spans="3:27" hidden="1" outlineLevel="1" x14ac:dyDescent="0.2">
      <c r="L404" s="103"/>
    </row>
    <row r="405" spans="3:27" hidden="1" outlineLevel="1" x14ac:dyDescent="0.2">
      <c r="E405" s="103"/>
      <c r="F405" s="103"/>
      <c r="G405" s="103"/>
      <c r="H405" s="103"/>
      <c r="I405" s="103"/>
      <c r="J405" s="103"/>
      <c r="K405" s="103"/>
      <c r="L405" s="103"/>
      <c r="M405" s="103"/>
      <c r="U405" s="411"/>
      <c r="V405" s="412">
        <f>$W415*1</f>
        <v>0</v>
      </c>
      <c r="W405" s="412">
        <f>$W415*2</f>
        <v>0</v>
      </c>
      <c r="X405" s="412">
        <f>$W415*3</f>
        <v>0</v>
      </c>
      <c r="Y405" s="412">
        <f>$W415*4</f>
        <v>0</v>
      </c>
      <c r="Z405" s="412">
        <f>$W415*5</f>
        <v>0</v>
      </c>
      <c r="AA405" s="412">
        <f>$W415*6</f>
        <v>0</v>
      </c>
    </row>
    <row r="406" spans="3:27" hidden="1" outlineLevel="1" x14ac:dyDescent="0.2">
      <c r="E406" s="82" t="s">
        <v>1147</v>
      </c>
      <c r="F406" s="390"/>
      <c r="G406" s="227"/>
      <c r="H406" s="378"/>
      <c r="I406" s="378"/>
      <c r="J406" s="378"/>
      <c r="K406" s="378"/>
      <c r="L406" s="103"/>
      <c r="M406" s="82" t="s">
        <v>1147</v>
      </c>
      <c r="N406" s="390"/>
      <c r="O406" s="418" t="str">
        <f>IF(G406&lt;&gt;"",G406,"")</f>
        <v/>
      </c>
      <c r="P406" s="378"/>
      <c r="Q406" s="378"/>
      <c r="R406" s="378"/>
      <c r="S406" s="378"/>
      <c r="U406" s="413" t="s">
        <v>1143</v>
      </c>
      <c r="V406" s="414">
        <f>IF($F406&gt;=V405,$W415,IF($F406&gt;0,$F406,0))</f>
        <v>0</v>
      </c>
      <c r="W406" s="414">
        <f>IF($F406&gt;=W405,$W$41,IF($F406&gt;V405,($F406-V405),0))</f>
        <v>0</v>
      </c>
      <c r="X406" s="414">
        <f>IF($F406&gt;=X405,$W$41,IF($F406&gt;W405,($F406-W405),0))</f>
        <v>0</v>
      </c>
      <c r="Y406" s="414">
        <f>IF($F406&gt;=Y405,$W$41,IF($F406&gt;X405,($F406-X405),0))</f>
        <v>0</v>
      </c>
      <c r="Z406" s="414">
        <f>IF($F406&gt;=Z405,$W$41,IF($F406&gt;Y405,($F406-Y405),0))</f>
        <v>0</v>
      </c>
      <c r="AA406" s="414">
        <f>IF($F406&gt;=AA405,$W$41,IF($F406&gt;Z405,($F406-Z405),0))</f>
        <v>0</v>
      </c>
    </row>
    <row r="407" spans="3:27" hidden="1" outlineLevel="1" x14ac:dyDescent="0.2">
      <c r="L407" s="103"/>
      <c r="M407" s="437"/>
      <c r="N407" s="438"/>
      <c r="O407" s="438"/>
      <c r="P407" s="438"/>
      <c r="Q407" s="438"/>
      <c r="R407" s="438"/>
      <c r="S407" s="438"/>
      <c r="U407" s="415" t="s">
        <v>1144</v>
      </c>
      <c r="V407" s="412">
        <f t="shared" ref="V407:AA407" si="530">IF(V406&gt;0,$W415-V406,$W415)</f>
        <v>0</v>
      </c>
      <c r="W407" s="412">
        <f t="shared" si="530"/>
        <v>0</v>
      </c>
      <c r="X407" s="412">
        <f t="shared" si="530"/>
        <v>0</v>
      </c>
      <c r="Y407" s="412">
        <f t="shared" si="530"/>
        <v>0</v>
      </c>
      <c r="Z407" s="412">
        <f t="shared" si="530"/>
        <v>0</v>
      </c>
      <c r="AA407" s="412">
        <f t="shared" si="530"/>
        <v>0</v>
      </c>
    </row>
    <row r="408" spans="3:27" hidden="1" outlineLevel="1" x14ac:dyDescent="0.2">
      <c r="E408" s="437" t="str">
        <f>E403</f>
        <v/>
      </c>
      <c r="F408" s="419"/>
      <c r="G408" s="419"/>
      <c r="H408" s="419"/>
      <c r="I408" s="419"/>
      <c r="J408" s="419"/>
      <c r="K408" s="419"/>
      <c r="L408" s="103"/>
      <c r="M408" s="437" t="str">
        <f>M403</f>
        <v/>
      </c>
      <c r="N408" s="439"/>
      <c r="O408" s="440"/>
      <c r="P408" s="440"/>
      <c r="Q408" s="440"/>
      <c r="R408" s="440"/>
      <c r="S408" s="440"/>
      <c r="U408" s="378"/>
      <c r="V408" s="378"/>
      <c r="W408" s="378"/>
      <c r="X408" s="378"/>
      <c r="Y408" s="378"/>
      <c r="Z408" s="378"/>
      <c r="AA408" s="378"/>
    </row>
    <row r="409" spans="3:27" hidden="1" outlineLevel="1" x14ac:dyDescent="0.2">
      <c r="E409" s="81" t="s">
        <v>1194</v>
      </c>
      <c r="F409" s="57">
        <f ca="1">$F403*V412</f>
        <v>0</v>
      </c>
      <c r="G409" s="57">
        <f t="shared" ref="G409" ca="1" si="531">$F403*W412</f>
        <v>0</v>
      </c>
      <c r="H409" s="57">
        <f t="shared" ref="H409" ca="1" si="532">$F403*X412</f>
        <v>0</v>
      </c>
      <c r="I409" s="57">
        <f t="shared" ref="I409" ca="1" si="533">$F403*Y412</f>
        <v>0</v>
      </c>
      <c r="J409" s="57">
        <f t="shared" ref="J409" ca="1" si="534">$F403*Z412</f>
        <v>0</v>
      </c>
      <c r="K409" s="57">
        <f t="shared" ref="K409" ca="1" si="535">$F403*AA412</f>
        <v>0</v>
      </c>
      <c r="L409" s="103"/>
      <c r="M409" s="81" t="s">
        <v>1194</v>
      </c>
      <c r="N409" s="57">
        <f ca="1">$N403*V413</f>
        <v>0</v>
      </c>
      <c r="O409" s="57">
        <f ca="1">$N403*W413</f>
        <v>0</v>
      </c>
      <c r="P409" s="57">
        <f t="shared" ref="P409" ca="1" si="536">$N403*X413</f>
        <v>0</v>
      </c>
      <c r="Q409" s="57">
        <f t="shared" ref="Q409" ca="1" si="537">$N403*Y413</f>
        <v>0</v>
      </c>
      <c r="R409" s="57">
        <f t="shared" ref="R409" ca="1" si="538">$N403*Z413</f>
        <v>0</v>
      </c>
      <c r="S409" s="57">
        <f t="shared" ref="S409" ca="1" si="539">$N403*AA413</f>
        <v>0</v>
      </c>
      <c r="U409" s="415" t="s">
        <v>1145</v>
      </c>
      <c r="V409" s="414">
        <f>IF($N406&gt;=V407,V407,N406)</f>
        <v>0</v>
      </c>
      <c r="W409" s="414">
        <f>IF(V410&gt;=W407,W407,V410)</f>
        <v>0</v>
      </c>
      <c r="X409" s="414">
        <f>IF(W410&gt;=X407,X407,W410)</f>
        <v>0</v>
      </c>
      <c r="Y409" s="414">
        <f>IF(X410&gt;=Y407,Y407,X410)</f>
        <v>0</v>
      </c>
      <c r="Z409" s="414">
        <f>IF(Y410&gt;=Z407,Z407,Y410)</f>
        <v>0</v>
      </c>
      <c r="AA409" s="414">
        <f>IF(Z410&gt;=AA407,AA407,Z410)</f>
        <v>0</v>
      </c>
    </row>
    <row r="410" spans="3:27" hidden="1" outlineLevel="1" x14ac:dyDescent="0.2">
      <c r="E410" s="81" t="s">
        <v>1195</v>
      </c>
      <c r="F410" s="115"/>
      <c r="G410" s="57">
        <f ca="1">$G403*V412</f>
        <v>0</v>
      </c>
      <c r="H410" s="57">
        <f t="shared" ref="H410" ca="1" si="540">$G403*W412</f>
        <v>0</v>
      </c>
      <c r="I410" s="57">
        <f t="shared" ref="I410" ca="1" si="541">$G403*X412</f>
        <v>0</v>
      </c>
      <c r="J410" s="57">
        <f t="shared" ref="J410" ca="1" si="542">$G403*Y412</f>
        <v>0</v>
      </c>
      <c r="K410" s="57">
        <f t="shared" ref="K410" ca="1" si="543">$G403*Z412</f>
        <v>0</v>
      </c>
      <c r="L410" s="103"/>
      <c r="M410" s="81" t="s">
        <v>1195</v>
      </c>
      <c r="N410" s="115"/>
      <c r="O410" s="57">
        <f ca="1">$O403*V413</f>
        <v>0</v>
      </c>
      <c r="P410" s="57">
        <f t="shared" ref="P410" ca="1" si="544">$O403*W413</f>
        <v>0</v>
      </c>
      <c r="Q410" s="57">
        <f t="shared" ref="Q410" ca="1" si="545">$O403*X413</f>
        <v>0</v>
      </c>
      <c r="R410" s="57">
        <f t="shared" ref="R410" ca="1" si="546">$O403*Y413</f>
        <v>0</v>
      </c>
      <c r="S410" s="57">
        <f t="shared" ref="S410" ca="1" si="547">$O403*Z413</f>
        <v>0</v>
      </c>
      <c r="U410" s="415" t="s">
        <v>1146</v>
      </c>
      <c r="V410" s="412">
        <f>$N406-V409</f>
        <v>0</v>
      </c>
      <c r="W410" s="412">
        <f>$N406-SUM($V409:W409)</f>
        <v>0</v>
      </c>
      <c r="X410" s="412">
        <f>$N406-SUM($V409:X409)</f>
        <v>0</v>
      </c>
      <c r="Y410" s="412">
        <f>$N406-SUM($V409:Y409)</f>
        <v>0</v>
      </c>
      <c r="Z410" s="412">
        <f>$N406-SUM($V409:Z409)</f>
        <v>0</v>
      </c>
      <c r="AA410" s="412">
        <f>$N406-SUM($V409:AA409)</f>
        <v>0</v>
      </c>
    </row>
    <row r="411" spans="3:27" hidden="1" outlineLevel="1" x14ac:dyDescent="0.2">
      <c r="E411" s="81" t="s">
        <v>1196</v>
      </c>
      <c r="F411" s="115"/>
      <c r="G411" s="115"/>
      <c r="H411" s="57">
        <f ca="1">$H403*V412</f>
        <v>0</v>
      </c>
      <c r="I411" s="57">
        <f t="shared" ref="I411" ca="1" si="548">$H403*W412</f>
        <v>0</v>
      </c>
      <c r="J411" s="57">
        <f t="shared" ref="J411" ca="1" si="549">$H403*X412</f>
        <v>0</v>
      </c>
      <c r="K411" s="57">
        <f t="shared" ref="K411" ca="1" si="550">$H403*Y412</f>
        <v>0</v>
      </c>
      <c r="L411" s="103"/>
      <c r="M411" s="81" t="s">
        <v>1196</v>
      </c>
      <c r="N411" s="115"/>
      <c r="O411" s="115"/>
      <c r="P411" s="57">
        <f ca="1">$P403*V413</f>
        <v>0</v>
      </c>
      <c r="Q411" s="57">
        <f t="shared" ref="Q411" ca="1" si="551">$P403*W413</f>
        <v>0</v>
      </c>
      <c r="R411" s="57">
        <f t="shared" ref="R411" ca="1" si="552">$P403*X413</f>
        <v>0</v>
      </c>
      <c r="S411" s="57">
        <f t="shared" ref="S411" ca="1" si="553">$P403*Y413</f>
        <v>0</v>
      </c>
      <c r="V411" s="416"/>
      <c r="AA411" s="378"/>
    </row>
    <row r="412" spans="3:27" hidden="1" outlineLevel="1" x14ac:dyDescent="0.2">
      <c r="E412" s="81" t="s">
        <v>1197</v>
      </c>
      <c r="F412" s="115"/>
      <c r="G412" s="115"/>
      <c r="H412" s="115"/>
      <c r="I412" s="57">
        <f ca="1">$I403*V412</f>
        <v>0</v>
      </c>
      <c r="J412" s="57">
        <f t="shared" ref="J412" ca="1" si="554">$I403*W412</f>
        <v>0</v>
      </c>
      <c r="K412" s="57">
        <f t="shared" ref="K412" ca="1" si="555">$I403*X412</f>
        <v>0</v>
      </c>
      <c r="L412" s="103"/>
      <c r="M412" s="81" t="s">
        <v>1197</v>
      </c>
      <c r="N412" s="115"/>
      <c r="O412" s="115"/>
      <c r="P412" s="115"/>
      <c r="Q412" s="57">
        <f ca="1">$Q403*V413</f>
        <v>0</v>
      </c>
      <c r="R412" s="57">
        <f t="shared" ref="R412" ca="1" si="556">$Q403*W413</f>
        <v>0</v>
      </c>
      <c r="S412" s="57">
        <f t="shared" ref="S412" ca="1" si="557">$Q403*X413</f>
        <v>0</v>
      </c>
      <c r="U412" s="413" t="s">
        <v>1143</v>
      </c>
      <c r="V412" s="417">
        <f t="shared" ref="V412:AA412" si="558">IFERROR(V406/$W415,0)</f>
        <v>0</v>
      </c>
      <c r="W412" s="417">
        <f t="shared" si="558"/>
        <v>0</v>
      </c>
      <c r="X412" s="417">
        <f t="shared" si="558"/>
        <v>0</v>
      </c>
      <c r="Y412" s="417">
        <f t="shared" si="558"/>
        <v>0</v>
      </c>
      <c r="Z412" s="417">
        <f t="shared" si="558"/>
        <v>0</v>
      </c>
      <c r="AA412" s="417">
        <f t="shared" si="558"/>
        <v>0</v>
      </c>
    </row>
    <row r="413" spans="3:27" hidden="1" outlineLevel="1" x14ac:dyDescent="0.2">
      <c r="E413" s="81" t="s">
        <v>1198</v>
      </c>
      <c r="F413" s="115"/>
      <c r="G413" s="115"/>
      <c r="H413" s="115"/>
      <c r="I413" s="115"/>
      <c r="J413" s="57">
        <f ca="1">$J403*V412</f>
        <v>0</v>
      </c>
      <c r="K413" s="57">
        <f ca="1">$J403*W412</f>
        <v>0</v>
      </c>
      <c r="L413" s="103"/>
      <c r="M413" s="81" t="s">
        <v>1198</v>
      </c>
      <c r="N413" s="115"/>
      <c r="O413" s="115"/>
      <c r="P413" s="115"/>
      <c r="Q413" s="115"/>
      <c r="R413" s="57">
        <f ca="1">$R403*V413</f>
        <v>0</v>
      </c>
      <c r="S413" s="57">
        <f ca="1">$R403*W413</f>
        <v>0</v>
      </c>
      <c r="U413" s="415" t="s">
        <v>1145</v>
      </c>
      <c r="V413" s="417">
        <f t="shared" ref="V413:AA413" si="559">IFERROR(V409/$W415,0)</f>
        <v>0</v>
      </c>
      <c r="W413" s="417">
        <f t="shared" si="559"/>
        <v>0</v>
      </c>
      <c r="X413" s="417">
        <f t="shared" si="559"/>
        <v>0</v>
      </c>
      <c r="Y413" s="417">
        <f t="shared" si="559"/>
        <v>0</v>
      </c>
      <c r="Z413" s="417">
        <f t="shared" si="559"/>
        <v>0</v>
      </c>
      <c r="AA413" s="417">
        <f t="shared" si="559"/>
        <v>0</v>
      </c>
    </row>
    <row r="414" spans="3:27" hidden="1" outlineLevel="1" x14ac:dyDescent="0.2">
      <c r="E414" s="81" t="s">
        <v>1199</v>
      </c>
      <c r="F414" s="115"/>
      <c r="G414" s="115"/>
      <c r="H414" s="115"/>
      <c r="I414" s="115"/>
      <c r="J414" s="115"/>
      <c r="K414" s="57">
        <f ca="1">$K403*V412</f>
        <v>0</v>
      </c>
      <c r="L414" s="103"/>
      <c r="M414" s="81" t="s">
        <v>1199</v>
      </c>
      <c r="N414" s="115"/>
      <c r="O414" s="115"/>
      <c r="P414" s="115"/>
      <c r="Q414" s="115"/>
      <c r="R414" s="115"/>
      <c r="S414" s="57">
        <f ca="1">$S403*V413</f>
        <v>0</v>
      </c>
    </row>
    <row r="415" spans="3:27" hidden="1" outlineLevel="1" x14ac:dyDescent="0.2">
      <c r="E415" s="420" t="str">
        <f>TxPhase1PxUnitsTx</f>
        <v/>
      </c>
      <c r="F415" s="421">
        <f ca="1">IF(F406&lt;&gt;"",SUM(F409:F414),F403)</f>
        <v>0</v>
      </c>
      <c r="G415" s="421">
        <f ca="1">IF(F406&lt;&gt;"",SUM(G409:G414),G403)</f>
        <v>0</v>
      </c>
      <c r="H415" s="421">
        <f ca="1">IF(F406&lt;&gt;"",SUM(H409:H414),H403)</f>
        <v>0</v>
      </c>
      <c r="I415" s="421">
        <f ca="1">IF(F406&lt;&gt;"",SUM(I409:I414),I403)</f>
        <v>0</v>
      </c>
      <c r="J415" s="421">
        <f ca="1">IF(F406&lt;&gt;"",SUM(J409:J414),J403)</f>
        <v>0</v>
      </c>
      <c r="K415" s="421">
        <f ca="1">IF(F406&lt;&gt;"",SUM(K409:K414),K403)</f>
        <v>0</v>
      </c>
      <c r="L415" s="103"/>
      <c r="M415" s="420" t="str">
        <f>TxPhase2PxUnitsTx</f>
        <v/>
      </c>
      <c r="N415" s="421">
        <f ca="1">IF(N406&lt;&gt;"",SUM(N409:N414),N403)</f>
        <v>0</v>
      </c>
      <c r="O415" s="421">
        <f ca="1">IF(N406&lt;&gt;"",SUM(O409:O414),O403)</f>
        <v>0</v>
      </c>
      <c r="P415" s="421">
        <f ca="1">IF(N406&lt;&gt;"",SUM(P409:P414),P403)</f>
        <v>0</v>
      </c>
      <c r="Q415" s="421">
        <f ca="1">IF(N406&lt;&gt;"",SUM(Q409:Q414),Q403)</f>
        <v>0</v>
      </c>
      <c r="R415" s="421">
        <f ca="1">IF(N406&lt;&gt;"",SUM(R409:R414),R403)</f>
        <v>0</v>
      </c>
      <c r="S415" s="421">
        <f ca="1">IF(N406&lt;&gt;"",SUM(S409:S414),S403)</f>
        <v>0</v>
      </c>
      <c r="U415" s="415" t="s">
        <v>1148</v>
      </c>
      <c r="V415" s="412">
        <f>IFERROR(VLOOKUP(G406,TimeUnitCode,2,FALSE),0)</f>
        <v>0</v>
      </c>
      <c r="W415" s="412">
        <f>IFERROR(INDEX(TimeUnitCount,V415,2),0)</f>
        <v>0</v>
      </c>
    </row>
    <row r="416" spans="3:27" hidden="1" outlineLevel="1" x14ac:dyDescent="0.2"/>
    <row r="417" spans="2:27" collapsed="1" x14ac:dyDescent="0.2"/>
    <row r="418" spans="2:27" ht="15.75" x14ac:dyDescent="0.2">
      <c r="B418" s="246">
        <f>IF(F428+N428&gt;12,1,0)</f>
        <v>0</v>
      </c>
      <c r="C418" s="246">
        <f ca="1">IFERROR(INDEX(PxTxPhase1,$D423,7),0)</f>
        <v>0</v>
      </c>
      <c r="D418" s="396">
        <v>19</v>
      </c>
      <c r="E418" s="72" t="str">
        <f>IF(F422&lt;&gt;"",CONCATENATE("DTG ",D418,": ",H422,": ",N418),MsgNotUsed)</f>
        <v>** NOT USED **</v>
      </c>
      <c r="F418" s="116"/>
      <c r="G418" s="116"/>
      <c r="H418" s="116"/>
      <c r="I418" s="116"/>
      <c r="J418" s="118"/>
      <c r="K418" s="118"/>
      <c r="L418" s="118"/>
      <c r="M418" s="266"/>
      <c r="N418" s="445" t="str">
        <f>IF(AND(F428="",N428=""),"Full year",IF(AND(F428&lt;&gt;"",N428=""),CONCATENATE(F428," ",G428),IF(AND(F428="",N428&lt;&gt;""),CONCATENATE(N428," ",G428),CONCATENATE(F428," + ",N428," ",G428))))</f>
        <v>Full year</v>
      </c>
      <c r="O418" s="266"/>
      <c r="P418" s="266"/>
      <c r="Q418" s="266"/>
      <c r="R418" s="266"/>
      <c r="S418" s="266"/>
      <c r="T418" s="266"/>
      <c r="U418" s="266"/>
      <c r="V418" s="266"/>
      <c r="W418" s="266"/>
      <c r="X418" s="266"/>
      <c r="Y418" s="266"/>
      <c r="Z418" s="266"/>
      <c r="AA418" s="266"/>
    </row>
    <row r="419" spans="2:27" hidden="1" outlineLevel="1" x14ac:dyDescent="0.2">
      <c r="F419" s="319">
        <v>1</v>
      </c>
      <c r="G419" s="319">
        <v>2</v>
      </c>
      <c r="H419" s="319">
        <v>3</v>
      </c>
      <c r="I419" s="319">
        <v>4</v>
      </c>
      <c r="J419" s="319">
        <v>5</v>
      </c>
      <c r="K419" s="319">
        <v>6</v>
      </c>
      <c r="N419" s="319">
        <v>1</v>
      </c>
      <c r="O419" s="319">
        <v>2</v>
      </c>
      <c r="P419" s="319">
        <v>3</v>
      </c>
      <c r="Q419" s="319">
        <v>4</v>
      </c>
      <c r="R419" s="319">
        <v>5</v>
      </c>
      <c r="S419" s="319">
        <v>6</v>
      </c>
    </row>
    <row r="420" spans="2:27" hidden="1" outlineLevel="1" x14ac:dyDescent="0.2">
      <c r="C420" s="103"/>
      <c r="D420" s="103"/>
      <c r="E420" t="s">
        <v>1193</v>
      </c>
    </row>
    <row r="421" spans="2:27" hidden="1" outlineLevel="1" x14ac:dyDescent="0.2">
      <c r="C421" s="103"/>
      <c r="D421" s="103"/>
      <c r="E421" s="260"/>
    </row>
    <row r="422" spans="2:27" hidden="1" outlineLevel="1" x14ac:dyDescent="0.2">
      <c r="C422" s="246">
        <f>IF(F422&lt;&gt;"",MATCH(F422,PxTxSource,0)-1,0)</f>
        <v>0</v>
      </c>
      <c r="D422" s="246">
        <f ca="1">IF(H422&lt;&gt;"",MATCH(H422,OFFSET(References!$AE$23,0,C422,PxPopMaxCount),0),0)</f>
        <v>0</v>
      </c>
      <c r="E422" s="8" t="s">
        <v>110</v>
      </c>
      <c r="F422" s="230"/>
      <c r="H422" s="580"/>
      <c r="I422" s="581"/>
      <c r="J422" s="581"/>
      <c r="K422" s="581"/>
      <c r="M422" s="217"/>
      <c r="N422" s="542" t="str">
        <f ca="1">IF(ISERROR($D423)=TRUE,MsgError &amp; VLOOKUP("BadPop",ErrorMessages,2,FALSE),"")</f>
        <v/>
      </c>
      <c r="O422" s="542"/>
      <c r="P422" s="542"/>
      <c r="Q422" s="542"/>
      <c r="R422" s="542"/>
      <c r="S422" s="542"/>
    </row>
    <row r="423" spans="2:27" hidden="1" outlineLevel="1" x14ac:dyDescent="0.2">
      <c r="C423" s="246">
        <f>INDEX(PxTxValid,,C422+1)</f>
        <v>1</v>
      </c>
      <c r="D423" s="246" t="str">
        <f ca="1">IF(AND(C422=0,D422=0),"",(C422*PxPopMaxCount)+D422)</f>
        <v/>
      </c>
      <c r="E423" s="103"/>
    </row>
    <row r="424" spans="2:27" hidden="1" outlineLevel="1" x14ac:dyDescent="0.2">
      <c r="E424" s="357"/>
      <c r="F424" s="74">
        <f>FirstYear</f>
        <v>2026</v>
      </c>
      <c r="G424" s="74">
        <f>F424+1</f>
        <v>2027</v>
      </c>
      <c r="H424" s="74">
        <f>G424+1</f>
        <v>2028</v>
      </c>
      <c r="I424" s="74">
        <f>H424+1</f>
        <v>2029</v>
      </c>
      <c r="J424" s="74">
        <f>I424+1</f>
        <v>2030</v>
      </c>
      <c r="K424" s="74">
        <f>J424+1</f>
        <v>2031</v>
      </c>
      <c r="L424" s="103"/>
      <c r="N424" s="74">
        <f>FirstYear</f>
        <v>2026</v>
      </c>
      <c r="O424" s="74">
        <f>N424+1</f>
        <v>2027</v>
      </c>
      <c r="P424" s="74">
        <f>O424+1</f>
        <v>2028</v>
      </c>
      <c r="Q424" s="74">
        <f>P424+1</f>
        <v>2029</v>
      </c>
      <c r="R424" s="74">
        <f>Q424+1</f>
        <v>2030</v>
      </c>
      <c r="S424" s="74">
        <f>R424+1</f>
        <v>2031</v>
      </c>
    </row>
    <row r="425" spans="2:27" hidden="1" outlineLevel="1" x14ac:dyDescent="0.2">
      <c r="E425" s="53" t="str">
        <f>TxPhase1Px</f>
        <v/>
      </c>
      <c r="F425" s="27">
        <f t="shared" ref="F425:K425" ca="1" si="560">IFERROR(INDEX(PxTxPhase1,$D423,F419),0)</f>
        <v>0</v>
      </c>
      <c r="G425" s="27">
        <f t="shared" ca="1" si="560"/>
        <v>0</v>
      </c>
      <c r="H425" s="27">
        <f t="shared" ca="1" si="560"/>
        <v>0</v>
      </c>
      <c r="I425" s="27">
        <f t="shared" ca="1" si="560"/>
        <v>0</v>
      </c>
      <c r="J425" s="27">
        <f t="shared" ca="1" si="560"/>
        <v>0</v>
      </c>
      <c r="K425" s="27">
        <f t="shared" ca="1" si="560"/>
        <v>0</v>
      </c>
      <c r="L425" s="103"/>
      <c r="M425" s="53" t="str">
        <f>TxPhase2Px</f>
        <v/>
      </c>
      <c r="N425" s="27">
        <f t="shared" ref="N425:S425" ca="1" si="561">IFERROR(INDEX(PxTxPhase2,$D423,N419),0)</f>
        <v>0</v>
      </c>
      <c r="O425" s="27">
        <f t="shared" ca="1" si="561"/>
        <v>0</v>
      </c>
      <c r="P425" s="27">
        <f t="shared" ca="1" si="561"/>
        <v>0</v>
      </c>
      <c r="Q425" s="27">
        <f t="shared" ca="1" si="561"/>
        <v>0</v>
      </c>
      <c r="R425" s="27">
        <f t="shared" ca="1" si="561"/>
        <v>0</v>
      </c>
      <c r="S425" s="27">
        <f t="shared" ca="1" si="561"/>
        <v>0</v>
      </c>
    </row>
    <row r="426" spans="2:27" hidden="1" outlineLevel="1" x14ac:dyDescent="0.2">
      <c r="L426" s="103"/>
    </row>
    <row r="427" spans="2:27" hidden="1" outlineLevel="1" x14ac:dyDescent="0.2">
      <c r="E427" s="103"/>
      <c r="F427" s="103"/>
      <c r="G427" s="103"/>
      <c r="H427" s="103"/>
      <c r="I427" s="103"/>
      <c r="J427" s="103"/>
      <c r="K427" s="103"/>
      <c r="L427" s="103"/>
      <c r="M427" s="103"/>
      <c r="U427" s="411"/>
      <c r="V427" s="412">
        <f>$W437*1</f>
        <v>0</v>
      </c>
      <c r="W427" s="412">
        <f>$W437*2</f>
        <v>0</v>
      </c>
      <c r="X427" s="412">
        <f>$W437*3</f>
        <v>0</v>
      </c>
      <c r="Y427" s="412">
        <f>$W437*4</f>
        <v>0</v>
      </c>
      <c r="Z427" s="412">
        <f>$W437*5</f>
        <v>0</v>
      </c>
      <c r="AA427" s="412">
        <f>$W437*6</f>
        <v>0</v>
      </c>
    </row>
    <row r="428" spans="2:27" hidden="1" outlineLevel="1" x14ac:dyDescent="0.2">
      <c r="E428" s="82" t="s">
        <v>1147</v>
      </c>
      <c r="F428" s="390"/>
      <c r="G428" s="227"/>
      <c r="H428" s="378"/>
      <c r="I428" s="378"/>
      <c r="J428" s="378"/>
      <c r="K428" s="378"/>
      <c r="L428" s="103"/>
      <c r="M428" s="82" t="s">
        <v>1147</v>
      </c>
      <c r="N428" s="390"/>
      <c r="O428" s="418" t="str">
        <f>IF(G428&lt;&gt;"",G428,"")</f>
        <v/>
      </c>
      <c r="P428" s="378"/>
      <c r="Q428" s="378"/>
      <c r="R428" s="378"/>
      <c r="S428" s="378"/>
      <c r="U428" s="413" t="s">
        <v>1143</v>
      </c>
      <c r="V428" s="414">
        <f>IF($F428&gt;=V427,$W437,IF($F428&gt;0,$F428,0))</f>
        <v>0</v>
      </c>
      <c r="W428" s="414">
        <f>IF($F428&gt;=W427,$W$41,IF($F428&gt;V427,($F428-V427),0))</f>
        <v>0</v>
      </c>
      <c r="X428" s="414">
        <f>IF($F428&gt;=X427,$W$41,IF($F428&gt;W427,($F428-W427),0))</f>
        <v>0</v>
      </c>
      <c r="Y428" s="414">
        <f>IF($F428&gt;=Y427,$W$41,IF($F428&gt;X427,($F428-X427),0))</f>
        <v>0</v>
      </c>
      <c r="Z428" s="414">
        <f>IF($F428&gt;=Z427,$W$41,IF($F428&gt;Y427,($F428-Y427),0))</f>
        <v>0</v>
      </c>
      <c r="AA428" s="414">
        <f>IF($F428&gt;=AA427,$W$41,IF($F428&gt;Z427,($F428-Z427),0))</f>
        <v>0</v>
      </c>
    </row>
    <row r="429" spans="2:27" hidden="1" outlineLevel="1" x14ac:dyDescent="0.2">
      <c r="L429" s="103"/>
      <c r="M429" s="437"/>
      <c r="N429" s="438"/>
      <c r="O429" s="438"/>
      <c r="P429" s="438"/>
      <c r="Q429" s="438"/>
      <c r="R429" s="438"/>
      <c r="S429" s="438"/>
      <c r="U429" s="415" t="s">
        <v>1144</v>
      </c>
      <c r="V429" s="412">
        <f t="shared" ref="V429:AA429" si="562">IF(V428&gt;0,$W437-V428,$W437)</f>
        <v>0</v>
      </c>
      <c r="W429" s="412">
        <f t="shared" si="562"/>
        <v>0</v>
      </c>
      <c r="X429" s="412">
        <f t="shared" si="562"/>
        <v>0</v>
      </c>
      <c r="Y429" s="412">
        <f t="shared" si="562"/>
        <v>0</v>
      </c>
      <c r="Z429" s="412">
        <f t="shared" si="562"/>
        <v>0</v>
      </c>
      <c r="AA429" s="412">
        <f t="shared" si="562"/>
        <v>0</v>
      </c>
    </row>
    <row r="430" spans="2:27" hidden="1" outlineLevel="1" x14ac:dyDescent="0.2">
      <c r="E430" s="437" t="str">
        <f>E425</f>
        <v/>
      </c>
      <c r="F430" s="419"/>
      <c r="G430" s="419"/>
      <c r="H430" s="419"/>
      <c r="I430" s="419"/>
      <c r="J430" s="419"/>
      <c r="K430" s="419"/>
      <c r="L430" s="103"/>
      <c r="M430" s="437" t="str">
        <f>M425</f>
        <v/>
      </c>
      <c r="N430" s="439"/>
      <c r="O430" s="440"/>
      <c r="P430" s="440"/>
      <c r="Q430" s="440"/>
      <c r="R430" s="440"/>
      <c r="S430" s="440"/>
      <c r="U430" s="378"/>
      <c r="V430" s="378"/>
      <c r="W430" s="378"/>
      <c r="X430" s="378"/>
      <c r="Y430" s="378"/>
      <c r="Z430" s="378"/>
      <c r="AA430" s="378"/>
    </row>
    <row r="431" spans="2:27" hidden="1" outlineLevel="1" x14ac:dyDescent="0.2">
      <c r="E431" s="81" t="s">
        <v>1194</v>
      </c>
      <c r="F431" s="57">
        <f ca="1">$F425*V434</f>
        <v>0</v>
      </c>
      <c r="G431" s="57">
        <f t="shared" ref="G431" ca="1" si="563">$F425*W434</f>
        <v>0</v>
      </c>
      <c r="H431" s="57">
        <f t="shared" ref="H431" ca="1" si="564">$F425*X434</f>
        <v>0</v>
      </c>
      <c r="I431" s="57">
        <f t="shared" ref="I431" ca="1" si="565">$F425*Y434</f>
        <v>0</v>
      </c>
      <c r="J431" s="57">
        <f t="shared" ref="J431" ca="1" si="566">$F425*Z434</f>
        <v>0</v>
      </c>
      <c r="K431" s="57">
        <f t="shared" ref="K431" ca="1" si="567">$F425*AA434</f>
        <v>0</v>
      </c>
      <c r="L431" s="103"/>
      <c r="M431" s="81" t="s">
        <v>1194</v>
      </c>
      <c r="N431" s="57">
        <f ca="1">$N425*V435</f>
        <v>0</v>
      </c>
      <c r="O431" s="57">
        <f ca="1">$N425*W435</f>
        <v>0</v>
      </c>
      <c r="P431" s="57">
        <f t="shared" ref="P431" ca="1" si="568">$N425*X435</f>
        <v>0</v>
      </c>
      <c r="Q431" s="57">
        <f t="shared" ref="Q431" ca="1" si="569">$N425*Y435</f>
        <v>0</v>
      </c>
      <c r="R431" s="57">
        <f t="shared" ref="R431" ca="1" si="570">$N425*Z435</f>
        <v>0</v>
      </c>
      <c r="S431" s="57">
        <f t="shared" ref="S431" ca="1" si="571">$N425*AA435</f>
        <v>0</v>
      </c>
      <c r="U431" s="415" t="s">
        <v>1145</v>
      </c>
      <c r="V431" s="414">
        <f>IF($N428&gt;=V429,V429,N428)</f>
        <v>0</v>
      </c>
      <c r="W431" s="414">
        <f>IF(V432&gt;=W429,W429,V432)</f>
        <v>0</v>
      </c>
      <c r="X431" s="414">
        <f>IF(W432&gt;=X429,X429,W432)</f>
        <v>0</v>
      </c>
      <c r="Y431" s="414">
        <f>IF(X432&gt;=Y429,Y429,X432)</f>
        <v>0</v>
      </c>
      <c r="Z431" s="414">
        <f>IF(Y432&gt;=Z429,Z429,Y432)</f>
        <v>0</v>
      </c>
      <c r="AA431" s="414">
        <f>IF(Z432&gt;=AA429,AA429,Z432)</f>
        <v>0</v>
      </c>
    </row>
    <row r="432" spans="2:27" hidden="1" outlineLevel="1" x14ac:dyDescent="0.2">
      <c r="E432" s="81" t="s">
        <v>1195</v>
      </c>
      <c r="F432" s="115"/>
      <c r="G432" s="57">
        <f ca="1">$G425*V434</f>
        <v>0</v>
      </c>
      <c r="H432" s="57">
        <f t="shared" ref="H432" ca="1" si="572">$G425*W434</f>
        <v>0</v>
      </c>
      <c r="I432" s="57">
        <f t="shared" ref="I432" ca="1" si="573">$G425*X434</f>
        <v>0</v>
      </c>
      <c r="J432" s="57">
        <f t="shared" ref="J432" ca="1" si="574">$G425*Y434</f>
        <v>0</v>
      </c>
      <c r="K432" s="57">
        <f t="shared" ref="K432" ca="1" si="575">$G425*Z434</f>
        <v>0</v>
      </c>
      <c r="L432" s="103"/>
      <c r="M432" s="81" t="s">
        <v>1195</v>
      </c>
      <c r="N432" s="115"/>
      <c r="O432" s="57">
        <f ca="1">$O425*V435</f>
        <v>0</v>
      </c>
      <c r="P432" s="57">
        <f t="shared" ref="P432" ca="1" si="576">$O425*W435</f>
        <v>0</v>
      </c>
      <c r="Q432" s="57">
        <f t="shared" ref="Q432" ca="1" si="577">$O425*X435</f>
        <v>0</v>
      </c>
      <c r="R432" s="57">
        <f t="shared" ref="R432" ca="1" si="578">$O425*Y435</f>
        <v>0</v>
      </c>
      <c r="S432" s="57">
        <f t="shared" ref="S432" ca="1" si="579">$O425*Z435</f>
        <v>0</v>
      </c>
      <c r="U432" s="415" t="s">
        <v>1146</v>
      </c>
      <c r="V432" s="412">
        <f>$N428-V431</f>
        <v>0</v>
      </c>
      <c r="W432" s="412">
        <f>$N428-SUM($V431:W431)</f>
        <v>0</v>
      </c>
      <c r="X432" s="412">
        <f>$N428-SUM($V431:X431)</f>
        <v>0</v>
      </c>
      <c r="Y432" s="412">
        <f>$N428-SUM($V431:Y431)</f>
        <v>0</v>
      </c>
      <c r="Z432" s="412">
        <f>$N428-SUM($V431:Z431)</f>
        <v>0</v>
      </c>
      <c r="AA432" s="412">
        <f>$N428-SUM($V431:AA431)</f>
        <v>0</v>
      </c>
    </row>
    <row r="433" spans="2:27" hidden="1" outlineLevel="1" x14ac:dyDescent="0.2">
      <c r="E433" s="81" t="s">
        <v>1196</v>
      </c>
      <c r="F433" s="115"/>
      <c r="G433" s="115"/>
      <c r="H433" s="57">
        <f ca="1">$H425*V434</f>
        <v>0</v>
      </c>
      <c r="I433" s="57">
        <f t="shared" ref="I433" ca="1" si="580">$H425*W434</f>
        <v>0</v>
      </c>
      <c r="J433" s="57">
        <f t="shared" ref="J433" ca="1" si="581">$H425*X434</f>
        <v>0</v>
      </c>
      <c r="K433" s="57">
        <f t="shared" ref="K433" ca="1" si="582">$H425*Y434</f>
        <v>0</v>
      </c>
      <c r="L433" s="103"/>
      <c r="M433" s="81" t="s">
        <v>1196</v>
      </c>
      <c r="N433" s="115"/>
      <c r="O433" s="115"/>
      <c r="P433" s="57">
        <f ca="1">$P425*V435</f>
        <v>0</v>
      </c>
      <c r="Q433" s="57">
        <f t="shared" ref="Q433" ca="1" si="583">$P425*W435</f>
        <v>0</v>
      </c>
      <c r="R433" s="57">
        <f t="shared" ref="R433" ca="1" si="584">$P425*X435</f>
        <v>0</v>
      </c>
      <c r="S433" s="57">
        <f t="shared" ref="S433" ca="1" si="585">$P425*Y435</f>
        <v>0</v>
      </c>
      <c r="V433" s="416"/>
      <c r="AA433" s="378"/>
    </row>
    <row r="434" spans="2:27" hidden="1" outlineLevel="1" x14ac:dyDescent="0.2">
      <c r="E434" s="81" t="s">
        <v>1197</v>
      </c>
      <c r="F434" s="115"/>
      <c r="G434" s="115"/>
      <c r="H434" s="115"/>
      <c r="I434" s="57">
        <f ca="1">$I425*V434</f>
        <v>0</v>
      </c>
      <c r="J434" s="57">
        <f t="shared" ref="J434" ca="1" si="586">$I425*W434</f>
        <v>0</v>
      </c>
      <c r="K434" s="57">
        <f t="shared" ref="K434" ca="1" si="587">$I425*X434</f>
        <v>0</v>
      </c>
      <c r="L434" s="103"/>
      <c r="M434" s="81" t="s">
        <v>1197</v>
      </c>
      <c r="N434" s="115"/>
      <c r="O434" s="115"/>
      <c r="P434" s="115"/>
      <c r="Q434" s="57">
        <f ca="1">$Q425*V435</f>
        <v>0</v>
      </c>
      <c r="R434" s="57">
        <f t="shared" ref="R434" ca="1" si="588">$Q425*W435</f>
        <v>0</v>
      </c>
      <c r="S434" s="57">
        <f t="shared" ref="S434" ca="1" si="589">$Q425*X435</f>
        <v>0</v>
      </c>
      <c r="U434" s="413" t="s">
        <v>1143</v>
      </c>
      <c r="V434" s="417">
        <f t="shared" ref="V434:AA434" si="590">IFERROR(V428/$W437,0)</f>
        <v>0</v>
      </c>
      <c r="W434" s="417">
        <f t="shared" si="590"/>
        <v>0</v>
      </c>
      <c r="X434" s="417">
        <f t="shared" si="590"/>
        <v>0</v>
      </c>
      <c r="Y434" s="417">
        <f t="shared" si="590"/>
        <v>0</v>
      </c>
      <c r="Z434" s="417">
        <f t="shared" si="590"/>
        <v>0</v>
      </c>
      <c r="AA434" s="417">
        <f t="shared" si="590"/>
        <v>0</v>
      </c>
    </row>
    <row r="435" spans="2:27" hidden="1" outlineLevel="1" x14ac:dyDescent="0.2">
      <c r="E435" s="81" t="s">
        <v>1198</v>
      </c>
      <c r="F435" s="115"/>
      <c r="G435" s="115"/>
      <c r="H435" s="115"/>
      <c r="I435" s="115"/>
      <c r="J435" s="57">
        <f ca="1">$J425*V434</f>
        <v>0</v>
      </c>
      <c r="K435" s="57">
        <f ca="1">$J425*W434</f>
        <v>0</v>
      </c>
      <c r="L435" s="103"/>
      <c r="M435" s="81" t="s">
        <v>1198</v>
      </c>
      <c r="N435" s="115"/>
      <c r="O435" s="115"/>
      <c r="P435" s="115"/>
      <c r="Q435" s="115"/>
      <c r="R435" s="57">
        <f ca="1">$R425*V435</f>
        <v>0</v>
      </c>
      <c r="S435" s="57">
        <f ca="1">$R425*W435</f>
        <v>0</v>
      </c>
      <c r="U435" s="415" t="s">
        <v>1145</v>
      </c>
      <c r="V435" s="417">
        <f t="shared" ref="V435:AA435" si="591">IFERROR(V431/$W437,0)</f>
        <v>0</v>
      </c>
      <c r="W435" s="417">
        <f t="shared" si="591"/>
        <v>0</v>
      </c>
      <c r="X435" s="417">
        <f t="shared" si="591"/>
        <v>0</v>
      </c>
      <c r="Y435" s="417">
        <f t="shared" si="591"/>
        <v>0</v>
      </c>
      <c r="Z435" s="417">
        <f t="shared" si="591"/>
        <v>0</v>
      </c>
      <c r="AA435" s="417">
        <f t="shared" si="591"/>
        <v>0</v>
      </c>
    </row>
    <row r="436" spans="2:27" hidden="1" outlineLevel="1" x14ac:dyDescent="0.2">
      <c r="E436" s="81" t="s">
        <v>1199</v>
      </c>
      <c r="F436" s="115"/>
      <c r="G436" s="115"/>
      <c r="H436" s="115"/>
      <c r="I436" s="115"/>
      <c r="J436" s="115"/>
      <c r="K436" s="57">
        <f ca="1">$K425*V434</f>
        <v>0</v>
      </c>
      <c r="L436" s="103"/>
      <c r="M436" s="81" t="s">
        <v>1199</v>
      </c>
      <c r="N436" s="115"/>
      <c r="O436" s="115"/>
      <c r="P436" s="115"/>
      <c r="Q436" s="115"/>
      <c r="R436" s="115"/>
      <c r="S436" s="57">
        <f ca="1">$S425*V435</f>
        <v>0</v>
      </c>
    </row>
    <row r="437" spans="2:27" hidden="1" outlineLevel="1" x14ac:dyDescent="0.2">
      <c r="E437" s="420" t="str">
        <f>TxPhase1PxUnitsTx</f>
        <v/>
      </c>
      <c r="F437" s="421">
        <f ca="1">IF(F428&lt;&gt;"",SUM(F431:F436),F425)</f>
        <v>0</v>
      </c>
      <c r="G437" s="421">
        <f ca="1">IF(F428&lt;&gt;"",SUM(G431:G436),G425)</f>
        <v>0</v>
      </c>
      <c r="H437" s="421">
        <f ca="1">IF(F428&lt;&gt;"",SUM(H431:H436),H425)</f>
        <v>0</v>
      </c>
      <c r="I437" s="421">
        <f ca="1">IF(F428&lt;&gt;"",SUM(I431:I436),I425)</f>
        <v>0</v>
      </c>
      <c r="J437" s="421">
        <f ca="1">IF(F428&lt;&gt;"",SUM(J431:J436),J425)</f>
        <v>0</v>
      </c>
      <c r="K437" s="421">
        <f ca="1">IF(F428&lt;&gt;"",SUM(K431:K436),K425)</f>
        <v>0</v>
      </c>
      <c r="L437" s="103"/>
      <c r="M437" s="420" t="str">
        <f>TxPhase2PxUnitsTx</f>
        <v/>
      </c>
      <c r="N437" s="421">
        <f ca="1">IF(N428&lt;&gt;"",SUM(N431:N436),N425)</f>
        <v>0</v>
      </c>
      <c r="O437" s="421">
        <f ca="1">IF(N428&lt;&gt;"",SUM(O431:O436),O425)</f>
        <v>0</v>
      </c>
      <c r="P437" s="421">
        <f ca="1">IF(N428&lt;&gt;"",SUM(P431:P436),P425)</f>
        <v>0</v>
      </c>
      <c r="Q437" s="421">
        <f ca="1">IF(N428&lt;&gt;"",SUM(Q431:Q436),Q425)</f>
        <v>0</v>
      </c>
      <c r="R437" s="421">
        <f ca="1">IF(N428&lt;&gt;"",SUM(R431:R436),R425)</f>
        <v>0</v>
      </c>
      <c r="S437" s="421">
        <f ca="1">IF(N428&lt;&gt;"",SUM(S431:S436),S425)</f>
        <v>0</v>
      </c>
      <c r="U437" s="415" t="s">
        <v>1148</v>
      </c>
      <c r="V437" s="412">
        <f>IFERROR(VLOOKUP(G428,TimeUnitCode,2,FALSE),0)</f>
        <v>0</v>
      </c>
      <c r="W437" s="412">
        <f>IFERROR(INDEX(TimeUnitCount,V437,2),0)</f>
        <v>0</v>
      </c>
    </row>
    <row r="438" spans="2:27" hidden="1" outlineLevel="1" x14ac:dyDescent="0.2"/>
    <row r="439" spans="2:27" collapsed="1" x14ac:dyDescent="0.2"/>
    <row r="440" spans="2:27" ht="15.75" x14ac:dyDescent="0.2">
      <c r="B440" s="246">
        <f>IF(F450+N450&gt;12,1,0)</f>
        <v>0</v>
      </c>
      <c r="C440" s="246">
        <f ca="1">IFERROR(INDEX(PxTxPhase1,$D445,7),0)</f>
        <v>0</v>
      </c>
      <c r="D440" s="396">
        <v>20</v>
      </c>
      <c r="E440" s="72" t="str">
        <f>IF(F444&lt;&gt;"",CONCATENATE("DTG ",D440,": ",H444,": ",N440),MsgNotUsed)</f>
        <v>** NOT USED **</v>
      </c>
      <c r="F440" s="116"/>
      <c r="G440" s="116"/>
      <c r="H440" s="116"/>
      <c r="I440" s="116"/>
      <c r="J440" s="118"/>
      <c r="K440" s="118"/>
      <c r="L440" s="118"/>
      <c r="M440" s="266"/>
      <c r="N440" s="445" t="str">
        <f>IF(AND(F450="",N450=""),"Full year",IF(AND(F450&lt;&gt;"",N450=""),CONCATENATE(F450," ",G450),IF(AND(F450="",N450&lt;&gt;""),CONCATENATE(N450," ",G450),CONCATENATE(F450," + ",N450," ",G450))))</f>
        <v>Full year</v>
      </c>
      <c r="O440" s="266"/>
      <c r="P440" s="266"/>
      <c r="Q440" s="266"/>
      <c r="R440" s="266"/>
      <c r="S440" s="266"/>
      <c r="T440" s="266"/>
      <c r="U440" s="266"/>
      <c r="V440" s="266"/>
      <c r="W440" s="266"/>
      <c r="X440" s="266"/>
      <c r="Y440" s="266"/>
      <c r="Z440" s="266"/>
      <c r="AA440" s="266"/>
    </row>
    <row r="441" spans="2:27" hidden="1" outlineLevel="1" x14ac:dyDescent="0.2">
      <c r="F441" s="319">
        <v>1</v>
      </c>
      <c r="G441" s="319">
        <v>2</v>
      </c>
      <c r="H441" s="319">
        <v>3</v>
      </c>
      <c r="I441" s="319">
        <v>4</v>
      </c>
      <c r="J441" s="319">
        <v>5</v>
      </c>
      <c r="K441" s="319">
        <v>6</v>
      </c>
      <c r="N441" s="319">
        <v>1</v>
      </c>
      <c r="O441" s="319">
        <v>2</v>
      </c>
      <c r="P441" s="319">
        <v>3</v>
      </c>
      <c r="Q441" s="319">
        <v>4</v>
      </c>
      <c r="R441" s="319">
        <v>5</v>
      </c>
      <c r="S441" s="319">
        <v>6</v>
      </c>
    </row>
    <row r="442" spans="2:27" hidden="1" outlineLevel="1" x14ac:dyDescent="0.2">
      <c r="C442" s="103"/>
      <c r="D442" s="103"/>
      <c r="E442" t="s">
        <v>1193</v>
      </c>
    </row>
    <row r="443" spans="2:27" hidden="1" outlineLevel="1" x14ac:dyDescent="0.2">
      <c r="C443" s="103"/>
      <c r="D443" s="103"/>
      <c r="E443" s="260"/>
    </row>
    <row r="444" spans="2:27" hidden="1" outlineLevel="1" x14ac:dyDescent="0.2">
      <c r="C444" s="246">
        <f>IF(F444&lt;&gt;"",MATCH(F444,PxTxSource,0)-1,0)</f>
        <v>0</v>
      </c>
      <c r="D444" s="246">
        <f ca="1">IF(H444&lt;&gt;"",MATCH(H444,OFFSET(References!$AE$23,0,C444,PxPopMaxCount),0),0)</f>
        <v>0</v>
      </c>
      <c r="E444" s="8" t="s">
        <v>110</v>
      </c>
      <c r="F444" s="230"/>
      <c r="H444" s="580"/>
      <c r="I444" s="581"/>
      <c r="J444" s="581"/>
      <c r="K444" s="581"/>
      <c r="M444" s="217"/>
      <c r="N444" s="542" t="str">
        <f ca="1">IF(ISERROR($D445)=TRUE,MsgError &amp; VLOOKUP("BadPop",ErrorMessages,2,FALSE),"")</f>
        <v/>
      </c>
      <c r="O444" s="542"/>
      <c r="P444" s="542"/>
      <c r="Q444" s="542"/>
      <c r="R444" s="542"/>
      <c r="S444" s="542"/>
    </row>
    <row r="445" spans="2:27" hidden="1" outlineLevel="1" x14ac:dyDescent="0.2">
      <c r="C445" s="246">
        <f>INDEX(PxTxValid,,C444+1)</f>
        <v>1</v>
      </c>
      <c r="D445" s="246" t="str">
        <f ca="1">IF(AND(C444=0,D444=0),"",(C444*PxPopMaxCount)+D444)</f>
        <v/>
      </c>
      <c r="E445" s="103"/>
    </row>
    <row r="446" spans="2:27" hidden="1" outlineLevel="1" x14ac:dyDescent="0.2">
      <c r="E446" s="357"/>
      <c r="F446" s="74">
        <f>FirstYear</f>
        <v>2026</v>
      </c>
      <c r="G446" s="74">
        <f>F446+1</f>
        <v>2027</v>
      </c>
      <c r="H446" s="74">
        <f>G446+1</f>
        <v>2028</v>
      </c>
      <c r="I446" s="74">
        <f>H446+1</f>
        <v>2029</v>
      </c>
      <c r="J446" s="74">
        <f>I446+1</f>
        <v>2030</v>
      </c>
      <c r="K446" s="74">
        <f>J446+1</f>
        <v>2031</v>
      </c>
      <c r="L446" s="103"/>
      <c r="N446" s="74">
        <f>FirstYear</f>
        <v>2026</v>
      </c>
      <c r="O446" s="74">
        <f>N446+1</f>
        <v>2027</v>
      </c>
      <c r="P446" s="74">
        <f>O446+1</f>
        <v>2028</v>
      </c>
      <c r="Q446" s="74">
        <f>P446+1</f>
        <v>2029</v>
      </c>
      <c r="R446" s="74">
        <f>Q446+1</f>
        <v>2030</v>
      </c>
      <c r="S446" s="74">
        <f>R446+1</f>
        <v>2031</v>
      </c>
    </row>
    <row r="447" spans="2:27" hidden="1" outlineLevel="1" x14ac:dyDescent="0.2">
      <c r="E447" s="53" t="str">
        <f>TxPhase1Px</f>
        <v/>
      </c>
      <c r="F447" s="27">
        <f t="shared" ref="F447:K447" ca="1" si="592">IFERROR(INDEX(PxTxPhase1,$D445,F441),0)</f>
        <v>0</v>
      </c>
      <c r="G447" s="27">
        <f t="shared" ca="1" si="592"/>
        <v>0</v>
      </c>
      <c r="H447" s="27">
        <f t="shared" ca="1" si="592"/>
        <v>0</v>
      </c>
      <c r="I447" s="27">
        <f t="shared" ca="1" si="592"/>
        <v>0</v>
      </c>
      <c r="J447" s="27">
        <f t="shared" ca="1" si="592"/>
        <v>0</v>
      </c>
      <c r="K447" s="27">
        <f t="shared" ca="1" si="592"/>
        <v>0</v>
      </c>
      <c r="L447" s="103"/>
      <c r="M447" s="53" t="str">
        <f>TxPhase2Px</f>
        <v/>
      </c>
      <c r="N447" s="27">
        <f t="shared" ref="N447:S447" ca="1" si="593">IFERROR(INDEX(PxTxPhase2,$D445,N441),0)</f>
        <v>0</v>
      </c>
      <c r="O447" s="27">
        <f t="shared" ca="1" si="593"/>
        <v>0</v>
      </c>
      <c r="P447" s="27">
        <f t="shared" ca="1" si="593"/>
        <v>0</v>
      </c>
      <c r="Q447" s="27">
        <f t="shared" ca="1" si="593"/>
        <v>0</v>
      </c>
      <c r="R447" s="27">
        <f t="shared" ca="1" si="593"/>
        <v>0</v>
      </c>
      <c r="S447" s="27">
        <f t="shared" ca="1" si="593"/>
        <v>0</v>
      </c>
    </row>
    <row r="448" spans="2:27" hidden="1" outlineLevel="1" x14ac:dyDescent="0.2">
      <c r="L448" s="103"/>
    </row>
    <row r="449" spans="2:27" hidden="1" outlineLevel="1" x14ac:dyDescent="0.2">
      <c r="E449" s="103"/>
      <c r="F449" s="103"/>
      <c r="G449" s="103"/>
      <c r="H449" s="103"/>
      <c r="I449" s="103"/>
      <c r="J449" s="103"/>
      <c r="K449" s="103"/>
      <c r="L449" s="103"/>
      <c r="M449" s="103"/>
      <c r="U449" s="411"/>
      <c r="V449" s="412">
        <f>$W459*1</f>
        <v>0</v>
      </c>
      <c r="W449" s="412">
        <f>$W459*2</f>
        <v>0</v>
      </c>
      <c r="X449" s="412">
        <f>$W459*3</f>
        <v>0</v>
      </c>
      <c r="Y449" s="412">
        <f>$W459*4</f>
        <v>0</v>
      </c>
      <c r="Z449" s="412">
        <f>$W459*5</f>
        <v>0</v>
      </c>
      <c r="AA449" s="412">
        <f>$W459*6</f>
        <v>0</v>
      </c>
    </row>
    <row r="450" spans="2:27" hidden="1" outlineLevel="1" x14ac:dyDescent="0.2">
      <c r="E450" s="82" t="s">
        <v>1147</v>
      </c>
      <c r="F450" s="390"/>
      <c r="G450" s="227"/>
      <c r="H450" s="378"/>
      <c r="I450" s="378"/>
      <c r="J450" s="378"/>
      <c r="K450" s="378"/>
      <c r="L450" s="103"/>
      <c r="M450" s="82" t="s">
        <v>1147</v>
      </c>
      <c r="N450" s="390"/>
      <c r="O450" s="418" t="str">
        <f>IF(G450&lt;&gt;"",G450,"")</f>
        <v/>
      </c>
      <c r="P450" s="378"/>
      <c r="Q450" s="378"/>
      <c r="R450" s="378"/>
      <c r="S450" s="378"/>
      <c r="U450" s="413" t="s">
        <v>1143</v>
      </c>
      <c r="V450" s="414">
        <f>IF($F450&gt;=V449,$W459,IF($F450&gt;0,$F450,0))</f>
        <v>0</v>
      </c>
      <c r="W450" s="414">
        <f>IF($F450&gt;=W449,$W$41,IF($F450&gt;V449,($F450-V449),0))</f>
        <v>0</v>
      </c>
      <c r="X450" s="414">
        <f>IF($F450&gt;=X449,$W$41,IF($F450&gt;W449,($F450-W449),0))</f>
        <v>0</v>
      </c>
      <c r="Y450" s="414">
        <f>IF($F450&gt;=Y449,$W$41,IF($F450&gt;X449,($F450-X449),0))</f>
        <v>0</v>
      </c>
      <c r="Z450" s="414">
        <f>IF($F450&gt;=Z449,$W$41,IF($F450&gt;Y449,($F450-Y449),0))</f>
        <v>0</v>
      </c>
      <c r="AA450" s="414">
        <f>IF($F450&gt;=AA449,$W$41,IF($F450&gt;Z449,($F450-Z449),0))</f>
        <v>0</v>
      </c>
    </row>
    <row r="451" spans="2:27" hidden="1" outlineLevel="1" x14ac:dyDescent="0.2">
      <c r="L451" s="103"/>
      <c r="M451" s="437"/>
      <c r="N451" s="438"/>
      <c r="O451" s="438"/>
      <c r="P451" s="438"/>
      <c r="Q451" s="438"/>
      <c r="R451" s="438"/>
      <c r="S451" s="438"/>
      <c r="U451" s="415" t="s">
        <v>1144</v>
      </c>
      <c r="V451" s="412">
        <f t="shared" ref="V451:AA451" si="594">IF(V450&gt;0,$W459-V450,$W459)</f>
        <v>0</v>
      </c>
      <c r="W451" s="412">
        <f t="shared" si="594"/>
        <v>0</v>
      </c>
      <c r="X451" s="412">
        <f t="shared" si="594"/>
        <v>0</v>
      </c>
      <c r="Y451" s="412">
        <f t="shared" si="594"/>
        <v>0</v>
      </c>
      <c r="Z451" s="412">
        <f t="shared" si="594"/>
        <v>0</v>
      </c>
      <c r="AA451" s="412">
        <f t="shared" si="594"/>
        <v>0</v>
      </c>
    </row>
    <row r="452" spans="2:27" hidden="1" outlineLevel="1" x14ac:dyDescent="0.2">
      <c r="E452" s="437" t="str">
        <f>E447</f>
        <v/>
      </c>
      <c r="F452" s="419"/>
      <c r="G452" s="419"/>
      <c r="H452" s="419"/>
      <c r="I452" s="419"/>
      <c r="J452" s="419"/>
      <c r="K452" s="419"/>
      <c r="L452" s="103"/>
      <c r="M452" s="437" t="str">
        <f>M447</f>
        <v/>
      </c>
      <c r="N452" s="439"/>
      <c r="O452" s="440"/>
      <c r="P452" s="440"/>
      <c r="Q452" s="440"/>
      <c r="R452" s="440"/>
      <c r="S452" s="440"/>
      <c r="U452" s="378"/>
      <c r="V452" s="378"/>
      <c r="W452" s="378"/>
      <c r="X452" s="378"/>
      <c r="Y452" s="378"/>
      <c r="Z452" s="378"/>
      <c r="AA452" s="378"/>
    </row>
    <row r="453" spans="2:27" hidden="1" outlineLevel="1" x14ac:dyDescent="0.2">
      <c r="E453" s="81" t="s">
        <v>1194</v>
      </c>
      <c r="F453" s="57">
        <f ca="1">$F447*V456</f>
        <v>0</v>
      </c>
      <c r="G453" s="57">
        <f t="shared" ref="G453" ca="1" si="595">$F447*W456</f>
        <v>0</v>
      </c>
      <c r="H453" s="57">
        <f t="shared" ref="H453" ca="1" si="596">$F447*X456</f>
        <v>0</v>
      </c>
      <c r="I453" s="57">
        <f t="shared" ref="I453" ca="1" si="597">$F447*Y456</f>
        <v>0</v>
      </c>
      <c r="J453" s="57">
        <f t="shared" ref="J453" ca="1" si="598">$F447*Z456</f>
        <v>0</v>
      </c>
      <c r="K453" s="57">
        <f t="shared" ref="K453" ca="1" si="599">$F447*AA456</f>
        <v>0</v>
      </c>
      <c r="L453" s="103"/>
      <c r="M453" s="81" t="s">
        <v>1194</v>
      </c>
      <c r="N453" s="57">
        <f ca="1">$N447*V457</f>
        <v>0</v>
      </c>
      <c r="O453" s="57">
        <f ca="1">$N447*W457</f>
        <v>0</v>
      </c>
      <c r="P453" s="57">
        <f t="shared" ref="P453" ca="1" si="600">$N447*X457</f>
        <v>0</v>
      </c>
      <c r="Q453" s="57">
        <f t="shared" ref="Q453" ca="1" si="601">$N447*Y457</f>
        <v>0</v>
      </c>
      <c r="R453" s="57">
        <f t="shared" ref="R453" ca="1" si="602">$N447*Z457</f>
        <v>0</v>
      </c>
      <c r="S453" s="57">
        <f t="shared" ref="S453" ca="1" si="603">$N447*AA457</f>
        <v>0</v>
      </c>
      <c r="U453" s="415" t="s">
        <v>1145</v>
      </c>
      <c r="V453" s="414">
        <f>IF($N450&gt;=V451,V451,N450)</f>
        <v>0</v>
      </c>
      <c r="W453" s="414">
        <f>IF(V454&gt;=W451,W451,V454)</f>
        <v>0</v>
      </c>
      <c r="X453" s="414">
        <f>IF(W454&gt;=X451,X451,W454)</f>
        <v>0</v>
      </c>
      <c r="Y453" s="414">
        <f>IF(X454&gt;=Y451,Y451,X454)</f>
        <v>0</v>
      </c>
      <c r="Z453" s="414">
        <f>IF(Y454&gt;=Z451,Z451,Y454)</f>
        <v>0</v>
      </c>
      <c r="AA453" s="414">
        <f>IF(Z454&gt;=AA451,AA451,Z454)</f>
        <v>0</v>
      </c>
    </row>
    <row r="454" spans="2:27" hidden="1" outlineLevel="1" x14ac:dyDescent="0.2">
      <c r="E454" s="81" t="s">
        <v>1195</v>
      </c>
      <c r="F454" s="115"/>
      <c r="G454" s="57">
        <f ca="1">$G447*V456</f>
        <v>0</v>
      </c>
      <c r="H454" s="57">
        <f t="shared" ref="H454" ca="1" si="604">$G447*W456</f>
        <v>0</v>
      </c>
      <c r="I454" s="57">
        <f t="shared" ref="I454" ca="1" si="605">$G447*X456</f>
        <v>0</v>
      </c>
      <c r="J454" s="57">
        <f t="shared" ref="J454" ca="1" si="606">$G447*Y456</f>
        <v>0</v>
      </c>
      <c r="K454" s="57">
        <f t="shared" ref="K454" ca="1" si="607">$G447*Z456</f>
        <v>0</v>
      </c>
      <c r="L454" s="103"/>
      <c r="M454" s="81" t="s">
        <v>1195</v>
      </c>
      <c r="N454" s="115"/>
      <c r="O454" s="57">
        <f ca="1">$O447*V457</f>
        <v>0</v>
      </c>
      <c r="P454" s="57">
        <f t="shared" ref="P454" ca="1" si="608">$O447*W457</f>
        <v>0</v>
      </c>
      <c r="Q454" s="57">
        <f t="shared" ref="Q454" ca="1" si="609">$O447*X457</f>
        <v>0</v>
      </c>
      <c r="R454" s="57">
        <f t="shared" ref="R454" ca="1" si="610">$O447*Y457</f>
        <v>0</v>
      </c>
      <c r="S454" s="57">
        <f t="shared" ref="S454" ca="1" si="611">$O447*Z457</f>
        <v>0</v>
      </c>
      <c r="U454" s="415" t="s">
        <v>1146</v>
      </c>
      <c r="V454" s="412">
        <f>$N450-V453</f>
        <v>0</v>
      </c>
      <c r="W454" s="412">
        <f>$N450-SUM($V453:W453)</f>
        <v>0</v>
      </c>
      <c r="X454" s="412">
        <f>$N450-SUM($V453:X453)</f>
        <v>0</v>
      </c>
      <c r="Y454" s="412">
        <f>$N450-SUM($V453:Y453)</f>
        <v>0</v>
      </c>
      <c r="Z454" s="412">
        <f>$N450-SUM($V453:Z453)</f>
        <v>0</v>
      </c>
      <c r="AA454" s="412">
        <f>$N450-SUM($V453:AA453)</f>
        <v>0</v>
      </c>
    </row>
    <row r="455" spans="2:27" hidden="1" outlineLevel="1" x14ac:dyDescent="0.2">
      <c r="E455" s="81" t="s">
        <v>1196</v>
      </c>
      <c r="F455" s="115"/>
      <c r="G455" s="115"/>
      <c r="H455" s="57">
        <f ca="1">$H447*V456</f>
        <v>0</v>
      </c>
      <c r="I455" s="57">
        <f t="shared" ref="I455" ca="1" si="612">$H447*W456</f>
        <v>0</v>
      </c>
      <c r="J455" s="57">
        <f t="shared" ref="J455" ca="1" si="613">$H447*X456</f>
        <v>0</v>
      </c>
      <c r="K455" s="57">
        <f t="shared" ref="K455" ca="1" si="614">$H447*Y456</f>
        <v>0</v>
      </c>
      <c r="L455" s="103"/>
      <c r="M455" s="81" t="s">
        <v>1196</v>
      </c>
      <c r="N455" s="115"/>
      <c r="O455" s="115"/>
      <c r="P455" s="57">
        <f ca="1">$P447*V457</f>
        <v>0</v>
      </c>
      <c r="Q455" s="57">
        <f t="shared" ref="Q455" ca="1" si="615">$P447*W457</f>
        <v>0</v>
      </c>
      <c r="R455" s="57">
        <f t="shared" ref="R455" ca="1" si="616">$P447*X457</f>
        <v>0</v>
      </c>
      <c r="S455" s="57">
        <f t="shared" ref="S455" ca="1" si="617">$P447*Y457</f>
        <v>0</v>
      </c>
      <c r="V455" s="416"/>
      <c r="AA455" s="378"/>
    </row>
    <row r="456" spans="2:27" hidden="1" outlineLevel="1" x14ac:dyDescent="0.2">
      <c r="E456" s="81" t="s">
        <v>1197</v>
      </c>
      <c r="F456" s="115"/>
      <c r="G456" s="115"/>
      <c r="H456" s="115"/>
      <c r="I456" s="57">
        <f ca="1">$I447*V456</f>
        <v>0</v>
      </c>
      <c r="J456" s="57">
        <f t="shared" ref="J456" ca="1" si="618">$I447*W456</f>
        <v>0</v>
      </c>
      <c r="K456" s="57">
        <f t="shared" ref="K456" ca="1" si="619">$I447*X456</f>
        <v>0</v>
      </c>
      <c r="L456" s="103"/>
      <c r="M456" s="81" t="s">
        <v>1197</v>
      </c>
      <c r="N456" s="115"/>
      <c r="O456" s="115"/>
      <c r="P456" s="115"/>
      <c r="Q456" s="57">
        <f ca="1">$Q447*V457</f>
        <v>0</v>
      </c>
      <c r="R456" s="57">
        <f t="shared" ref="R456" ca="1" si="620">$Q447*W457</f>
        <v>0</v>
      </c>
      <c r="S456" s="57">
        <f t="shared" ref="S456" ca="1" si="621">$Q447*X457</f>
        <v>0</v>
      </c>
      <c r="U456" s="413" t="s">
        <v>1143</v>
      </c>
      <c r="V456" s="417">
        <f t="shared" ref="V456:AA456" si="622">IFERROR(V450/$W459,0)</f>
        <v>0</v>
      </c>
      <c r="W456" s="417">
        <f t="shared" si="622"/>
        <v>0</v>
      </c>
      <c r="X456" s="417">
        <f t="shared" si="622"/>
        <v>0</v>
      </c>
      <c r="Y456" s="417">
        <f t="shared" si="622"/>
        <v>0</v>
      </c>
      <c r="Z456" s="417">
        <f t="shared" si="622"/>
        <v>0</v>
      </c>
      <c r="AA456" s="417">
        <f t="shared" si="622"/>
        <v>0</v>
      </c>
    </row>
    <row r="457" spans="2:27" hidden="1" outlineLevel="1" x14ac:dyDescent="0.2">
      <c r="E457" s="81" t="s">
        <v>1198</v>
      </c>
      <c r="F457" s="115"/>
      <c r="G457" s="115"/>
      <c r="H457" s="115"/>
      <c r="I457" s="115"/>
      <c r="J457" s="57">
        <f ca="1">$J447*V456</f>
        <v>0</v>
      </c>
      <c r="K457" s="57">
        <f ca="1">$J447*W456</f>
        <v>0</v>
      </c>
      <c r="L457" s="103"/>
      <c r="M457" s="81" t="s">
        <v>1198</v>
      </c>
      <c r="N457" s="115"/>
      <c r="O457" s="115"/>
      <c r="P457" s="115"/>
      <c r="Q457" s="115"/>
      <c r="R457" s="57">
        <f ca="1">$R447*V457</f>
        <v>0</v>
      </c>
      <c r="S457" s="57">
        <f ca="1">$R447*W457</f>
        <v>0</v>
      </c>
      <c r="U457" s="415" t="s">
        <v>1145</v>
      </c>
      <c r="V457" s="417">
        <f t="shared" ref="V457:AA457" si="623">IFERROR(V453/$W459,0)</f>
        <v>0</v>
      </c>
      <c r="W457" s="417">
        <f t="shared" si="623"/>
        <v>0</v>
      </c>
      <c r="X457" s="417">
        <f t="shared" si="623"/>
        <v>0</v>
      </c>
      <c r="Y457" s="417">
        <f t="shared" si="623"/>
        <v>0</v>
      </c>
      <c r="Z457" s="417">
        <f t="shared" si="623"/>
        <v>0</v>
      </c>
      <c r="AA457" s="417">
        <f t="shared" si="623"/>
        <v>0</v>
      </c>
    </row>
    <row r="458" spans="2:27" hidden="1" outlineLevel="1" x14ac:dyDescent="0.2">
      <c r="E458" s="81" t="s">
        <v>1199</v>
      </c>
      <c r="F458" s="115"/>
      <c r="G458" s="115"/>
      <c r="H458" s="115"/>
      <c r="I458" s="115"/>
      <c r="J458" s="115"/>
      <c r="K458" s="57">
        <f ca="1">$K447*V456</f>
        <v>0</v>
      </c>
      <c r="L458" s="103"/>
      <c r="M458" s="81" t="s">
        <v>1199</v>
      </c>
      <c r="N458" s="115"/>
      <c r="O458" s="115"/>
      <c r="P458" s="115"/>
      <c r="Q458" s="115"/>
      <c r="R458" s="115"/>
      <c r="S458" s="57">
        <f ca="1">$S447*V457</f>
        <v>0</v>
      </c>
    </row>
    <row r="459" spans="2:27" hidden="1" outlineLevel="1" x14ac:dyDescent="0.2">
      <c r="E459" s="420" t="str">
        <f>TxPhase1PxUnitsTx</f>
        <v/>
      </c>
      <c r="F459" s="421">
        <f ca="1">IF(F450&lt;&gt;"",SUM(F453:F458),F447)</f>
        <v>0</v>
      </c>
      <c r="G459" s="421">
        <f ca="1">IF(F450&lt;&gt;"",SUM(G453:G458),G447)</f>
        <v>0</v>
      </c>
      <c r="H459" s="421">
        <f ca="1">IF(F450&lt;&gt;"",SUM(H453:H458),H447)</f>
        <v>0</v>
      </c>
      <c r="I459" s="421">
        <f ca="1">IF(F450&lt;&gt;"",SUM(I453:I458),I447)</f>
        <v>0</v>
      </c>
      <c r="J459" s="421">
        <f ca="1">IF(F450&lt;&gt;"",SUM(J453:J458),J447)</f>
        <v>0</v>
      </c>
      <c r="K459" s="421">
        <f ca="1">IF(F450&lt;&gt;"",SUM(K453:K458),K447)</f>
        <v>0</v>
      </c>
      <c r="L459" s="103"/>
      <c r="M459" s="420" t="str">
        <f>TxPhase2PxUnitsTx</f>
        <v/>
      </c>
      <c r="N459" s="421">
        <f ca="1">IF(N450&lt;&gt;"",SUM(N453:N458),N447)</f>
        <v>0</v>
      </c>
      <c r="O459" s="421">
        <f ca="1">IF(N450&lt;&gt;"",SUM(O453:O458),O447)</f>
        <v>0</v>
      </c>
      <c r="P459" s="421">
        <f ca="1">IF(N450&lt;&gt;"",SUM(P453:P458),P447)</f>
        <v>0</v>
      </c>
      <c r="Q459" s="421">
        <f ca="1">IF(N450&lt;&gt;"",SUM(Q453:Q458),Q447)</f>
        <v>0</v>
      </c>
      <c r="R459" s="421">
        <f ca="1">IF(N450&lt;&gt;"",SUM(R453:R458),R447)</f>
        <v>0</v>
      </c>
      <c r="S459" s="421">
        <f ca="1">IF(N450&lt;&gt;"",SUM(S453:S458),S447)</f>
        <v>0</v>
      </c>
      <c r="U459" s="415" t="s">
        <v>1148</v>
      </c>
      <c r="V459" s="412">
        <f>IFERROR(VLOOKUP(G450,TimeUnitCode,2,FALSE),0)</f>
        <v>0</v>
      </c>
      <c r="W459" s="412">
        <f>IFERROR(INDEX(TimeUnitCount,V459,2),0)</f>
        <v>0</v>
      </c>
    </row>
    <row r="460" spans="2:27" hidden="1" outlineLevel="1" x14ac:dyDescent="0.2"/>
    <row r="461" spans="2:27" collapsed="1" x14ac:dyDescent="0.2"/>
    <row r="462" spans="2:27" ht="15.75" x14ac:dyDescent="0.2">
      <c r="B462" s="246">
        <f>IF(F472+N472&gt;12,1,0)</f>
        <v>0</v>
      </c>
      <c r="C462" s="246">
        <f ca="1">IFERROR(INDEX(PxTxPhase1,$D467,7),0)</f>
        <v>0</v>
      </c>
      <c r="D462" s="396">
        <v>21</v>
      </c>
      <c r="E462" s="72" t="str">
        <f>IF(F466&lt;&gt;"",CONCATENATE("DTG ",D462,": ",H466,": ",N462),MsgNotUsed)</f>
        <v>** NOT USED **</v>
      </c>
      <c r="F462" s="116"/>
      <c r="G462" s="116"/>
      <c r="H462" s="116"/>
      <c r="I462" s="116"/>
      <c r="J462" s="118"/>
      <c r="K462" s="118"/>
      <c r="L462" s="118"/>
      <c r="M462" s="266"/>
      <c r="N462" s="445" t="str">
        <f>IF(AND(F472="",N472=""),"Full year",IF(AND(F472&lt;&gt;"",N472=""),CONCATENATE(F472," ",G472),IF(AND(F472="",N472&lt;&gt;""),CONCATENATE(N472," ",G472),CONCATENATE(F472," + ",N472," ",G472))))</f>
        <v>Full year</v>
      </c>
      <c r="O462" s="266"/>
      <c r="P462" s="266"/>
      <c r="Q462" s="266"/>
      <c r="R462" s="266"/>
      <c r="S462" s="266"/>
      <c r="T462" s="266"/>
      <c r="U462" s="266"/>
      <c r="V462" s="266"/>
      <c r="W462" s="266"/>
      <c r="X462" s="266"/>
      <c r="Y462" s="266"/>
      <c r="Z462" s="266"/>
      <c r="AA462" s="266"/>
    </row>
    <row r="463" spans="2:27" hidden="1" outlineLevel="1" x14ac:dyDescent="0.2">
      <c r="F463" s="319">
        <v>1</v>
      </c>
      <c r="G463" s="319">
        <v>2</v>
      </c>
      <c r="H463" s="319">
        <v>3</v>
      </c>
      <c r="I463" s="319">
        <v>4</v>
      </c>
      <c r="J463" s="319">
        <v>5</v>
      </c>
      <c r="K463" s="319">
        <v>6</v>
      </c>
      <c r="N463" s="319">
        <v>1</v>
      </c>
      <c r="O463" s="319">
        <v>2</v>
      </c>
      <c r="P463" s="319">
        <v>3</v>
      </c>
      <c r="Q463" s="319">
        <v>4</v>
      </c>
      <c r="R463" s="319">
        <v>5</v>
      </c>
      <c r="S463" s="319">
        <v>6</v>
      </c>
    </row>
    <row r="464" spans="2:27" hidden="1" outlineLevel="1" x14ac:dyDescent="0.2">
      <c r="C464" s="103"/>
      <c r="D464" s="103"/>
      <c r="E464" t="s">
        <v>1193</v>
      </c>
    </row>
    <row r="465" spans="3:27" hidden="1" outlineLevel="1" x14ac:dyDescent="0.2">
      <c r="C465" s="103"/>
      <c r="D465" s="103"/>
      <c r="E465" s="260"/>
    </row>
    <row r="466" spans="3:27" hidden="1" outlineLevel="1" x14ac:dyDescent="0.2">
      <c r="C466" s="246">
        <f>IF(F466&lt;&gt;"",MATCH(F466,PxTxSource,0)-1,0)</f>
        <v>0</v>
      </c>
      <c r="D466" s="246">
        <f ca="1">IF(H466&lt;&gt;"",MATCH(H466,OFFSET(References!$AE$23,0,C466,PxPopMaxCount),0),0)</f>
        <v>0</v>
      </c>
      <c r="E466" s="8" t="s">
        <v>110</v>
      </c>
      <c r="F466" s="230"/>
      <c r="H466" s="580"/>
      <c r="I466" s="581"/>
      <c r="J466" s="581"/>
      <c r="K466" s="581"/>
      <c r="M466" s="217"/>
      <c r="N466" s="542" t="str">
        <f ca="1">IF(ISERROR($D467)=TRUE,MsgError &amp; VLOOKUP("BadPop",ErrorMessages,2,FALSE),"")</f>
        <v/>
      </c>
      <c r="O466" s="542"/>
      <c r="P466" s="542"/>
      <c r="Q466" s="542"/>
      <c r="R466" s="542"/>
      <c r="S466" s="542"/>
    </row>
    <row r="467" spans="3:27" hidden="1" outlineLevel="1" x14ac:dyDescent="0.2">
      <c r="C467" s="246">
        <f>INDEX(PxTxValid,,C466+1)</f>
        <v>1</v>
      </c>
      <c r="D467" s="246" t="str">
        <f ca="1">IF(AND(C466&lt;&gt;0,D466&lt;&gt;0),(C466*PxPopMaxCount)+D466,"")</f>
        <v/>
      </c>
      <c r="E467" s="103"/>
    </row>
    <row r="468" spans="3:27" hidden="1" outlineLevel="1" x14ac:dyDescent="0.2">
      <c r="E468" s="357"/>
      <c r="F468" s="74">
        <f>FirstYear</f>
        <v>2026</v>
      </c>
      <c r="G468" s="74">
        <f>F468+1</f>
        <v>2027</v>
      </c>
      <c r="H468" s="74">
        <f>G468+1</f>
        <v>2028</v>
      </c>
      <c r="I468" s="74">
        <f>H468+1</f>
        <v>2029</v>
      </c>
      <c r="J468" s="74">
        <f>I468+1</f>
        <v>2030</v>
      </c>
      <c r="K468" s="74">
        <f>J468+1</f>
        <v>2031</v>
      </c>
      <c r="L468" s="103"/>
      <c r="N468" s="74">
        <f>FirstYear</f>
        <v>2026</v>
      </c>
      <c r="O468" s="74">
        <f>N468+1</f>
        <v>2027</v>
      </c>
      <c r="P468" s="74">
        <f>O468+1</f>
        <v>2028</v>
      </c>
      <c r="Q468" s="74">
        <f>P468+1</f>
        <v>2029</v>
      </c>
      <c r="R468" s="74">
        <f>Q468+1</f>
        <v>2030</v>
      </c>
      <c r="S468" s="74">
        <f>R468+1</f>
        <v>2031</v>
      </c>
    </row>
    <row r="469" spans="3:27" hidden="1" outlineLevel="1" x14ac:dyDescent="0.2">
      <c r="E469" s="53" t="str">
        <f>TxPhase1Px</f>
        <v/>
      </c>
      <c r="F469" s="27">
        <f t="shared" ref="F469:K469" ca="1" si="624">IFERROR(INDEX(PxTxPhase1,$D467,F463),0)</f>
        <v>0</v>
      </c>
      <c r="G469" s="27">
        <f t="shared" ca="1" si="624"/>
        <v>0</v>
      </c>
      <c r="H469" s="27">
        <f t="shared" ca="1" si="624"/>
        <v>0</v>
      </c>
      <c r="I469" s="27">
        <f t="shared" ca="1" si="624"/>
        <v>0</v>
      </c>
      <c r="J469" s="27">
        <f t="shared" ca="1" si="624"/>
        <v>0</v>
      </c>
      <c r="K469" s="27">
        <f t="shared" ca="1" si="624"/>
        <v>0</v>
      </c>
      <c r="L469" s="103"/>
      <c r="M469" s="53" t="str">
        <f>TxPhase2Px</f>
        <v/>
      </c>
      <c r="N469" s="27">
        <f t="shared" ref="N469:S469" ca="1" si="625">IFERROR(INDEX(PxTxPhase2,$D467,N463),0)</f>
        <v>0</v>
      </c>
      <c r="O469" s="27">
        <f t="shared" ca="1" si="625"/>
        <v>0</v>
      </c>
      <c r="P469" s="27">
        <f t="shared" ca="1" si="625"/>
        <v>0</v>
      </c>
      <c r="Q469" s="27">
        <f t="shared" ca="1" si="625"/>
        <v>0</v>
      </c>
      <c r="R469" s="27">
        <f t="shared" ca="1" si="625"/>
        <v>0</v>
      </c>
      <c r="S469" s="27">
        <f t="shared" ca="1" si="625"/>
        <v>0</v>
      </c>
    </row>
    <row r="470" spans="3:27" hidden="1" outlineLevel="1" x14ac:dyDescent="0.2">
      <c r="L470" s="103"/>
    </row>
    <row r="471" spans="3:27" hidden="1" outlineLevel="1" x14ac:dyDescent="0.2">
      <c r="E471" s="103"/>
      <c r="F471" s="103"/>
      <c r="G471" s="103"/>
      <c r="H471" s="103"/>
      <c r="I471" s="103"/>
      <c r="J471" s="103"/>
      <c r="K471" s="103"/>
      <c r="L471" s="103"/>
      <c r="M471" s="103"/>
      <c r="U471" s="411"/>
      <c r="V471" s="412">
        <f>$W481*1</f>
        <v>0</v>
      </c>
      <c r="W471" s="412">
        <f>$W481*2</f>
        <v>0</v>
      </c>
      <c r="X471" s="412">
        <f>$W481*3</f>
        <v>0</v>
      </c>
      <c r="Y471" s="412">
        <f>$W481*4</f>
        <v>0</v>
      </c>
      <c r="Z471" s="412">
        <f>$W481*5</f>
        <v>0</v>
      </c>
      <c r="AA471" s="412">
        <f>$W481*6</f>
        <v>0</v>
      </c>
    </row>
    <row r="472" spans="3:27" hidden="1" outlineLevel="1" x14ac:dyDescent="0.2">
      <c r="E472" s="82" t="s">
        <v>1147</v>
      </c>
      <c r="F472" s="390"/>
      <c r="G472" s="227"/>
      <c r="H472" s="378"/>
      <c r="I472" s="378"/>
      <c r="J472" s="378"/>
      <c r="K472" s="378"/>
      <c r="L472" s="103"/>
      <c r="M472" s="82" t="s">
        <v>1147</v>
      </c>
      <c r="N472" s="390"/>
      <c r="O472" s="418" t="str">
        <f>IF(G472&lt;&gt;"",G472,"")</f>
        <v/>
      </c>
      <c r="P472" s="378"/>
      <c r="Q472" s="378"/>
      <c r="R472" s="378"/>
      <c r="S472" s="378"/>
      <c r="U472" s="413" t="s">
        <v>1143</v>
      </c>
      <c r="V472" s="414">
        <f>IF($F472&gt;=V471,$W481,IF($F472&gt;0,$F472,0))</f>
        <v>0</v>
      </c>
      <c r="W472" s="414">
        <f>IF($F472&gt;=W471,$W$41,IF($F472&gt;V471,($F472-V471),0))</f>
        <v>0</v>
      </c>
      <c r="X472" s="414">
        <f>IF($F472&gt;=X471,$W$41,IF($F472&gt;W471,($F472-W471),0))</f>
        <v>0</v>
      </c>
      <c r="Y472" s="414">
        <f>IF($F472&gt;=Y471,$W$41,IF($F472&gt;X471,($F472-X471),0))</f>
        <v>0</v>
      </c>
      <c r="Z472" s="414">
        <f>IF($F472&gt;=Z471,$W$41,IF($F472&gt;Y471,($F472-Y471),0))</f>
        <v>0</v>
      </c>
      <c r="AA472" s="414">
        <f>IF($F472&gt;=AA471,$W$41,IF($F472&gt;Z471,($F472-Z471),0))</f>
        <v>0</v>
      </c>
    </row>
    <row r="473" spans="3:27" hidden="1" outlineLevel="1" x14ac:dyDescent="0.2">
      <c r="L473" s="103"/>
      <c r="M473" s="437"/>
      <c r="N473" s="438"/>
      <c r="O473" s="438"/>
      <c r="P473" s="438"/>
      <c r="Q473" s="438"/>
      <c r="R473" s="438"/>
      <c r="S473" s="438"/>
      <c r="U473" s="415" t="s">
        <v>1144</v>
      </c>
      <c r="V473" s="412">
        <f t="shared" ref="V473:AA473" si="626">IF(V472&gt;0,$W481-V472,$W481)</f>
        <v>0</v>
      </c>
      <c r="W473" s="412">
        <f t="shared" si="626"/>
        <v>0</v>
      </c>
      <c r="X473" s="412">
        <f t="shared" si="626"/>
        <v>0</v>
      </c>
      <c r="Y473" s="412">
        <f t="shared" si="626"/>
        <v>0</v>
      </c>
      <c r="Z473" s="412">
        <f t="shared" si="626"/>
        <v>0</v>
      </c>
      <c r="AA473" s="412">
        <f t="shared" si="626"/>
        <v>0</v>
      </c>
    </row>
    <row r="474" spans="3:27" hidden="1" outlineLevel="1" x14ac:dyDescent="0.2">
      <c r="E474" s="437" t="str">
        <f>E469</f>
        <v/>
      </c>
      <c r="F474" s="419"/>
      <c r="G474" s="419"/>
      <c r="H474" s="419"/>
      <c r="I474" s="419"/>
      <c r="J474" s="419"/>
      <c r="K474" s="419"/>
      <c r="L474" s="103"/>
      <c r="M474" s="437" t="str">
        <f>M469</f>
        <v/>
      </c>
      <c r="N474" s="439"/>
      <c r="O474" s="440"/>
      <c r="P474" s="440"/>
      <c r="Q474" s="440"/>
      <c r="R474" s="440"/>
      <c r="S474" s="440"/>
      <c r="U474" s="378"/>
      <c r="V474" s="378"/>
      <c r="W474" s="378"/>
      <c r="X474" s="378"/>
      <c r="Y474" s="378"/>
      <c r="Z474" s="378"/>
      <c r="AA474" s="378"/>
    </row>
    <row r="475" spans="3:27" hidden="1" outlineLevel="1" x14ac:dyDescent="0.2">
      <c r="E475" s="81" t="s">
        <v>1194</v>
      </c>
      <c r="F475" s="57">
        <f ca="1">$F469*V478</f>
        <v>0</v>
      </c>
      <c r="G475" s="57">
        <f t="shared" ref="G475" ca="1" si="627">$F469*W478</f>
        <v>0</v>
      </c>
      <c r="H475" s="57">
        <f t="shared" ref="H475" ca="1" si="628">$F469*X478</f>
        <v>0</v>
      </c>
      <c r="I475" s="57">
        <f t="shared" ref="I475" ca="1" si="629">$F469*Y478</f>
        <v>0</v>
      </c>
      <c r="J475" s="57">
        <f t="shared" ref="J475" ca="1" si="630">$F469*Z478</f>
        <v>0</v>
      </c>
      <c r="K475" s="57">
        <f t="shared" ref="K475" ca="1" si="631">$F469*AA478</f>
        <v>0</v>
      </c>
      <c r="L475" s="103"/>
      <c r="M475" s="81" t="s">
        <v>1194</v>
      </c>
      <c r="N475" s="57">
        <f ca="1">$N469*V479</f>
        <v>0</v>
      </c>
      <c r="O475" s="57">
        <f ca="1">$N469*W479</f>
        <v>0</v>
      </c>
      <c r="P475" s="57">
        <f t="shared" ref="P475" ca="1" si="632">$N469*X479</f>
        <v>0</v>
      </c>
      <c r="Q475" s="57">
        <f t="shared" ref="Q475" ca="1" si="633">$N469*Y479</f>
        <v>0</v>
      </c>
      <c r="R475" s="57">
        <f t="shared" ref="R475" ca="1" si="634">$N469*Z479</f>
        <v>0</v>
      </c>
      <c r="S475" s="57">
        <f t="shared" ref="S475" ca="1" si="635">$N469*AA479</f>
        <v>0</v>
      </c>
      <c r="U475" s="415" t="s">
        <v>1145</v>
      </c>
      <c r="V475" s="414">
        <f>IF($N472&gt;=V473,V473,N472)</f>
        <v>0</v>
      </c>
      <c r="W475" s="414">
        <f>IF(V476&gt;=W473,W473,V476)</f>
        <v>0</v>
      </c>
      <c r="X475" s="414">
        <f>IF(W476&gt;=X473,X473,W476)</f>
        <v>0</v>
      </c>
      <c r="Y475" s="414">
        <f>IF(X476&gt;=Y473,Y473,X476)</f>
        <v>0</v>
      </c>
      <c r="Z475" s="414">
        <f>IF(Y476&gt;=Z473,Z473,Y476)</f>
        <v>0</v>
      </c>
      <c r="AA475" s="414">
        <f>IF(Z476&gt;=AA473,AA473,Z476)</f>
        <v>0</v>
      </c>
    </row>
    <row r="476" spans="3:27" hidden="1" outlineLevel="1" x14ac:dyDescent="0.2">
      <c r="E476" s="81" t="s">
        <v>1195</v>
      </c>
      <c r="F476" s="115"/>
      <c r="G476" s="57">
        <f ca="1">$G469*V478</f>
        <v>0</v>
      </c>
      <c r="H476" s="57">
        <f t="shared" ref="H476" ca="1" si="636">$G469*W478</f>
        <v>0</v>
      </c>
      <c r="I476" s="57">
        <f t="shared" ref="I476" ca="1" si="637">$G469*X478</f>
        <v>0</v>
      </c>
      <c r="J476" s="57">
        <f t="shared" ref="J476" ca="1" si="638">$G469*Y478</f>
        <v>0</v>
      </c>
      <c r="K476" s="57">
        <f t="shared" ref="K476" ca="1" si="639">$G469*Z478</f>
        <v>0</v>
      </c>
      <c r="L476" s="103"/>
      <c r="M476" s="81" t="s">
        <v>1195</v>
      </c>
      <c r="N476" s="115"/>
      <c r="O476" s="57">
        <f ca="1">$O469*V479</f>
        <v>0</v>
      </c>
      <c r="P476" s="57">
        <f t="shared" ref="P476" ca="1" si="640">$O469*W479</f>
        <v>0</v>
      </c>
      <c r="Q476" s="57">
        <f t="shared" ref="Q476" ca="1" si="641">$O469*X479</f>
        <v>0</v>
      </c>
      <c r="R476" s="57">
        <f t="shared" ref="R476" ca="1" si="642">$O469*Y479</f>
        <v>0</v>
      </c>
      <c r="S476" s="57">
        <f t="shared" ref="S476" ca="1" si="643">$O469*Z479</f>
        <v>0</v>
      </c>
      <c r="U476" s="415" t="s">
        <v>1146</v>
      </c>
      <c r="V476" s="412">
        <f>$N472-V475</f>
        <v>0</v>
      </c>
      <c r="W476" s="412">
        <f>$N472-SUM($V475:W475)</f>
        <v>0</v>
      </c>
      <c r="X476" s="412">
        <f>$N472-SUM($V475:X475)</f>
        <v>0</v>
      </c>
      <c r="Y476" s="412">
        <f>$N472-SUM($V475:Y475)</f>
        <v>0</v>
      </c>
      <c r="Z476" s="412">
        <f>$N472-SUM($V475:Z475)</f>
        <v>0</v>
      </c>
      <c r="AA476" s="412">
        <f>$N472-SUM($V475:AA475)</f>
        <v>0</v>
      </c>
    </row>
    <row r="477" spans="3:27" hidden="1" outlineLevel="1" x14ac:dyDescent="0.2">
      <c r="E477" s="81" t="s">
        <v>1196</v>
      </c>
      <c r="F477" s="115"/>
      <c r="G477" s="115"/>
      <c r="H477" s="57">
        <f ca="1">$H469*V478</f>
        <v>0</v>
      </c>
      <c r="I477" s="57">
        <f t="shared" ref="I477" ca="1" si="644">$H469*W478</f>
        <v>0</v>
      </c>
      <c r="J477" s="57">
        <f t="shared" ref="J477" ca="1" si="645">$H469*X478</f>
        <v>0</v>
      </c>
      <c r="K477" s="57">
        <f t="shared" ref="K477" ca="1" si="646">$H469*Y478</f>
        <v>0</v>
      </c>
      <c r="L477" s="103"/>
      <c r="M477" s="81" t="s">
        <v>1196</v>
      </c>
      <c r="N477" s="115"/>
      <c r="O477" s="115"/>
      <c r="P477" s="57">
        <f ca="1">$P469*V479</f>
        <v>0</v>
      </c>
      <c r="Q477" s="57">
        <f t="shared" ref="Q477" ca="1" si="647">$P469*W479</f>
        <v>0</v>
      </c>
      <c r="R477" s="57">
        <f t="shared" ref="R477" ca="1" si="648">$P469*X479</f>
        <v>0</v>
      </c>
      <c r="S477" s="57">
        <f t="shared" ref="S477" ca="1" si="649">$P469*Y479</f>
        <v>0</v>
      </c>
      <c r="V477" s="416"/>
      <c r="AA477" s="378"/>
    </row>
    <row r="478" spans="3:27" hidden="1" outlineLevel="1" x14ac:dyDescent="0.2">
      <c r="E478" s="81" t="s">
        <v>1197</v>
      </c>
      <c r="F478" s="115"/>
      <c r="G478" s="115"/>
      <c r="H478" s="115"/>
      <c r="I478" s="57">
        <f ca="1">$I469*V478</f>
        <v>0</v>
      </c>
      <c r="J478" s="57">
        <f t="shared" ref="J478" ca="1" si="650">$I469*W478</f>
        <v>0</v>
      </c>
      <c r="K478" s="57">
        <f t="shared" ref="K478" ca="1" si="651">$I469*X478</f>
        <v>0</v>
      </c>
      <c r="L478" s="103"/>
      <c r="M478" s="81" t="s">
        <v>1197</v>
      </c>
      <c r="N478" s="115"/>
      <c r="O478" s="115"/>
      <c r="P478" s="115"/>
      <c r="Q478" s="57">
        <f ca="1">$Q469*V479</f>
        <v>0</v>
      </c>
      <c r="R478" s="57">
        <f t="shared" ref="R478" ca="1" si="652">$Q469*W479</f>
        <v>0</v>
      </c>
      <c r="S478" s="57">
        <f t="shared" ref="S478" ca="1" si="653">$Q469*X479</f>
        <v>0</v>
      </c>
      <c r="U478" s="413" t="s">
        <v>1143</v>
      </c>
      <c r="V478" s="417">
        <f t="shared" ref="V478:AA478" si="654">IFERROR(V472/$W481,0)</f>
        <v>0</v>
      </c>
      <c r="W478" s="417">
        <f t="shared" si="654"/>
        <v>0</v>
      </c>
      <c r="X478" s="417">
        <f t="shared" si="654"/>
        <v>0</v>
      </c>
      <c r="Y478" s="417">
        <f t="shared" si="654"/>
        <v>0</v>
      </c>
      <c r="Z478" s="417">
        <f t="shared" si="654"/>
        <v>0</v>
      </c>
      <c r="AA478" s="417">
        <f t="shared" si="654"/>
        <v>0</v>
      </c>
    </row>
    <row r="479" spans="3:27" hidden="1" outlineLevel="1" x14ac:dyDescent="0.2">
      <c r="E479" s="81" t="s">
        <v>1198</v>
      </c>
      <c r="F479" s="115"/>
      <c r="G479" s="115"/>
      <c r="H479" s="115"/>
      <c r="I479" s="115"/>
      <c r="J479" s="57">
        <f ca="1">$J469*V478</f>
        <v>0</v>
      </c>
      <c r="K479" s="57">
        <f ca="1">$J469*W478</f>
        <v>0</v>
      </c>
      <c r="L479" s="103"/>
      <c r="M479" s="81" t="s">
        <v>1198</v>
      </c>
      <c r="N479" s="115"/>
      <c r="O479" s="115"/>
      <c r="P479" s="115"/>
      <c r="Q479" s="115"/>
      <c r="R479" s="57">
        <f ca="1">$R469*V479</f>
        <v>0</v>
      </c>
      <c r="S479" s="57">
        <f ca="1">$R469*W479</f>
        <v>0</v>
      </c>
      <c r="U479" s="415" t="s">
        <v>1145</v>
      </c>
      <c r="V479" s="417">
        <f t="shared" ref="V479:AA479" si="655">IFERROR(V475/$W481,0)</f>
        <v>0</v>
      </c>
      <c r="W479" s="417">
        <f t="shared" si="655"/>
        <v>0</v>
      </c>
      <c r="X479" s="417">
        <f t="shared" si="655"/>
        <v>0</v>
      </c>
      <c r="Y479" s="417">
        <f t="shared" si="655"/>
        <v>0</v>
      </c>
      <c r="Z479" s="417">
        <f t="shared" si="655"/>
        <v>0</v>
      </c>
      <c r="AA479" s="417">
        <f t="shared" si="655"/>
        <v>0</v>
      </c>
    </row>
    <row r="480" spans="3:27" hidden="1" outlineLevel="1" x14ac:dyDescent="0.2">
      <c r="E480" s="81" t="s">
        <v>1199</v>
      </c>
      <c r="F480" s="115"/>
      <c r="G480" s="115"/>
      <c r="H480" s="115"/>
      <c r="I480" s="115"/>
      <c r="J480" s="115"/>
      <c r="K480" s="57">
        <f ca="1">$K469*V478</f>
        <v>0</v>
      </c>
      <c r="L480" s="103"/>
      <c r="M480" s="81" t="s">
        <v>1199</v>
      </c>
      <c r="N480" s="115"/>
      <c r="O480" s="115"/>
      <c r="P480" s="115"/>
      <c r="Q480" s="115"/>
      <c r="R480" s="115"/>
      <c r="S480" s="57">
        <f ca="1">$S469*V479</f>
        <v>0</v>
      </c>
    </row>
    <row r="481" spans="2:27" hidden="1" outlineLevel="1" x14ac:dyDescent="0.2">
      <c r="E481" s="420" t="str">
        <f>TxPhase1PxUnitsTx</f>
        <v/>
      </c>
      <c r="F481" s="421">
        <f ca="1">IF(F472&lt;&gt;"",SUM(F475:F480),F469)</f>
        <v>0</v>
      </c>
      <c r="G481" s="421">
        <f ca="1">IF(F472&lt;&gt;"",SUM(G475:G480),G469)</f>
        <v>0</v>
      </c>
      <c r="H481" s="421">
        <f ca="1">IF(F472&lt;&gt;"",SUM(H475:H480),H469)</f>
        <v>0</v>
      </c>
      <c r="I481" s="421">
        <f ca="1">IF(F472&lt;&gt;"",SUM(I475:I480),I469)</f>
        <v>0</v>
      </c>
      <c r="J481" s="421">
        <f ca="1">IF(F472&lt;&gt;"",SUM(J475:J480),J469)</f>
        <v>0</v>
      </c>
      <c r="K481" s="421">
        <f ca="1">IF(F472&lt;&gt;"",SUM(K475:K480),K469)</f>
        <v>0</v>
      </c>
      <c r="L481" s="103"/>
      <c r="M481" s="420" t="str">
        <f>TxPhase2PxUnitsTx</f>
        <v/>
      </c>
      <c r="N481" s="421">
        <f ca="1">IF(N472&lt;&gt;"",SUM(N475:N480),N469)</f>
        <v>0</v>
      </c>
      <c r="O481" s="421">
        <f ca="1">IF(N472&lt;&gt;"",SUM(O475:O480),O469)</f>
        <v>0</v>
      </c>
      <c r="P481" s="421">
        <f ca="1">IF(N472&lt;&gt;"",SUM(P475:P480),P469)</f>
        <v>0</v>
      </c>
      <c r="Q481" s="421">
        <f ca="1">IF(N472&lt;&gt;"",SUM(Q475:Q480),Q469)</f>
        <v>0</v>
      </c>
      <c r="R481" s="421">
        <f ca="1">IF(N472&lt;&gt;"",SUM(R475:R480),R469)</f>
        <v>0</v>
      </c>
      <c r="S481" s="421">
        <f ca="1">IF(N472&lt;&gt;"",SUM(S475:S480),S469)</f>
        <v>0</v>
      </c>
      <c r="U481" s="415" t="s">
        <v>1148</v>
      </c>
      <c r="V481" s="412">
        <f>IFERROR(VLOOKUP(G472,TimeUnitCode,2,FALSE),0)</f>
        <v>0</v>
      </c>
      <c r="W481" s="412">
        <f>IFERROR(INDEX(TimeUnitCount,V481,2),0)</f>
        <v>0</v>
      </c>
    </row>
    <row r="482" spans="2:27" hidden="1" outlineLevel="1" x14ac:dyDescent="0.2"/>
    <row r="483" spans="2:27" collapsed="1" x14ac:dyDescent="0.2"/>
    <row r="484" spans="2:27" ht="15.75" x14ac:dyDescent="0.2">
      <c r="B484" s="246">
        <f>IF(F494+N494&gt;12,1,0)</f>
        <v>0</v>
      </c>
      <c r="C484" s="246">
        <f ca="1">IFERROR(INDEX(PxTxPhase1,$D489,7),0)</f>
        <v>0</v>
      </c>
      <c r="D484" s="396">
        <v>22</v>
      </c>
      <c r="E484" s="72" t="str">
        <f>IF(F488&lt;&gt;"",CONCATENATE("DTG ",D484,": ",H488,": ",N484),MsgNotUsed)</f>
        <v>** NOT USED **</v>
      </c>
      <c r="F484" s="116"/>
      <c r="G484" s="116"/>
      <c r="H484" s="116"/>
      <c r="I484" s="116"/>
      <c r="J484" s="118"/>
      <c r="K484" s="118"/>
      <c r="L484" s="118"/>
      <c r="M484" s="266"/>
      <c r="N484" s="445" t="str">
        <f>IF(AND(F494="",N494=""),"Full year",IF(AND(F494&lt;&gt;"",N494=""),CONCATENATE(F494," ",G494),IF(AND(F494="",N494&lt;&gt;""),CONCATENATE(N494," ",G494),CONCATENATE(F494," + ",N494," ",G494))))</f>
        <v>Full year</v>
      </c>
      <c r="O484" s="266"/>
      <c r="P484" s="266"/>
      <c r="Q484" s="266"/>
      <c r="R484" s="266"/>
      <c r="S484" s="266"/>
      <c r="T484" s="266"/>
      <c r="U484" s="266"/>
      <c r="V484" s="266"/>
      <c r="W484" s="266"/>
      <c r="X484" s="266"/>
      <c r="Y484" s="266"/>
      <c r="Z484" s="266"/>
      <c r="AA484" s="266"/>
    </row>
    <row r="485" spans="2:27" hidden="1" outlineLevel="1" x14ac:dyDescent="0.2">
      <c r="F485" s="319">
        <v>1</v>
      </c>
      <c r="G485" s="319">
        <v>2</v>
      </c>
      <c r="H485" s="319">
        <v>3</v>
      </c>
      <c r="I485" s="319">
        <v>4</v>
      </c>
      <c r="J485" s="319">
        <v>5</v>
      </c>
      <c r="K485" s="319">
        <v>6</v>
      </c>
      <c r="N485" s="319">
        <v>1</v>
      </c>
      <c r="O485" s="319">
        <v>2</v>
      </c>
      <c r="P485" s="319">
        <v>3</v>
      </c>
      <c r="Q485" s="319">
        <v>4</v>
      </c>
      <c r="R485" s="319">
        <v>5</v>
      </c>
      <c r="S485" s="319">
        <v>6</v>
      </c>
    </row>
    <row r="486" spans="2:27" hidden="1" outlineLevel="1" x14ac:dyDescent="0.2">
      <c r="C486" s="103"/>
      <c r="D486" s="103"/>
      <c r="E486" t="s">
        <v>1193</v>
      </c>
    </row>
    <row r="487" spans="2:27" hidden="1" outlineLevel="1" x14ac:dyDescent="0.2">
      <c r="C487" s="103"/>
      <c r="D487" s="103"/>
      <c r="E487" s="260"/>
    </row>
    <row r="488" spans="2:27" hidden="1" outlineLevel="1" x14ac:dyDescent="0.2">
      <c r="C488" s="246">
        <f>IF(F488&lt;&gt;"",MATCH(F488,PxTxSource,0)-1,0)</f>
        <v>0</v>
      </c>
      <c r="D488" s="246">
        <f ca="1">IF(H488&lt;&gt;"",MATCH(H488,OFFSET(References!$AE$23,0,C488,PxPopMaxCount),0),0)</f>
        <v>0</v>
      </c>
      <c r="E488" s="8" t="s">
        <v>110</v>
      </c>
      <c r="F488" s="230"/>
      <c r="H488" s="580"/>
      <c r="I488" s="581"/>
      <c r="J488" s="581"/>
      <c r="K488" s="581"/>
      <c r="M488" s="217"/>
      <c r="N488" s="542" t="str">
        <f ca="1">IF(ISERROR($D489)=TRUE,MsgError &amp; VLOOKUP("BadPop",ErrorMessages,2,FALSE),"")</f>
        <v/>
      </c>
      <c r="O488" s="542"/>
      <c r="P488" s="542"/>
      <c r="Q488" s="542"/>
      <c r="R488" s="542"/>
      <c r="S488" s="542"/>
    </row>
    <row r="489" spans="2:27" hidden="1" outlineLevel="1" x14ac:dyDescent="0.2">
      <c r="C489" s="246">
        <f>INDEX(PxTxValid,,C488+1)</f>
        <v>1</v>
      </c>
      <c r="D489" s="246" t="str">
        <f ca="1">IF(AND(C488&lt;&gt;0,D488&lt;&gt;0),(C488*PxPopMaxCount)+D488,"")</f>
        <v/>
      </c>
      <c r="E489" s="103"/>
    </row>
    <row r="490" spans="2:27" hidden="1" outlineLevel="1" x14ac:dyDescent="0.2">
      <c r="E490" s="357"/>
      <c r="F490" s="74">
        <f>FirstYear</f>
        <v>2026</v>
      </c>
      <c r="G490" s="74">
        <f>F490+1</f>
        <v>2027</v>
      </c>
      <c r="H490" s="74">
        <f>G490+1</f>
        <v>2028</v>
      </c>
      <c r="I490" s="74">
        <f>H490+1</f>
        <v>2029</v>
      </c>
      <c r="J490" s="74">
        <f>I490+1</f>
        <v>2030</v>
      </c>
      <c r="K490" s="74">
        <f>J490+1</f>
        <v>2031</v>
      </c>
      <c r="L490" s="103"/>
      <c r="N490" s="74">
        <f>FirstYear</f>
        <v>2026</v>
      </c>
      <c r="O490" s="74">
        <f>N490+1</f>
        <v>2027</v>
      </c>
      <c r="P490" s="74">
        <f>O490+1</f>
        <v>2028</v>
      </c>
      <c r="Q490" s="74">
        <f>P490+1</f>
        <v>2029</v>
      </c>
      <c r="R490" s="74">
        <f>Q490+1</f>
        <v>2030</v>
      </c>
      <c r="S490" s="74">
        <f>R490+1</f>
        <v>2031</v>
      </c>
    </row>
    <row r="491" spans="2:27" hidden="1" outlineLevel="1" x14ac:dyDescent="0.2">
      <c r="E491" s="53" t="str">
        <f>TxPhase1Px</f>
        <v/>
      </c>
      <c r="F491" s="27">
        <f t="shared" ref="F491:K491" ca="1" si="656">IFERROR(INDEX(PxTxPhase1,$D489,F485),0)</f>
        <v>0</v>
      </c>
      <c r="G491" s="27">
        <f t="shared" ca="1" si="656"/>
        <v>0</v>
      </c>
      <c r="H491" s="27">
        <f t="shared" ca="1" si="656"/>
        <v>0</v>
      </c>
      <c r="I491" s="27">
        <f t="shared" ca="1" si="656"/>
        <v>0</v>
      </c>
      <c r="J491" s="27">
        <f t="shared" ca="1" si="656"/>
        <v>0</v>
      </c>
      <c r="K491" s="27">
        <f t="shared" ca="1" si="656"/>
        <v>0</v>
      </c>
      <c r="L491" s="103"/>
      <c r="M491" s="53" t="str">
        <f>TxPhase2Px</f>
        <v/>
      </c>
      <c r="N491" s="27">
        <f t="shared" ref="N491:S491" ca="1" si="657">IFERROR(INDEX(PxTxPhase2,$D489,N485),0)</f>
        <v>0</v>
      </c>
      <c r="O491" s="27">
        <f t="shared" ca="1" si="657"/>
        <v>0</v>
      </c>
      <c r="P491" s="27">
        <f t="shared" ca="1" si="657"/>
        <v>0</v>
      </c>
      <c r="Q491" s="27">
        <f t="shared" ca="1" si="657"/>
        <v>0</v>
      </c>
      <c r="R491" s="27">
        <f t="shared" ca="1" si="657"/>
        <v>0</v>
      </c>
      <c r="S491" s="27">
        <f t="shared" ca="1" si="657"/>
        <v>0</v>
      </c>
    </row>
    <row r="492" spans="2:27" hidden="1" outlineLevel="1" x14ac:dyDescent="0.2">
      <c r="L492" s="103"/>
    </row>
    <row r="493" spans="2:27" hidden="1" outlineLevel="1" x14ac:dyDescent="0.2">
      <c r="E493" s="103"/>
      <c r="F493" s="103"/>
      <c r="G493" s="103"/>
      <c r="H493" s="103"/>
      <c r="I493" s="103"/>
      <c r="J493" s="103"/>
      <c r="K493" s="103"/>
      <c r="L493" s="103"/>
      <c r="M493" s="103"/>
      <c r="U493" s="411"/>
      <c r="V493" s="412">
        <f>$W503*1</f>
        <v>0</v>
      </c>
      <c r="W493" s="412">
        <f>$W503*2</f>
        <v>0</v>
      </c>
      <c r="X493" s="412">
        <f>$W503*3</f>
        <v>0</v>
      </c>
      <c r="Y493" s="412">
        <f>$W503*4</f>
        <v>0</v>
      </c>
      <c r="Z493" s="412">
        <f>$W503*5</f>
        <v>0</v>
      </c>
      <c r="AA493" s="412">
        <f>$W503*6</f>
        <v>0</v>
      </c>
    </row>
    <row r="494" spans="2:27" hidden="1" outlineLevel="1" x14ac:dyDescent="0.2">
      <c r="E494" s="82" t="s">
        <v>1147</v>
      </c>
      <c r="F494" s="390"/>
      <c r="G494" s="227"/>
      <c r="H494" s="378"/>
      <c r="I494" s="378"/>
      <c r="J494" s="378"/>
      <c r="K494" s="378"/>
      <c r="L494" s="103"/>
      <c r="M494" s="82" t="s">
        <v>1147</v>
      </c>
      <c r="N494" s="390"/>
      <c r="O494" s="418" t="str">
        <f>IF(G494&lt;&gt;"",G494,"")</f>
        <v/>
      </c>
      <c r="P494" s="378"/>
      <c r="Q494" s="378"/>
      <c r="R494" s="378"/>
      <c r="S494" s="378"/>
      <c r="U494" s="413" t="s">
        <v>1143</v>
      </c>
      <c r="V494" s="414">
        <f>IF($F494&gt;=V493,$W503,IF($F494&gt;0,$F494,0))</f>
        <v>0</v>
      </c>
      <c r="W494" s="414">
        <f>IF($F494&gt;=W493,$W$41,IF($F494&gt;V493,($F494-V493),0))</f>
        <v>0</v>
      </c>
      <c r="X494" s="414">
        <f>IF($F494&gt;=X493,$W$41,IF($F494&gt;W493,($F494-W493),0))</f>
        <v>0</v>
      </c>
      <c r="Y494" s="414">
        <f>IF($F494&gt;=Y493,$W$41,IF($F494&gt;X493,($F494-X493),0))</f>
        <v>0</v>
      </c>
      <c r="Z494" s="414">
        <f>IF($F494&gt;=Z493,$W$41,IF($F494&gt;Y493,($F494-Y493),0))</f>
        <v>0</v>
      </c>
      <c r="AA494" s="414">
        <f>IF($F494&gt;=AA493,$W$41,IF($F494&gt;Z493,($F494-Z493),0))</f>
        <v>0</v>
      </c>
    </row>
    <row r="495" spans="2:27" hidden="1" outlineLevel="1" x14ac:dyDescent="0.2">
      <c r="L495" s="103"/>
      <c r="M495" s="437"/>
      <c r="N495" s="438"/>
      <c r="O495" s="438"/>
      <c r="P495" s="438"/>
      <c r="Q495" s="438"/>
      <c r="R495" s="438"/>
      <c r="S495" s="438"/>
      <c r="U495" s="415" t="s">
        <v>1144</v>
      </c>
      <c r="V495" s="412">
        <f t="shared" ref="V495:AA495" si="658">IF(V494&gt;0,$W503-V494,$W503)</f>
        <v>0</v>
      </c>
      <c r="W495" s="412">
        <f t="shared" si="658"/>
        <v>0</v>
      </c>
      <c r="X495" s="412">
        <f t="shared" si="658"/>
        <v>0</v>
      </c>
      <c r="Y495" s="412">
        <f t="shared" si="658"/>
        <v>0</v>
      </c>
      <c r="Z495" s="412">
        <f t="shared" si="658"/>
        <v>0</v>
      </c>
      <c r="AA495" s="412">
        <f t="shared" si="658"/>
        <v>0</v>
      </c>
    </row>
    <row r="496" spans="2:27" hidden="1" outlineLevel="1" x14ac:dyDescent="0.2">
      <c r="E496" s="437" t="str">
        <f>E491</f>
        <v/>
      </c>
      <c r="F496" s="419"/>
      <c r="G496" s="419"/>
      <c r="H496" s="419"/>
      <c r="I496" s="419"/>
      <c r="J496" s="419"/>
      <c r="K496" s="419"/>
      <c r="L496" s="103"/>
      <c r="M496" s="437" t="str">
        <f>M491</f>
        <v/>
      </c>
      <c r="N496" s="439"/>
      <c r="O496" s="440"/>
      <c r="P496" s="440"/>
      <c r="Q496" s="440"/>
      <c r="R496" s="440"/>
      <c r="S496" s="440"/>
      <c r="U496" s="378"/>
      <c r="V496" s="378"/>
      <c r="W496" s="378"/>
      <c r="X496" s="378"/>
      <c r="Y496" s="378"/>
      <c r="Z496" s="378"/>
      <c r="AA496" s="378"/>
    </row>
    <row r="497" spans="2:27" hidden="1" outlineLevel="1" x14ac:dyDescent="0.2">
      <c r="E497" s="81" t="s">
        <v>1194</v>
      </c>
      <c r="F497" s="57">
        <f ca="1">$F491*V500</f>
        <v>0</v>
      </c>
      <c r="G497" s="57">
        <f t="shared" ref="G497" ca="1" si="659">$F491*W500</f>
        <v>0</v>
      </c>
      <c r="H497" s="57">
        <f t="shared" ref="H497" ca="1" si="660">$F491*X500</f>
        <v>0</v>
      </c>
      <c r="I497" s="57">
        <f t="shared" ref="I497" ca="1" si="661">$F491*Y500</f>
        <v>0</v>
      </c>
      <c r="J497" s="57">
        <f t="shared" ref="J497" ca="1" si="662">$F491*Z500</f>
        <v>0</v>
      </c>
      <c r="K497" s="57">
        <f t="shared" ref="K497" ca="1" si="663">$F491*AA500</f>
        <v>0</v>
      </c>
      <c r="L497" s="103"/>
      <c r="M497" s="81" t="s">
        <v>1194</v>
      </c>
      <c r="N497" s="57">
        <f ca="1">$N491*V501</f>
        <v>0</v>
      </c>
      <c r="O497" s="57">
        <f ca="1">$N491*W501</f>
        <v>0</v>
      </c>
      <c r="P497" s="57">
        <f t="shared" ref="P497" ca="1" si="664">$N491*X501</f>
        <v>0</v>
      </c>
      <c r="Q497" s="57">
        <f t="shared" ref="Q497" ca="1" si="665">$N491*Y501</f>
        <v>0</v>
      </c>
      <c r="R497" s="57">
        <f t="shared" ref="R497" ca="1" si="666">$N491*Z501</f>
        <v>0</v>
      </c>
      <c r="S497" s="57">
        <f t="shared" ref="S497" ca="1" si="667">$N491*AA501</f>
        <v>0</v>
      </c>
      <c r="U497" s="415" t="s">
        <v>1145</v>
      </c>
      <c r="V497" s="414">
        <f>IF($N494&gt;=V495,V495,N494)</f>
        <v>0</v>
      </c>
      <c r="W497" s="414">
        <f>IF(V498&gt;=W495,W495,V498)</f>
        <v>0</v>
      </c>
      <c r="X497" s="414">
        <f>IF(W498&gt;=X495,X495,W498)</f>
        <v>0</v>
      </c>
      <c r="Y497" s="414">
        <f>IF(X498&gt;=Y495,Y495,X498)</f>
        <v>0</v>
      </c>
      <c r="Z497" s="414">
        <f>IF(Y498&gt;=Z495,Z495,Y498)</f>
        <v>0</v>
      </c>
      <c r="AA497" s="414">
        <f>IF(Z498&gt;=AA495,AA495,Z498)</f>
        <v>0</v>
      </c>
    </row>
    <row r="498" spans="2:27" hidden="1" outlineLevel="1" x14ac:dyDescent="0.2">
      <c r="E498" s="81" t="s">
        <v>1195</v>
      </c>
      <c r="F498" s="115"/>
      <c r="G498" s="57">
        <f ca="1">$G491*V500</f>
        <v>0</v>
      </c>
      <c r="H498" s="57">
        <f t="shared" ref="H498" ca="1" si="668">$G491*W500</f>
        <v>0</v>
      </c>
      <c r="I498" s="57">
        <f t="shared" ref="I498" ca="1" si="669">$G491*X500</f>
        <v>0</v>
      </c>
      <c r="J498" s="57">
        <f t="shared" ref="J498" ca="1" si="670">$G491*Y500</f>
        <v>0</v>
      </c>
      <c r="K498" s="57">
        <f t="shared" ref="K498" ca="1" si="671">$G491*Z500</f>
        <v>0</v>
      </c>
      <c r="L498" s="103"/>
      <c r="M498" s="81" t="s">
        <v>1195</v>
      </c>
      <c r="N498" s="115"/>
      <c r="O498" s="57">
        <f ca="1">$O491*V501</f>
        <v>0</v>
      </c>
      <c r="P498" s="57">
        <f t="shared" ref="P498" ca="1" si="672">$O491*W501</f>
        <v>0</v>
      </c>
      <c r="Q498" s="57">
        <f t="shared" ref="Q498" ca="1" si="673">$O491*X501</f>
        <v>0</v>
      </c>
      <c r="R498" s="57">
        <f t="shared" ref="R498" ca="1" si="674">$O491*Y501</f>
        <v>0</v>
      </c>
      <c r="S498" s="57">
        <f t="shared" ref="S498" ca="1" si="675">$O491*Z501</f>
        <v>0</v>
      </c>
      <c r="U498" s="415" t="s">
        <v>1146</v>
      </c>
      <c r="V498" s="412">
        <f>$N494-V497</f>
        <v>0</v>
      </c>
      <c r="W498" s="412">
        <f>$N494-SUM($V497:W497)</f>
        <v>0</v>
      </c>
      <c r="X498" s="412">
        <f>$N494-SUM($V497:X497)</f>
        <v>0</v>
      </c>
      <c r="Y498" s="412">
        <f>$N494-SUM($V497:Y497)</f>
        <v>0</v>
      </c>
      <c r="Z498" s="412">
        <f>$N494-SUM($V497:Z497)</f>
        <v>0</v>
      </c>
      <c r="AA498" s="412">
        <f>$N494-SUM($V497:AA497)</f>
        <v>0</v>
      </c>
    </row>
    <row r="499" spans="2:27" hidden="1" outlineLevel="1" x14ac:dyDescent="0.2">
      <c r="E499" s="81" t="s">
        <v>1196</v>
      </c>
      <c r="F499" s="115"/>
      <c r="G499" s="115"/>
      <c r="H499" s="57">
        <f ca="1">$H491*V500</f>
        <v>0</v>
      </c>
      <c r="I499" s="57">
        <f t="shared" ref="I499" ca="1" si="676">$H491*W500</f>
        <v>0</v>
      </c>
      <c r="J499" s="57">
        <f t="shared" ref="J499" ca="1" si="677">$H491*X500</f>
        <v>0</v>
      </c>
      <c r="K499" s="57">
        <f t="shared" ref="K499" ca="1" si="678">$H491*Y500</f>
        <v>0</v>
      </c>
      <c r="L499" s="103"/>
      <c r="M499" s="81" t="s">
        <v>1196</v>
      </c>
      <c r="N499" s="115"/>
      <c r="O499" s="115"/>
      <c r="P499" s="57">
        <f ca="1">$P491*V501</f>
        <v>0</v>
      </c>
      <c r="Q499" s="57">
        <f t="shared" ref="Q499" ca="1" si="679">$P491*W501</f>
        <v>0</v>
      </c>
      <c r="R499" s="57">
        <f t="shared" ref="R499" ca="1" si="680">$P491*X501</f>
        <v>0</v>
      </c>
      <c r="S499" s="57">
        <f t="shared" ref="S499" ca="1" si="681">$P491*Y501</f>
        <v>0</v>
      </c>
      <c r="V499" s="416"/>
      <c r="AA499" s="378"/>
    </row>
    <row r="500" spans="2:27" hidden="1" outlineLevel="1" x14ac:dyDescent="0.2">
      <c r="E500" s="81" t="s">
        <v>1197</v>
      </c>
      <c r="F500" s="115"/>
      <c r="G500" s="115"/>
      <c r="H500" s="115"/>
      <c r="I500" s="57">
        <f ca="1">$I491*V500</f>
        <v>0</v>
      </c>
      <c r="J500" s="57">
        <f t="shared" ref="J500" ca="1" si="682">$I491*W500</f>
        <v>0</v>
      </c>
      <c r="K500" s="57">
        <f t="shared" ref="K500" ca="1" si="683">$I491*X500</f>
        <v>0</v>
      </c>
      <c r="L500" s="103"/>
      <c r="M500" s="81" t="s">
        <v>1197</v>
      </c>
      <c r="N500" s="115"/>
      <c r="O500" s="115"/>
      <c r="P500" s="115"/>
      <c r="Q500" s="57">
        <f ca="1">$Q491*V501</f>
        <v>0</v>
      </c>
      <c r="R500" s="57">
        <f t="shared" ref="R500" ca="1" si="684">$Q491*W501</f>
        <v>0</v>
      </c>
      <c r="S500" s="57">
        <f t="shared" ref="S500" ca="1" si="685">$Q491*X501</f>
        <v>0</v>
      </c>
      <c r="U500" s="413" t="s">
        <v>1143</v>
      </c>
      <c r="V500" s="417">
        <f t="shared" ref="V500:AA500" si="686">IFERROR(V494/$W503,0)</f>
        <v>0</v>
      </c>
      <c r="W500" s="417">
        <f t="shared" si="686"/>
        <v>0</v>
      </c>
      <c r="X500" s="417">
        <f t="shared" si="686"/>
        <v>0</v>
      </c>
      <c r="Y500" s="417">
        <f t="shared" si="686"/>
        <v>0</v>
      </c>
      <c r="Z500" s="417">
        <f t="shared" si="686"/>
        <v>0</v>
      </c>
      <c r="AA500" s="417">
        <f t="shared" si="686"/>
        <v>0</v>
      </c>
    </row>
    <row r="501" spans="2:27" hidden="1" outlineLevel="1" x14ac:dyDescent="0.2">
      <c r="E501" s="81" t="s">
        <v>1198</v>
      </c>
      <c r="F501" s="115"/>
      <c r="G501" s="115"/>
      <c r="H501" s="115"/>
      <c r="I501" s="115"/>
      <c r="J501" s="57">
        <f ca="1">$J491*V500</f>
        <v>0</v>
      </c>
      <c r="K501" s="57">
        <f ca="1">$J491*W500</f>
        <v>0</v>
      </c>
      <c r="L501" s="103"/>
      <c r="M501" s="81" t="s">
        <v>1198</v>
      </c>
      <c r="N501" s="115"/>
      <c r="O501" s="115"/>
      <c r="P501" s="115"/>
      <c r="Q501" s="115"/>
      <c r="R501" s="57">
        <f ca="1">$R491*V501</f>
        <v>0</v>
      </c>
      <c r="S501" s="57">
        <f ca="1">$R491*W501</f>
        <v>0</v>
      </c>
      <c r="U501" s="415" t="s">
        <v>1145</v>
      </c>
      <c r="V501" s="417">
        <f t="shared" ref="V501:AA501" si="687">IFERROR(V497/$W503,0)</f>
        <v>0</v>
      </c>
      <c r="W501" s="417">
        <f t="shared" si="687"/>
        <v>0</v>
      </c>
      <c r="X501" s="417">
        <f t="shared" si="687"/>
        <v>0</v>
      </c>
      <c r="Y501" s="417">
        <f t="shared" si="687"/>
        <v>0</v>
      </c>
      <c r="Z501" s="417">
        <f t="shared" si="687"/>
        <v>0</v>
      </c>
      <c r="AA501" s="417">
        <f t="shared" si="687"/>
        <v>0</v>
      </c>
    </row>
    <row r="502" spans="2:27" hidden="1" outlineLevel="1" x14ac:dyDescent="0.2">
      <c r="E502" s="81" t="s">
        <v>1199</v>
      </c>
      <c r="F502" s="115"/>
      <c r="G502" s="115"/>
      <c r="H502" s="115"/>
      <c r="I502" s="115"/>
      <c r="J502" s="115"/>
      <c r="K502" s="57">
        <f ca="1">$K491*V500</f>
        <v>0</v>
      </c>
      <c r="L502" s="103"/>
      <c r="M502" s="81" t="s">
        <v>1199</v>
      </c>
      <c r="N502" s="115"/>
      <c r="O502" s="115"/>
      <c r="P502" s="115"/>
      <c r="Q502" s="115"/>
      <c r="R502" s="115"/>
      <c r="S502" s="57">
        <f ca="1">$S491*V501</f>
        <v>0</v>
      </c>
    </row>
    <row r="503" spans="2:27" hidden="1" outlineLevel="1" x14ac:dyDescent="0.2">
      <c r="E503" s="420" t="str">
        <f>TxPhase1PxUnitsTx</f>
        <v/>
      </c>
      <c r="F503" s="421">
        <f ca="1">IF(F494&lt;&gt;"",SUM(F497:F502),F491)</f>
        <v>0</v>
      </c>
      <c r="G503" s="421">
        <f ca="1">IF(F494&lt;&gt;"",SUM(G497:G502),G491)</f>
        <v>0</v>
      </c>
      <c r="H503" s="421">
        <f ca="1">IF(F494&lt;&gt;"",SUM(H497:H502),H491)</f>
        <v>0</v>
      </c>
      <c r="I503" s="421">
        <f ca="1">IF(F494&lt;&gt;"",SUM(I497:I502),I491)</f>
        <v>0</v>
      </c>
      <c r="J503" s="421">
        <f ca="1">IF(F494&lt;&gt;"",SUM(J497:J502),J491)</f>
        <v>0</v>
      </c>
      <c r="K503" s="421">
        <f ca="1">IF(F494&lt;&gt;"",SUM(K497:K502),K491)</f>
        <v>0</v>
      </c>
      <c r="L503" s="103"/>
      <c r="M503" s="420" t="str">
        <f>TxPhase2PxUnitsTx</f>
        <v/>
      </c>
      <c r="N503" s="421">
        <f ca="1">IF(N494&lt;&gt;"",SUM(N497:N502),N491)</f>
        <v>0</v>
      </c>
      <c r="O503" s="421">
        <f ca="1">IF(N494&lt;&gt;"",SUM(O497:O502),O491)</f>
        <v>0</v>
      </c>
      <c r="P503" s="421">
        <f ca="1">IF(N494&lt;&gt;"",SUM(P497:P502),P491)</f>
        <v>0</v>
      </c>
      <c r="Q503" s="421">
        <f ca="1">IF(N494&lt;&gt;"",SUM(Q497:Q502),Q491)</f>
        <v>0</v>
      </c>
      <c r="R503" s="421">
        <f ca="1">IF(N494&lt;&gt;"",SUM(R497:R502),R491)</f>
        <v>0</v>
      </c>
      <c r="S503" s="421">
        <f ca="1">IF(N494&lt;&gt;"",SUM(S497:S502),S491)</f>
        <v>0</v>
      </c>
      <c r="U503" s="415" t="s">
        <v>1148</v>
      </c>
      <c r="V503" s="412">
        <f>IFERROR(VLOOKUP(G494,TimeUnitCode,2,FALSE),0)</f>
        <v>0</v>
      </c>
      <c r="W503" s="412">
        <f>IFERROR(INDEX(TimeUnitCount,V503,2),0)</f>
        <v>0</v>
      </c>
    </row>
    <row r="504" spans="2:27" hidden="1" outlineLevel="1" x14ac:dyDescent="0.2"/>
    <row r="505" spans="2:27" collapsed="1" x14ac:dyDescent="0.2"/>
    <row r="506" spans="2:27" ht="15.75" x14ac:dyDescent="0.2">
      <c r="B506" s="246">
        <f>IF(F516+N516&gt;12,1,0)</f>
        <v>0</v>
      </c>
      <c r="C506" s="246">
        <f ca="1">IFERROR(INDEX(PxTxPhase1,$D511,7),0)</f>
        <v>0</v>
      </c>
      <c r="D506" s="396">
        <v>23</v>
      </c>
      <c r="E506" s="72" t="str">
        <f>IF(F510&lt;&gt;"",CONCATENATE("DTG ",D506,": ",H510,": ",N506),MsgNotUsed)</f>
        <v>** NOT USED **</v>
      </c>
      <c r="F506" s="116"/>
      <c r="G506" s="116"/>
      <c r="H506" s="116"/>
      <c r="I506" s="116"/>
      <c r="J506" s="118"/>
      <c r="K506" s="118"/>
      <c r="L506" s="118"/>
      <c r="M506" s="266"/>
      <c r="N506" s="445" t="str">
        <f>IF(AND(F516="",N516=""),"Full year",IF(AND(F516&lt;&gt;"",N516=""),CONCATENATE(F516," ",G516),IF(AND(F516="",N516&lt;&gt;""),CONCATENATE(N516," ",G516),CONCATENATE(F516," + ",N516," ",G516))))</f>
        <v>Full year</v>
      </c>
      <c r="O506" s="266"/>
      <c r="P506" s="266"/>
      <c r="Q506" s="266"/>
      <c r="R506" s="266"/>
      <c r="S506" s="266"/>
      <c r="T506" s="266"/>
      <c r="U506" s="266"/>
      <c r="V506" s="266"/>
      <c r="W506" s="266"/>
      <c r="X506" s="266"/>
      <c r="Y506" s="266"/>
      <c r="Z506" s="266"/>
      <c r="AA506" s="266"/>
    </row>
    <row r="507" spans="2:27" hidden="1" outlineLevel="1" x14ac:dyDescent="0.2">
      <c r="F507" s="319">
        <v>1</v>
      </c>
      <c r="G507" s="319">
        <v>2</v>
      </c>
      <c r="H507" s="319">
        <v>3</v>
      </c>
      <c r="I507" s="319">
        <v>4</v>
      </c>
      <c r="J507" s="319">
        <v>5</v>
      </c>
      <c r="K507" s="319">
        <v>6</v>
      </c>
      <c r="N507" s="319">
        <v>1</v>
      </c>
      <c r="O507" s="319">
        <v>2</v>
      </c>
      <c r="P507" s="319">
        <v>3</v>
      </c>
      <c r="Q507" s="319">
        <v>4</v>
      </c>
      <c r="R507" s="319">
        <v>5</v>
      </c>
      <c r="S507" s="319">
        <v>6</v>
      </c>
    </row>
    <row r="508" spans="2:27" hidden="1" outlineLevel="1" x14ac:dyDescent="0.2">
      <c r="C508" s="103"/>
      <c r="D508" s="103"/>
      <c r="E508" t="s">
        <v>1193</v>
      </c>
    </row>
    <row r="509" spans="2:27" hidden="1" outlineLevel="1" x14ac:dyDescent="0.2">
      <c r="C509" s="103"/>
      <c r="D509" s="103"/>
      <c r="E509" s="260"/>
    </row>
    <row r="510" spans="2:27" hidden="1" outlineLevel="1" x14ac:dyDescent="0.2">
      <c r="C510" s="246">
        <f>IF(F510&lt;&gt;"",MATCH(F510,PxTxSource,0)-1,0)</f>
        <v>0</v>
      </c>
      <c r="D510" s="246">
        <f ca="1">IF(H510&lt;&gt;"",MATCH(H510,OFFSET(References!$AE$23,0,C510,PxPopMaxCount),0),0)</f>
        <v>0</v>
      </c>
      <c r="E510" s="8" t="s">
        <v>110</v>
      </c>
      <c r="F510" s="230"/>
      <c r="H510" s="580"/>
      <c r="I510" s="581"/>
      <c r="J510" s="581"/>
      <c r="K510" s="581"/>
      <c r="M510" s="217"/>
      <c r="N510" s="542" t="str">
        <f ca="1">IF(ISERROR($D511)=TRUE,MsgError &amp; VLOOKUP("BadPop",ErrorMessages,2,FALSE),"")</f>
        <v/>
      </c>
      <c r="O510" s="542"/>
      <c r="P510" s="542"/>
      <c r="Q510" s="542"/>
      <c r="R510" s="542"/>
      <c r="S510" s="542"/>
    </row>
    <row r="511" spans="2:27" hidden="1" outlineLevel="1" x14ac:dyDescent="0.2">
      <c r="C511" s="246">
        <f>INDEX(PxTxValid,,C510+1)</f>
        <v>1</v>
      </c>
      <c r="D511" s="246" t="str">
        <f ca="1">IF(AND(C510&lt;&gt;0,D510&lt;&gt;0),(C510*PxPopMaxCount)+D510,"")</f>
        <v/>
      </c>
      <c r="E511" s="103"/>
    </row>
    <row r="512" spans="2:27" hidden="1" outlineLevel="1" x14ac:dyDescent="0.2">
      <c r="E512" s="357"/>
      <c r="F512" s="74">
        <f>FirstYear</f>
        <v>2026</v>
      </c>
      <c r="G512" s="74">
        <f>F512+1</f>
        <v>2027</v>
      </c>
      <c r="H512" s="74">
        <f>G512+1</f>
        <v>2028</v>
      </c>
      <c r="I512" s="74">
        <f>H512+1</f>
        <v>2029</v>
      </c>
      <c r="J512" s="74">
        <f>I512+1</f>
        <v>2030</v>
      </c>
      <c r="K512" s="74">
        <f>J512+1</f>
        <v>2031</v>
      </c>
      <c r="L512" s="103"/>
      <c r="N512" s="74">
        <f>FirstYear</f>
        <v>2026</v>
      </c>
      <c r="O512" s="74">
        <f>N512+1</f>
        <v>2027</v>
      </c>
      <c r="P512" s="74">
        <f>O512+1</f>
        <v>2028</v>
      </c>
      <c r="Q512" s="74">
        <f>P512+1</f>
        <v>2029</v>
      </c>
      <c r="R512" s="74">
        <f>Q512+1</f>
        <v>2030</v>
      </c>
      <c r="S512" s="74">
        <f>R512+1</f>
        <v>2031</v>
      </c>
    </row>
    <row r="513" spans="2:27" hidden="1" outlineLevel="1" x14ac:dyDescent="0.2">
      <c r="E513" s="53" t="str">
        <f>TxPhase1Px</f>
        <v/>
      </c>
      <c r="F513" s="27">
        <f t="shared" ref="F513:K513" ca="1" si="688">IFERROR(INDEX(PxTxPhase1,$D511,F507),0)</f>
        <v>0</v>
      </c>
      <c r="G513" s="27">
        <f t="shared" ca="1" si="688"/>
        <v>0</v>
      </c>
      <c r="H513" s="27">
        <f t="shared" ca="1" si="688"/>
        <v>0</v>
      </c>
      <c r="I513" s="27">
        <f t="shared" ca="1" si="688"/>
        <v>0</v>
      </c>
      <c r="J513" s="27">
        <f t="shared" ca="1" si="688"/>
        <v>0</v>
      </c>
      <c r="K513" s="27">
        <f t="shared" ca="1" si="688"/>
        <v>0</v>
      </c>
      <c r="L513" s="103"/>
      <c r="M513" s="53" t="str">
        <f>TxPhase2Px</f>
        <v/>
      </c>
      <c r="N513" s="27">
        <f t="shared" ref="N513:S513" ca="1" si="689">IFERROR(INDEX(PxTxPhase2,$D511,N507),0)</f>
        <v>0</v>
      </c>
      <c r="O513" s="27">
        <f t="shared" ca="1" si="689"/>
        <v>0</v>
      </c>
      <c r="P513" s="27">
        <f t="shared" ca="1" si="689"/>
        <v>0</v>
      </c>
      <c r="Q513" s="27">
        <f t="shared" ca="1" si="689"/>
        <v>0</v>
      </c>
      <c r="R513" s="27">
        <f t="shared" ca="1" si="689"/>
        <v>0</v>
      </c>
      <c r="S513" s="27">
        <f t="shared" ca="1" si="689"/>
        <v>0</v>
      </c>
    </row>
    <row r="514" spans="2:27" hidden="1" outlineLevel="1" x14ac:dyDescent="0.2">
      <c r="L514" s="103"/>
    </row>
    <row r="515" spans="2:27" hidden="1" outlineLevel="1" x14ac:dyDescent="0.2">
      <c r="E515" s="103"/>
      <c r="F515" s="103"/>
      <c r="G515" s="103"/>
      <c r="H515" s="103"/>
      <c r="I515" s="103"/>
      <c r="J515" s="103"/>
      <c r="K515" s="103"/>
      <c r="L515" s="103"/>
      <c r="M515" s="103"/>
      <c r="U515" s="411"/>
      <c r="V515" s="412">
        <f>$W525*1</f>
        <v>0</v>
      </c>
      <c r="W515" s="412">
        <f>$W525*2</f>
        <v>0</v>
      </c>
      <c r="X515" s="412">
        <f>$W525*3</f>
        <v>0</v>
      </c>
      <c r="Y515" s="412">
        <f>$W525*4</f>
        <v>0</v>
      </c>
      <c r="Z515" s="412">
        <f>$W525*5</f>
        <v>0</v>
      </c>
      <c r="AA515" s="412">
        <f>$W525*6</f>
        <v>0</v>
      </c>
    </row>
    <row r="516" spans="2:27" hidden="1" outlineLevel="1" x14ac:dyDescent="0.2">
      <c r="E516" s="82" t="s">
        <v>1147</v>
      </c>
      <c r="F516" s="390"/>
      <c r="G516" s="227"/>
      <c r="H516" s="378"/>
      <c r="I516" s="378"/>
      <c r="J516" s="378"/>
      <c r="K516" s="378"/>
      <c r="L516" s="103"/>
      <c r="M516" s="82" t="s">
        <v>1147</v>
      </c>
      <c r="N516" s="390"/>
      <c r="O516" s="418" t="str">
        <f>IF(G516&lt;&gt;"",G516,"")</f>
        <v/>
      </c>
      <c r="P516" s="378"/>
      <c r="Q516" s="378"/>
      <c r="R516" s="378"/>
      <c r="S516" s="378"/>
      <c r="U516" s="413" t="s">
        <v>1143</v>
      </c>
      <c r="V516" s="414">
        <f>IF($F516&gt;=V515,$W525,IF($F516&gt;0,$F516,0))</f>
        <v>0</v>
      </c>
      <c r="W516" s="414">
        <f>IF($F516&gt;=W515,$W$41,IF($F516&gt;V515,($F516-V515),0))</f>
        <v>0</v>
      </c>
      <c r="X516" s="414">
        <f>IF($F516&gt;=X515,$W$41,IF($F516&gt;W515,($F516-W515),0))</f>
        <v>0</v>
      </c>
      <c r="Y516" s="414">
        <f>IF($F516&gt;=Y515,$W$41,IF($F516&gt;X515,($F516-X515),0))</f>
        <v>0</v>
      </c>
      <c r="Z516" s="414">
        <f>IF($F516&gt;=Z515,$W$41,IF($F516&gt;Y515,($F516-Y515),0))</f>
        <v>0</v>
      </c>
      <c r="AA516" s="414">
        <f>IF($F516&gt;=AA515,$W$41,IF($F516&gt;Z515,($F516-Z515),0))</f>
        <v>0</v>
      </c>
    </row>
    <row r="517" spans="2:27" hidden="1" outlineLevel="1" x14ac:dyDescent="0.2">
      <c r="L517" s="103"/>
      <c r="M517" s="437"/>
      <c r="N517" s="438"/>
      <c r="O517" s="438"/>
      <c r="P517" s="438"/>
      <c r="Q517" s="438"/>
      <c r="R517" s="438"/>
      <c r="S517" s="438"/>
      <c r="U517" s="415" t="s">
        <v>1144</v>
      </c>
      <c r="V517" s="412">
        <f t="shared" ref="V517:AA517" si="690">IF(V516&gt;0,$W525-V516,$W525)</f>
        <v>0</v>
      </c>
      <c r="W517" s="412">
        <f t="shared" si="690"/>
        <v>0</v>
      </c>
      <c r="X517" s="412">
        <f t="shared" si="690"/>
        <v>0</v>
      </c>
      <c r="Y517" s="412">
        <f t="shared" si="690"/>
        <v>0</v>
      </c>
      <c r="Z517" s="412">
        <f t="shared" si="690"/>
        <v>0</v>
      </c>
      <c r="AA517" s="412">
        <f t="shared" si="690"/>
        <v>0</v>
      </c>
    </row>
    <row r="518" spans="2:27" hidden="1" outlineLevel="1" x14ac:dyDescent="0.2">
      <c r="E518" s="437" t="str">
        <f>E513</f>
        <v/>
      </c>
      <c r="F518" s="419"/>
      <c r="G518" s="419"/>
      <c r="H518" s="419"/>
      <c r="I518" s="419"/>
      <c r="J518" s="419"/>
      <c r="K518" s="419"/>
      <c r="L518" s="103"/>
      <c r="M518" s="437" t="str">
        <f>M513</f>
        <v/>
      </c>
      <c r="N518" s="439"/>
      <c r="O518" s="440"/>
      <c r="P518" s="440"/>
      <c r="Q518" s="440"/>
      <c r="R518" s="440"/>
      <c r="S518" s="440"/>
      <c r="U518" s="378"/>
      <c r="V518" s="378"/>
      <c r="W518" s="378"/>
      <c r="X518" s="378"/>
      <c r="Y518" s="378"/>
      <c r="Z518" s="378"/>
      <c r="AA518" s="378"/>
    </row>
    <row r="519" spans="2:27" hidden="1" outlineLevel="1" x14ac:dyDescent="0.2">
      <c r="E519" s="81" t="s">
        <v>1194</v>
      </c>
      <c r="F519" s="57">
        <f ca="1">$F513*V522</f>
        <v>0</v>
      </c>
      <c r="G519" s="57">
        <f t="shared" ref="G519" ca="1" si="691">$F513*W522</f>
        <v>0</v>
      </c>
      <c r="H519" s="57">
        <f t="shared" ref="H519" ca="1" si="692">$F513*X522</f>
        <v>0</v>
      </c>
      <c r="I519" s="57">
        <f t="shared" ref="I519" ca="1" si="693">$F513*Y522</f>
        <v>0</v>
      </c>
      <c r="J519" s="57">
        <f t="shared" ref="J519" ca="1" si="694">$F513*Z522</f>
        <v>0</v>
      </c>
      <c r="K519" s="57">
        <f t="shared" ref="K519" ca="1" si="695">$F513*AA522</f>
        <v>0</v>
      </c>
      <c r="L519" s="103"/>
      <c r="M519" s="81" t="s">
        <v>1194</v>
      </c>
      <c r="N519" s="57">
        <f ca="1">$N513*V523</f>
        <v>0</v>
      </c>
      <c r="O519" s="57">
        <f ca="1">$N513*W523</f>
        <v>0</v>
      </c>
      <c r="P519" s="57">
        <f t="shared" ref="P519" ca="1" si="696">$N513*X523</f>
        <v>0</v>
      </c>
      <c r="Q519" s="57">
        <f t="shared" ref="Q519" ca="1" si="697">$N513*Y523</f>
        <v>0</v>
      </c>
      <c r="R519" s="57">
        <f t="shared" ref="R519" ca="1" si="698">$N513*Z523</f>
        <v>0</v>
      </c>
      <c r="S519" s="57">
        <f t="shared" ref="S519" ca="1" si="699">$N513*AA523</f>
        <v>0</v>
      </c>
      <c r="U519" s="415" t="s">
        <v>1145</v>
      </c>
      <c r="V519" s="414">
        <f>IF($N516&gt;=V517,V517,N516)</f>
        <v>0</v>
      </c>
      <c r="W519" s="414">
        <f>IF(V520&gt;=W517,W517,V520)</f>
        <v>0</v>
      </c>
      <c r="X519" s="414">
        <f>IF(W520&gt;=X517,X517,W520)</f>
        <v>0</v>
      </c>
      <c r="Y519" s="414">
        <f>IF(X520&gt;=Y517,Y517,X520)</f>
        <v>0</v>
      </c>
      <c r="Z519" s="414">
        <f>IF(Y520&gt;=Z517,Z517,Y520)</f>
        <v>0</v>
      </c>
      <c r="AA519" s="414">
        <f>IF(Z520&gt;=AA517,AA517,Z520)</f>
        <v>0</v>
      </c>
    </row>
    <row r="520" spans="2:27" hidden="1" outlineLevel="1" x14ac:dyDescent="0.2">
      <c r="E520" s="81" t="s">
        <v>1195</v>
      </c>
      <c r="F520" s="115"/>
      <c r="G520" s="57">
        <f ca="1">$G513*V522</f>
        <v>0</v>
      </c>
      <c r="H520" s="57">
        <f t="shared" ref="H520" ca="1" si="700">$G513*W522</f>
        <v>0</v>
      </c>
      <c r="I520" s="57">
        <f t="shared" ref="I520" ca="1" si="701">$G513*X522</f>
        <v>0</v>
      </c>
      <c r="J520" s="57">
        <f t="shared" ref="J520" ca="1" si="702">$G513*Y522</f>
        <v>0</v>
      </c>
      <c r="K520" s="57">
        <f t="shared" ref="K520" ca="1" si="703">$G513*Z522</f>
        <v>0</v>
      </c>
      <c r="L520" s="103"/>
      <c r="M520" s="81" t="s">
        <v>1195</v>
      </c>
      <c r="N520" s="115"/>
      <c r="O520" s="57">
        <f ca="1">$O513*V523</f>
        <v>0</v>
      </c>
      <c r="P520" s="57">
        <f t="shared" ref="P520" ca="1" si="704">$O513*W523</f>
        <v>0</v>
      </c>
      <c r="Q520" s="57">
        <f t="shared" ref="Q520" ca="1" si="705">$O513*X523</f>
        <v>0</v>
      </c>
      <c r="R520" s="57">
        <f t="shared" ref="R520" ca="1" si="706">$O513*Y523</f>
        <v>0</v>
      </c>
      <c r="S520" s="57">
        <f t="shared" ref="S520" ca="1" si="707">$O513*Z523</f>
        <v>0</v>
      </c>
      <c r="U520" s="415" t="s">
        <v>1146</v>
      </c>
      <c r="V520" s="412">
        <f>$N516-V519</f>
        <v>0</v>
      </c>
      <c r="W520" s="412">
        <f>$N516-SUM($V519:W519)</f>
        <v>0</v>
      </c>
      <c r="X520" s="412">
        <f>$N516-SUM($V519:X519)</f>
        <v>0</v>
      </c>
      <c r="Y520" s="412">
        <f>$N516-SUM($V519:Y519)</f>
        <v>0</v>
      </c>
      <c r="Z520" s="412">
        <f>$N516-SUM($V519:Z519)</f>
        <v>0</v>
      </c>
      <c r="AA520" s="412">
        <f>$N516-SUM($V519:AA519)</f>
        <v>0</v>
      </c>
    </row>
    <row r="521" spans="2:27" hidden="1" outlineLevel="1" x14ac:dyDescent="0.2">
      <c r="E521" s="81" t="s">
        <v>1196</v>
      </c>
      <c r="F521" s="115"/>
      <c r="G521" s="115"/>
      <c r="H521" s="57">
        <f ca="1">$H513*V522</f>
        <v>0</v>
      </c>
      <c r="I521" s="57">
        <f t="shared" ref="I521" ca="1" si="708">$H513*W522</f>
        <v>0</v>
      </c>
      <c r="J521" s="57">
        <f t="shared" ref="J521" ca="1" si="709">$H513*X522</f>
        <v>0</v>
      </c>
      <c r="K521" s="57">
        <f t="shared" ref="K521" ca="1" si="710">$H513*Y522</f>
        <v>0</v>
      </c>
      <c r="L521" s="103"/>
      <c r="M521" s="81" t="s">
        <v>1196</v>
      </c>
      <c r="N521" s="115"/>
      <c r="O521" s="115"/>
      <c r="P521" s="57">
        <f ca="1">$P513*V523</f>
        <v>0</v>
      </c>
      <c r="Q521" s="57">
        <f t="shared" ref="Q521" ca="1" si="711">$P513*W523</f>
        <v>0</v>
      </c>
      <c r="R521" s="57">
        <f t="shared" ref="R521" ca="1" si="712">$P513*X523</f>
        <v>0</v>
      </c>
      <c r="S521" s="57">
        <f t="shared" ref="S521" ca="1" si="713">$P513*Y523</f>
        <v>0</v>
      </c>
      <c r="V521" s="416"/>
      <c r="AA521" s="378"/>
    </row>
    <row r="522" spans="2:27" hidden="1" outlineLevel="1" x14ac:dyDescent="0.2">
      <c r="E522" s="81" t="s">
        <v>1197</v>
      </c>
      <c r="F522" s="115"/>
      <c r="G522" s="115"/>
      <c r="H522" s="115"/>
      <c r="I522" s="57">
        <f ca="1">$I513*V522</f>
        <v>0</v>
      </c>
      <c r="J522" s="57">
        <f t="shared" ref="J522" ca="1" si="714">$I513*W522</f>
        <v>0</v>
      </c>
      <c r="K522" s="57">
        <f t="shared" ref="K522" ca="1" si="715">$I513*X522</f>
        <v>0</v>
      </c>
      <c r="L522" s="103"/>
      <c r="M522" s="81" t="s">
        <v>1197</v>
      </c>
      <c r="N522" s="115"/>
      <c r="O522" s="115"/>
      <c r="P522" s="115"/>
      <c r="Q522" s="57">
        <f ca="1">$Q513*V523</f>
        <v>0</v>
      </c>
      <c r="R522" s="57">
        <f t="shared" ref="R522" ca="1" si="716">$Q513*W523</f>
        <v>0</v>
      </c>
      <c r="S522" s="57">
        <f t="shared" ref="S522" ca="1" si="717">$Q513*X523</f>
        <v>0</v>
      </c>
      <c r="U522" s="413" t="s">
        <v>1143</v>
      </c>
      <c r="V522" s="417">
        <f t="shared" ref="V522:AA522" si="718">IFERROR(V516/$W525,0)</f>
        <v>0</v>
      </c>
      <c r="W522" s="417">
        <f t="shared" si="718"/>
        <v>0</v>
      </c>
      <c r="X522" s="417">
        <f t="shared" si="718"/>
        <v>0</v>
      </c>
      <c r="Y522" s="417">
        <f t="shared" si="718"/>
        <v>0</v>
      </c>
      <c r="Z522" s="417">
        <f t="shared" si="718"/>
        <v>0</v>
      </c>
      <c r="AA522" s="417">
        <f t="shared" si="718"/>
        <v>0</v>
      </c>
    </row>
    <row r="523" spans="2:27" hidden="1" outlineLevel="1" x14ac:dyDescent="0.2">
      <c r="E523" s="81" t="s">
        <v>1198</v>
      </c>
      <c r="F523" s="115"/>
      <c r="G523" s="115"/>
      <c r="H523" s="115"/>
      <c r="I523" s="115"/>
      <c r="J523" s="57">
        <f ca="1">$J513*V522</f>
        <v>0</v>
      </c>
      <c r="K523" s="57">
        <f ca="1">$J513*W522</f>
        <v>0</v>
      </c>
      <c r="L523" s="103"/>
      <c r="M523" s="81" t="s">
        <v>1198</v>
      </c>
      <c r="N523" s="115"/>
      <c r="O523" s="115"/>
      <c r="P523" s="115"/>
      <c r="Q523" s="115"/>
      <c r="R523" s="57">
        <f ca="1">$R513*V523</f>
        <v>0</v>
      </c>
      <c r="S523" s="57">
        <f ca="1">$R513*W523</f>
        <v>0</v>
      </c>
      <c r="U523" s="415" t="s">
        <v>1145</v>
      </c>
      <c r="V523" s="417">
        <f t="shared" ref="V523:AA523" si="719">IFERROR(V519/$W525,0)</f>
        <v>0</v>
      </c>
      <c r="W523" s="417">
        <f t="shared" si="719"/>
        <v>0</v>
      </c>
      <c r="X523" s="417">
        <f t="shared" si="719"/>
        <v>0</v>
      </c>
      <c r="Y523" s="417">
        <f t="shared" si="719"/>
        <v>0</v>
      </c>
      <c r="Z523" s="417">
        <f t="shared" si="719"/>
        <v>0</v>
      </c>
      <c r="AA523" s="417">
        <f t="shared" si="719"/>
        <v>0</v>
      </c>
    </row>
    <row r="524" spans="2:27" hidden="1" outlineLevel="1" x14ac:dyDescent="0.2">
      <c r="E524" s="81" t="s">
        <v>1199</v>
      </c>
      <c r="F524" s="115"/>
      <c r="G524" s="115"/>
      <c r="H524" s="115"/>
      <c r="I524" s="115"/>
      <c r="J524" s="115"/>
      <c r="K524" s="57">
        <f ca="1">$K513*V522</f>
        <v>0</v>
      </c>
      <c r="L524" s="103"/>
      <c r="M524" s="81" t="s">
        <v>1199</v>
      </c>
      <c r="N524" s="115"/>
      <c r="O524" s="115"/>
      <c r="P524" s="115"/>
      <c r="Q524" s="115"/>
      <c r="R524" s="115"/>
      <c r="S524" s="57">
        <f ca="1">$S513*V523</f>
        <v>0</v>
      </c>
    </row>
    <row r="525" spans="2:27" hidden="1" outlineLevel="1" x14ac:dyDescent="0.2">
      <c r="E525" s="420" t="str">
        <f>TxPhase1PxUnitsTx</f>
        <v/>
      </c>
      <c r="F525" s="421">
        <f ca="1">IF(F516&lt;&gt;"",SUM(F519:F524),F513)</f>
        <v>0</v>
      </c>
      <c r="G525" s="421">
        <f ca="1">IF(F516&lt;&gt;"",SUM(G519:G524),G513)</f>
        <v>0</v>
      </c>
      <c r="H525" s="421">
        <f ca="1">IF(F516&lt;&gt;"",SUM(H519:H524),H513)</f>
        <v>0</v>
      </c>
      <c r="I525" s="421">
        <f ca="1">IF(F516&lt;&gt;"",SUM(I519:I524),I513)</f>
        <v>0</v>
      </c>
      <c r="J525" s="421">
        <f ca="1">IF(F516&lt;&gt;"",SUM(J519:J524),J513)</f>
        <v>0</v>
      </c>
      <c r="K525" s="421">
        <f ca="1">IF(F516&lt;&gt;"",SUM(K519:K524),K513)</f>
        <v>0</v>
      </c>
      <c r="L525" s="103"/>
      <c r="M525" s="420" t="str">
        <f>TxPhase2PxUnitsTx</f>
        <v/>
      </c>
      <c r="N525" s="421">
        <f ca="1">IF(N516&lt;&gt;"",SUM(N519:N524),N513)</f>
        <v>0</v>
      </c>
      <c r="O525" s="421">
        <f ca="1">IF(N516&lt;&gt;"",SUM(O519:O524),O513)</f>
        <v>0</v>
      </c>
      <c r="P525" s="421">
        <f ca="1">IF(N516&lt;&gt;"",SUM(P519:P524),P513)</f>
        <v>0</v>
      </c>
      <c r="Q525" s="421">
        <f ca="1">IF(N516&lt;&gt;"",SUM(Q519:Q524),Q513)</f>
        <v>0</v>
      </c>
      <c r="R525" s="421">
        <f ca="1">IF(N516&lt;&gt;"",SUM(R519:R524),R513)</f>
        <v>0</v>
      </c>
      <c r="S525" s="421">
        <f ca="1">IF(N516&lt;&gt;"",SUM(S519:S524),S513)</f>
        <v>0</v>
      </c>
      <c r="U525" s="415" t="s">
        <v>1148</v>
      </c>
      <c r="V525" s="412">
        <f>IFERROR(VLOOKUP(G516,TimeUnitCode,2,FALSE),0)</f>
        <v>0</v>
      </c>
      <c r="W525" s="412">
        <f>IFERROR(INDEX(TimeUnitCount,V525,2),0)</f>
        <v>0</v>
      </c>
    </row>
    <row r="526" spans="2:27" hidden="1" outlineLevel="1" x14ac:dyDescent="0.2"/>
    <row r="527" spans="2:27" collapsed="1" x14ac:dyDescent="0.2"/>
    <row r="528" spans="2:27" ht="15.75" x14ac:dyDescent="0.2">
      <c r="B528" s="246">
        <f>IF(F538+N538&gt;12,1,0)</f>
        <v>0</v>
      </c>
      <c r="C528" s="246">
        <f ca="1">IFERROR(INDEX(PxTxPhase1,$D533,7),0)</f>
        <v>0</v>
      </c>
      <c r="D528" s="396">
        <v>24</v>
      </c>
      <c r="E528" s="72" t="str">
        <f>IF(F532&lt;&gt;"",CONCATENATE("DTG ",D528,": ",H532,": ",N528),MsgNotUsed)</f>
        <v>** NOT USED **</v>
      </c>
      <c r="F528" s="116"/>
      <c r="G528" s="116"/>
      <c r="H528" s="116"/>
      <c r="I528" s="116"/>
      <c r="J528" s="118"/>
      <c r="K528" s="118"/>
      <c r="L528" s="118"/>
      <c r="M528" s="266"/>
      <c r="N528" s="445" t="str">
        <f>IF(AND(F538="",N538=""),"Full year",IF(AND(F538&lt;&gt;"",N538=""),CONCATENATE(F538," ",G538),IF(AND(F538="",N538&lt;&gt;""),CONCATENATE(N538," ",G538),CONCATENATE(F538," + ",N538," ",G538))))</f>
        <v>Full year</v>
      </c>
      <c r="O528" s="266"/>
      <c r="P528" s="266"/>
      <c r="Q528" s="266"/>
      <c r="R528" s="266"/>
      <c r="S528" s="266"/>
      <c r="T528" s="266"/>
      <c r="U528" s="266"/>
      <c r="V528" s="266"/>
      <c r="W528" s="266"/>
      <c r="X528" s="266"/>
      <c r="Y528" s="266"/>
      <c r="Z528" s="266"/>
      <c r="AA528" s="266"/>
    </row>
    <row r="529" spans="3:27" hidden="1" outlineLevel="1" x14ac:dyDescent="0.2">
      <c r="F529" s="319">
        <v>1</v>
      </c>
      <c r="G529" s="319">
        <v>2</v>
      </c>
      <c r="H529" s="319">
        <v>3</v>
      </c>
      <c r="I529" s="319">
        <v>4</v>
      </c>
      <c r="J529" s="319">
        <v>5</v>
      </c>
      <c r="K529" s="319">
        <v>6</v>
      </c>
      <c r="N529" s="319">
        <v>1</v>
      </c>
      <c r="O529" s="319">
        <v>2</v>
      </c>
      <c r="P529" s="319">
        <v>3</v>
      </c>
      <c r="Q529" s="319">
        <v>4</v>
      </c>
      <c r="R529" s="319">
        <v>5</v>
      </c>
      <c r="S529" s="319">
        <v>6</v>
      </c>
    </row>
    <row r="530" spans="3:27" hidden="1" outlineLevel="1" x14ac:dyDescent="0.2">
      <c r="C530" s="103"/>
      <c r="D530" s="103"/>
      <c r="E530" t="s">
        <v>1193</v>
      </c>
    </row>
    <row r="531" spans="3:27" hidden="1" outlineLevel="1" x14ac:dyDescent="0.2">
      <c r="C531" s="103"/>
      <c r="D531" s="103"/>
      <c r="E531" s="260"/>
    </row>
    <row r="532" spans="3:27" hidden="1" outlineLevel="1" x14ac:dyDescent="0.2">
      <c r="C532" s="246">
        <f>IF(F532&lt;&gt;"",MATCH(F532,PxTxSource,0)-1,0)</f>
        <v>0</v>
      </c>
      <c r="D532" s="246">
        <f ca="1">IF(H532&lt;&gt;"",MATCH(H532,OFFSET(References!$AE$23,0,C532,PxPopMaxCount),0),0)</f>
        <v>0</v>
      </c>
      <c r="E532" s="8" t="s">
        <v>110</v>
      </c>
      <c r="F532" s="230"/>
      <c r="H532" s="580"/>
      <c r="I532" s="581"/>
      <c r="J532" s="581"/>
      <c r="K532" s="581"/>
      <c r="M532" s="217"/>
      <c r="N532" s="542" t="str">
        <f ca="1">IF(ISERROR($D533)=TRUE,MsgError &amp; VLOOKUP("BadPop",ErrorMessages,2,FALSE),"")</f>
        <v/>
      </c>
      <c r="O532" s="542"/>
      <c r="P532" s="542"/>
      <c r="Q532" s="542"/>
      <c r="R532" s="542"/>
      <c r="S532" s="542"/>
    </row>
    <row r="533" spans="3:27" hidden="1" outlineLevel="1" x14ac:dyDescent="0.2">
      <c r="C533" s="246">
        <f>INDEX(PxTxValid,,C532+1)</f>
        <v>1</v>
      </c>
      <c r="D533" s="246" t="str">
        <f ca="1">IF(AND(C532&lt;&gt;0,D532&lt;&gt;0),(C532*PxPopMaxCount)+D532,"")</f>
        <v/>
      </c>
      <c r="E533" s="103"/>
    </row>
    <row r="534" spans="3:27" hidden="1" outlineLevel="1" x14ac:dyDescent="0.2">
      <c r="E534" s="357"/>
      <c r="F534" s="74">
        <f>FirstYear</f>
        <v>2026</v>
      </c>
      <c r="G534" s="74">
        <f>F534+1</f>
        <v>2027</v>
      </c>
      <c r="H534" s="74">
        <f>G534+1</f>
        <v>2028</v>
      </c>
      <c r="I534" s="74">
        <f>H534+1</f>
        <v>2029</v>
      </c>
      <c r="J534" s="74">
        <f>I534+1</f>
        <v>2030</v>
      </c>
      <c r="K534" s="74">
        <f>J534+1</f>
        <v>2031</v>
      </c>
      <c r="L534" s="103"/>
      <c r="N534" s="74">
        <f>FirstYear</f>
        <v>2026</v>
      </c>
      <c r="O534" s="74">
        <f>N534+1</f>
        <v>2027</v>
      </c>
      <c r="P534" s="74">
        <f>O534+1</f>
        <v>2028</v>
      </c>
      <c r="Q534" s="74">
        <f>P534+1</f>
        <v>2029</v>
      </c>
      <c r="R534" s="74">
        <f>Q534+1</f>
        <v>2030</v>
      </c>
      <c r="S534" s="74">
        <f>R534+1</f>
        <v>2031</v>
      </c>
    </row>
    <row r="535" spans="3:27" hidden="1" outlineLevel="1" x14ac:dyDescent="0.2">
      <c r="E535" s="53" t="str">
        <f>TxPhase1Px</f>
        <v/>
      </c>
      <c r="F535" s="27">
        <f t="shared" ref="F535:K535" ca="1" si="720">IFERROR(INDEX(PxTxPhase1,$D533,F529),0)</f>
        <v>0</v>
      </c>
      <c r="G535" s="27">
        <f t="shared" ca="1" si="720"/>
        <v>0</v>
      </c>
      <c r="H535" s="27">
        <f t="shared" ca="1" si="720"/>
        <v>0</v>
      </c>
      <c r="I535" s="27">
        <f t="shared" ca="1" si="720"/>
        <v>0</v>
      </c>
      <c r="J535" s="27">
        <f t="shared" ca="1" si="720"/>
        <v>0</v>
      </c>
      <c r="K535" s="27">
        <f t="shared" ca="1" si="720"/>
        <v>0</v>
      </c>
      <c r="L535" s="103"/>
      <c r="M535" s="53" t="str">
        <f>TxPhase2Px</f>
        <v/>
      </c>
      <c r="N535" s="27">
        <f t="shared" ref="N535:S535" ca="1" si="721">IFERROR(INDEX(PxTxPhase2,$D533,N529),0)</f>
        <v>0</v>
      </c>
      <c r="O535" s="27">
        <f t="shared" ca="1" si="721"/>
        <v>0</v>
      </c>
      <c r="P535" s="27">
        <f t="shared" ca="1" si="721"/>
        <v>0</v>
      </c>
      <c r="Q535" s="27">
        <f t="shared" ca="1" si="721"/>
        <v>0</v>
      </c>
      <c r="R535" s="27">
        <f t="shared" ca="1" si="721"/>
        <v>0</v>
      </c>
      <c r="S535" s="27">
        <f t="shared" ca="1" si="721"/>
        <v>0</v>
      </c>
    </row>
    <row r="536" spans="3:27" hidden="1" outlineLevel="1" x14ac:dyDescent="0.2">
      <c r="L536" s="103"/>
    </row>
    <row r="537" spans="3:27" hidden="1" outlineLevel="1" x14ac:dyDescent="0.2">
      <c r="E537" s="103"/>
      <c r="F537" s="103"/>
      <c r="G537" s="103"/>
      <c r="H537" s="103"/>
      <c r="I537" s="103"/>
      <c r="J537" s="103"/>
      <c r="K537" s="103"/>
      <c r="L537" s="103"/>
      <c r="M537" s="103"/>
      <c r="U537" s="411"/>
      <c r="V537" s="412">
        <f>$W547*1</f>
        <v>0</v>
      </c>
      <c r="W537" s="412">
        <f>$W547*2</f>
        <v>0</v>
      </c>
      <c r="X537" s="412">
        <f>$W547*3</f>
        <v>0</v>
      </c>
      <c r="Y537" s="412">
        <f>$W547*4</f>
        <v>0</v>
      </c>
      <c r="Z537" s="412">
        <f>$W547*5</f>
        <v>0</v>
      </c>
      <c r="AA537" s="412">
        <f>$W547*6</f>
        <v>0</v>
      </c>
    </row>
    <row r="538" spans="3:27" hidden="1" outlineLevel="1" x14ac:dyDescent="0.2">
      <c r="E538" s="82" t="s">
        <v>1147</v>
      </c>
      <c r="F538" s="390"/>
      <c r="G538" s="227"/>
      <c r="H538" s="378"/>
      <c r="I538" s="378"/>
      <c r="J538" s="378"/>
      <c r="K538" s="378"/>
      <c r="L538" s="103"/>
      <c r="M538" s="82" t="s">
        <v>1147</v>
      </c>
      <c r="N538" s="390"/>
      <c r="O538" s="418" t="str">
        <f>IF(G538&lt;&gt;"",G538,"")</f>
        <v/>
      </c>
      <c r="P538" s="378"/>
      <c r="Q538" s="378"/>
      <c r="R538" s="378"/>
      <c r="S538" s="378"/>
      <c r="U538" s="413" t="s">
        <v>1143</v>
      </c>
      <c r="V538" s="414">
        <f>IF($F538&gt;=V537,$W547,IF($F538&gt;0,$F538,0))</f>
        <v>0</v>
      </c>
      <c r="W538" s="414">
        <f>IF($F538&gt;=W537,$W$41,IF($F538&gt;V537,($F538-V537),0))</f>
        <v>0</v>
      </c>
      <c r="X538" s="414">
        <f>IF($F538&gt;=X537,$W$41,IF($F538&gt;W537,($F538-W537),0))</f>
        <v>0</v>
      </c>
      <c r="Y538" s="414">
        <f>IF($F538&gt;=Y537,$W$41,IF($F538&gt;X537,($F538-X537),0))</f>
        <v>0</v>
      </c>
      <c r="Z538" s="414">
        <f>IF($F538&gt;=Z537,$W$41,IF($F538&gt;Y537,($F538-Y537),0))</f>
        <v>0</v>
      </c>
      <c r="AA538" s="414">
        <f>IF($F538&gt;=AA537,$W$41,IF($F538&gt;Z537,($F538-Z537),0))</f>
        <v>0</v>
      </c>
    </row>
    <row r="539" spans="3:27" hidden="1" outlineLevel="1" x14ac:dyDescent="0.2">
      <c r="L539" s="103"/>
      <c r="M539" s="437"/>
      <c r="N539" s="438"/>
      <c r="O539" s="438"/>
      <c r="P539" s="438"/>
      <c r="Q539" s="438"/>
      <c r="R539" s="438"/>
      <c r="S539" s="438"/>
      <c r="U539" s="415" t="s">
        <v>1144</v>
      </c>
      <c r="V539" s="412">
        <f t="shared" ref="V539:AA539" si="722">IF(V538&gt;0,$W547-V538,$W547)</f>
        <v>0</v>
      </c>
      <c r="W539" s="412">
        <f t="shared" si="722"/>
        <v>0</v>
      </c>
      <c r="X539" s="412">
        <f t="shared" si="722"/>
        <v>0</v>
      </c>
      <c r="Y539" s="412">
        <f t="shared" si="722"/>
        <v>0</v>
      </c>
      <c r="Z539" s="412">
        <f t="shared" si="722"/>
        <v>0</v>
      </c>
      <c r="AA539" s="412">
        <f t="shared" si="722"/>
        <v>0</v>
      </c>
    </row>
    <row r="540" spans="3:27" hidden="1" outlineLevel="1" x14ac:dyDescent="0.2">
      <c r="E540" s="437" t="str">
        <f>E535</f>
        <v/>
      </c>
      <c r="F540" s="419"/>
      <c r="G540" s="419"/>
      <c r="H540" s="419"/>
      <c r="I540" s="419"/>
      <c r="J540" s="419"/>
      <c r="K540" s="419"/>
      <c r="L540" s="103"/>
      <c r="M540" s="437" t="str">
        <f>M535</f>
        <v/>
      </c>
      <c r="N540" s="439"/>
      <c r="O540" s="440"/>
      <c r="P540" s="440"/>
      <c r="Q540" s="440"/>
      <c r="R540" s="440"/>
      <c r="S540" s="440"/>
      <c r="U540" s="378"/>
      <c r="V540" s="378"/>
      <c r="W540" s="378"/>
      <c r="X540" s="378"/>
      <c r="Y540" s="378"/>
      <c r="Z540" s="378"/>
      <c r="AA540" s="378"/>
    </row>
    <row r="541" spans="3:27" hidden="1" outlineLevel="1" x14ac:dyDescent="0.2">
      <c r="E541" s="81" t="s">
        <v>1194</v>
      </c>
      <c r="F541" s="57">
        <f ca="1">$F535*V544</f>
        <v>0</v>
      </c>
      <c r="G541" s="57">
        <f t="shared" ref="G541" ca="1" si="723">$F535*W544</f>
        <v>0</v>
      </c>
      <c r="H541" s="57">
        <f t="shared" ref="H541" ca="1" si="724">$F535*X544</f>
        <v>0</v>
      </c>
      <c r="I541" s="57">
        <f t="shared" ref="I541" ca="1" si="725">$F535*Y544</f>
        <v>0</v>
      </c>
      <c r="J541" s="57">
        <f t="shared" ref="J541" ca="1" si="726">$F535*Z544</f>
        <v>0</v>
      </c>
      <c r="K541" s="57">
        <f t="shared" ref="K541" ca="1" si="727">$F535*AA544</f>
        <v>0</v>
      </c>
      <c r="L541" s="103"/>
      <c r="M541" s="81" t="s">
        <v>1194</v>
      </c>
      <c r="N541" s="57">
        <f ca="1">$N535*V545</f>
        <v>0</v>
      </c>
      <c r="O541" s="57">
        <f ca="1">$N535*W545</f>
        <v>0</v>
      </c>
      <c r="P541" s="57">
        <f t="shared" ref="P541" ca="1" si="728">$N535*X545</f>
        <v>0</v>
      </c>
      <c r="Q541" s="57">
        <f t="shared" ref="Q541" ca="1" si="729">$N535*Y545</f>
        <v>0</v>
      </c>
      <c r="R541" s="57">
        <f t="shared" ref="R541" ca="1" si="730">$N535*Z545</f>
        <v>0</v>
      </c>
      <c r="S541" s="57">
        <f t="shared" ref="S541" ca="1" si="731">$N535*AA545</f>
        <v>0</v>
      </c>
      <c r="U541" s="415" t="s">
        <v>1145</v>
      </c>
      <c r="V541" s="414">
        <f>IF($N538&gt;=V539,V539,N538)</f>
        <v>0</v>
      </c>
      <c r="W541" s="414">
        <f>IF(V542&gt;=W539,W539,V542)</f>
        <v>0</v>
      </c>
      <c r="X541" s="414">
        <f>IF(W542&gt;=X539,X539,W542)</f>
        <v>0</v>
      </c>
      <c r="Y541" s="414">
        <f>IF(X542&gt;=Y539,Y539,X542)</f>
        <v>0</v>
      </c>
      <c r="Z541" s="414">
        <f>IF(Y542&gt;=Z539,Z539,Y542)</f>
        <v>0</v>
      </c>
      <c r="AA541" s="414">
        <f>IF(Z542&gt;=AA539,AA539,Z542)</f>
        <v>0</v>
      </c>
    </row>
    <row r="542" spans="3:27" hidden="1" outlineLevel="1" x14ac:dyDescent="0.2">
      <c r="E542" s="81" t="s">
        <v>1195</v>
      </c>
      <c r="F542" s="115"/>
      <c r="G542" s="57">
        <f ca="1">$G535*V544</f>
        <v>0</v>
      </c>
      <c r="H542" s="57">
        <f t="shared" ref="H542" ca="1" si="732">$G535*W544</f>
        <v>0</v>
      </c>
      <c r="I542" s="57">
        <f t="shared" ref="I542" ca="1" si="733">$G535*X544</f>
        <v>0</v>
      </c>
      <c r="J542" s="57">
        <f t="shared" ref="J542" ca="1" si="734">$G535*Y544</f>
        <v>0</v>
      </c>
      <c r="K542" s="57">
        <f t="shared" ref="K542" ca="1" si="735">$G535*Z544</f>
        <v>0</v>
      </c>
      <c r="L542" s="103"/>
      <c r="M542" s="81" t="s">
        <v>1195</v>
      </c>
      <c r="N542" s="115"/>
      <c r="O542" s="57">
        <f ca="1">$O535*V545</f>
        <v>0</v>
      </c>
      <c r="P542" s="57">
        <f t="shared" ref="P542" ca="1" si="736">$O535*W545</f>
        <v>0</v>
      </c>
      <c r="Q542" s="57">
        <f t="shared" ref="Q542" ca="1" si="737">$O535*X545</f>
        <v>0</v>
      </c>
      <c r="R542" s="57">
        <f t="shared" ref="R542" ca="1" si="738">$O535*Y545</f>
        <v>0</v>
      </c>
      <c r="S542" s="57">
        <f t="shared" ref="S542" ca="1" si="739">$O535*Z545</f>
        <v>0</v>
      </c>
      <c r="U542" s="415" t="s">
        <v>1146</v>
      </c>
      <c r="V542" s="412">
        <f>$N538-V541</f>
        <v>0</v>
      </c>
      <c r="W542" s="412">
        <f>$N538-SUM($V541:W541)</f>
        <v>0</v>
      </c>
      <c r="X542" s="412">
        <f>$N538-SUM($V541:X541)</f>
        <v>0</v>
      </c>
      <c r="Y542" s="412">
        <f>$N538-SUM($V541:Y541)</f>
        <v>0</v>
      </c>
      <c r="Z542" s="412">
        <f>$N538-SUM($V541:Z541)</f>
        <v>0</v>
      </c>
      <c r="AA542" s="412">
        <f>$N538-SUM($V541:AA541)</f>
        <v>0</v>
      </c>
    </row>
    <row r="543" spans="3:27" hidden="1" outlineLevel="1" x14ac:dyDescent="0.2">
      <c r="E543" s="81" t="s">
        <v>1196</v>
      </c>
      <c r="F543" s="115"/>
      <c r="G543" s="115"/>
      <c r="H543" s="57">
        <f ca="1">$H535*V544</f>
        <v>0</v>
      </c>
      <c r="I543" s="57">
        <f t="shared" ref="I543" ca="1" si="740">$H535*W544</f>
        <v>0</v>
      </c>
      <c r="J543" s="57">
        <f t="shared" ref="J543" ca="1" si="741">$H535*X544</f>
        <v>0</v>
      </c>
      <c r="K543" s="57">
        <f t="shared" ref="K543" ca="1" si="742">$H535*Y544</f>
        <v>0</v>
      </c>
      <c r="L543" s="103"/>
      <c r="M543" s="81" t="s">
        <v>1196</v>
      </c>
      <c r="N543" s="115"/>
      <c r="O543" s="115"/>
      <c r="P543" s="57">
        <f ca="1">$P535*V545</f>
        <v>0</v>
      </c>
      <c r="Q543" s="57">
        <f t="shared" ref="Q543" ca="1" si="743">$P535*W545</f>
        <v>0</v>
      </c>
      <c r="R543" s="57">
        <f t="shared" ref="R543" ca="1" si="744">$P535*X545</f>
        <v>0</v>
      </c>
      <c r="S543" s="57">
        <f t="shared" ref="S543" ca="1" si="745">$P535*Y545</f>
        <v>0</v>
      </c>
      <c r="V543" s="416"/>
      <c r="AA543" s="378"/>
    </row>
    <row r="544" spans="3:27" hidden="1" outlineLevel="1" x14ac:dyDescent="0.2">
      <c r="E544" s="81" t="s">
        <v>1197</v>
      </c>
      <c r="F544" s="115"/>
      <c r="G544" s="115"/>
      <c r="H544" s="115"/>
      <c r="I544" s="57">
        <f ca="1">$I535*V544</f>
        <v>0</v>
      </c>
      <c r="J544" s="57">
        <f t="shared" ref="J544" ca="1" si="746">$I535*W544</f>
        <v>0</v>
      </c>
      <c r="K544" s="57">
        <f t="shared" ref="K544" ca="1" si="747">$I535*X544</f>
        <v>0</v>
      </c>
      <c r="L544" s="103"/>
      <c r="M544" s="81" t="s">
        <v>1197</v>
      </c>
      <c r="N544" s="115"/>
      <c r="O544" s="115"/>
      <c r="P544" s="115"/>
      <c r="Q544" s="57">
        <f ca="1">$Q535*V545</f>
        <v>0</v>
      </c>
      <c r="R544" s="57">
        <f t="shared" ref="R544" ca="1" si="748">$Q535*W545</f>
        <v>0</v>
      </c>
      <c r="S544" s="57">
        <f t="shared" ref="S544" ca="1" si="749">$Q535*X545</f>
        <v>0</v>
      </c>
      <c r="U544" s="413" t="s">
        <v>1143</v>
      </c>
      <c r="V544" s="417">
        <f t="shared" ref="V544:AA544" si="750">IFERROR(V538/$W547,0)</f>
        <v>0</v>
      </c>
      <c r="W544" s="417">
        <f t="shared" si="750"/>
        <v>0</v>
      </c>
      <c r="X544" s="417">
        <f t="shared" si="750"/>
        <v>0</v>
      </c>
      <c r="Y544" s="417">
        <f t="shared" si="750"/>
        <v>0</v>
      </c>
      <c r="Z544" s="417">
        <f t="shared" si="750"/>
        <v>0</v>
      </c>
      <c r="AA544" s="417">
        <f t="shared" si="750"/>
        <v>0</v>
      </c>
    </row>
    <row r="545" spans="2:27" hidden="1" outlineLevel="1" x14ac:dyDescent="0.2">
      <c r="E545" s="81" t="s">
        <v>1198</v>
      </c>
      <c r="F545" s="115"/>
      <c r="G545" s="115"/>
      <c r="H545" s="115"/>
      <c r="I545" s="115"/>
      <c r="J545" s="57">
        <f ca="1">$J535*V544</f>
        <v>0</v>
      </c>
      <c r="K545" s="57">
        <f ca="1">$J535*W544</f>
        <v>0</v>
      </c>
      <c r="L545" s="103"/>
      <c r="M545" s="81" t="s">
        <v>1198</v>
      </c>
      <c r="N545" s="115"/>
      <c r="O545" s="115"/>
      <c r="P545" s="115"/>
      <c r="Q545" s="115"/>
      <c r="R545" s="57">
        <f ca="1">$R535*V545</f>
        <v>0</v>
      </c>
      <c r="S545" s="57">
        <f ca="1">$R535*W545</f>
        <v>0</v>
      </c>
      <c r="U545" s="415" t="s">
        <v>1145</v>
      </c>
      <c r="V545" s="417">
        <f t="shared" ref="V545:AA545" si="751">IFERROR(V541/$W547,0)</f>
        <v>0</v>
      </c>
      <c r="W545" s="417">
        <f t="shared" si="751"/>
        <v>0</v>
      </c>
      <c r="X545" s="417">
        <f t="shared" si="751"/>
        <v>0</v>
      </c>
      <c r="Y545" s="417">
        <f t="shared" si="751"/>
        <v>0</v>
      </c>
      <c r="Z545" s="417">
        <f t="shared" si="751"/>
        <v>0</v>
      </c>
      <c r="AA545" s="417">
        <f t="shared" si="751"/>
        <v>0</v>
      </c>
    </row>
    <row r="546" spans="2:27" hidden="1" outlineLevel="1" x14ac:dyDescent="0.2">
      <c r="E546" s="81" t="s">
        <v>1199</v>
      </c>
      <c r="F546" s="115"/>
      <c r="G546" s="115"/>
      <c r="H546" s="115"/>
      <c r="I546" s="115"/>
      <c r="J546" s="115"/>
      <c r="K546" s="57">
        <f ca="1">$K535*V544</f>
        <v>0</v>
      </c>
      <c r="L546" s="103"/>
      <c r="M546" s="81" t="s">
        <v>1199</v>
      </c>
      <c r="N546" s="115"/>
      <c r="O546" s="115"/>
      <c r="P546" s="115"/>
      <c r="Q546" s="115"/>
      <c r="R546" s="115"/>
      <c r="S546" s="57">
        <f ca="1">$S535*V545</f>
        <v>0</v>
      </c>
    </row>
    <row r="547" spans="2:27" hidden="1" outlineLevel="1" x14ac:dyDescent="0.2">
      <c r="E547" s="420" t="str">
        <f>TxPhase1PxUnitsTx</f>
        <v/>
      </c>
      <c r="F547" s="421">
        <f ca="1">IF(F538&lt;&gt;"",SUM(F541:F546),F535)</f>
        <v>0</v>
      </c>
      <c r="G547" s="421">
        <f ca="1">IF(F538&lt;&gt;"",SUM(G541:G546),G535)</f>
        <v>0</v>
      </c>
      <c r="H547" s="421">
        <f ca="1">IF(F538&lt;&gt;"",SUM(H541:H546),H535)</f>
        <v>0</v>
      </c>
      <c r="I547" s="421">
        <f ca="1">IF(F538&lt;&gt;"",SUM(I541:I546),I535)</f>
        <v>0</v>
      </c>
      <c r="J547" s="421">
        <f ca="1">IF(F538&lt;&gt;"",SUM(J541:J546),J535)</f>
        <v>0</v>
      </c>
      <c r="K547" s="421">
        <f ca="1">IF(F538&lt;&gt;"",SUM(K541:K546),K535)</f>
        <v>0</v>
      </c>
      <c r="L547" s="103"/>
      <c r="M547" s="420" t="str">
        <f>TxPhase2PxUnitsTx</f>
        <v/>
      </c>
      <c r="N547" s="421">
        <f ca="1">IF(N538&lt;&gt;"",SUM(N541:N546),N535)</f>
        <v>0</v>
      </c>
      <c r="O547" s="421">
        <f ca="1">IF(N538&lt;&gt;"",SUM(O541:O546),O535)</f>
        <v>0</v>
      </c>
      <c r="P547" s="421">
        <f ca="1">IF(N538&lt;&gt;"",SUM(P541:P546),P535)</f>
        <v>0</v>
      </c>
      <c r="Q547" s="421">
        <f ca="1">IF(N538&lt;&gt;"",SUM(Q541:Q546),Q535)</f>
        <v>0</v>
      </c>
      <c r="R547" s="421">
        <f ca="1">IF(N538&lt;&gt;"",SUM(R541:R546),R535)</f>
        <v>0</v>
      </c>
      <c r="S547" s="421">
        <f ca="1">IF(N538&lt;&gt;"",SUM(S541:S546),S535)</f>
        <v>0</v>
      </c>
      <c r="U547" s="415" t="s">
        <v>1148</v>
      </c>
      <c r="V547" s="412">
        <f>IFERROR(VLOOKUP(G538,TimeUnitCode,2,FALSE),0)</f>
        <v>0</v>
      </c>
      <c r="W547" s="412">
        <f>IFERROR(INDEX(TimeUnitCount,V547,2),0)</f>
        <v>0</v>
      </c>
    </row>
    <row r="548" spans="2:27" hidden="1" outlineLevel="1" x14ac:dyDescent="0.2"/>
    <row r="549" spans="2:27" collapsed="1" x14ac:dyDescent="0.2"/>
    <row r="550" spans="2:27" ht="15.75" x14ac:dyDescent="0.2">
      <c r="B550" s="246">
        <f>IF(F560+N560&gt;12,1,0)</f>
        <v>0</v>
      </c>
      <c r="C550" s="246">
        <f ca="1">IFERROR(INDEX(PxTxPhase1,$D555,7),0)</f>
        <v>0</v>
      </c>
      <c r="D550" s="396">
        <v>25</v>
      </c>
      <c r="E550" s="72" t="str">
        <f>IF(F554&lt;&gt;"",CONCATENATE("DTG ",D550,": ",H554,": ",N550),MsgNotUsed)</f>
        <v>** NOT USED **</v>
      </c>
      <c r="F550" s="116"/>
      <c r="G550" s="116"/>
      <c r="H550" s="116"/>
      <c r="I550" s="116"/>
      <c r="J550" s="118"/>
      <c r="K550" s="118"/>
      <c r="L550" s="118"/>
      <c r="M550" s="266"/>
      <c r="N550" s="445" t="str">
        <f>IF(AND(F560="",N560=""),"Full year",IF(AND(F560&lt;&gt;"",N560=""),CONCATENATE(F560," ",G560),IF(AND(F560="",N560&lt;&gt;""),CONCATENATE(N560," ",G560),CONCATENATE(F560," + ",N560," ",G560))))</f>
        <v>Full year</v>
      </c>
      <c r="O550" s="266"/>
      <c r="P550" s="266"/>
      <c r="Q550" s="266"/>
      <c r="R550" s="266"/>
      <c r="S550" s="266"/>
      <c r="T550" s="266"/>
      <c r="U550" s="266"/>
      <c r="V550" s="266"/>
      <c r="W550" s="266"/>
      <c r="X550" s="266"/>
      <c r="Y550" s="266"/>
      <c r="Z550" s="266"/>
      <c r="AA550" s="266"/>
    </row>
    <row r="551" spans="2:27" hidden="1" outlineLevel="1" x14ac:dyDescent="0.2">
      <c r="F551" s="319">
        <v>1</v>
      </c>
      <c r="G551" s="319">
        <v>2</v>
      </c>
      <c r="H551" s="319">
        <v>3</v>
      </c>
      <c r="I551" s="319">
        <v>4</v>
      </c>
      <c r="J551" s="319">
        <v>5</v>
      </c>
      <c r="K551" s="319">
        <v>6</v>
      </c>
      <c r="N551" s="319">
        <v>1</v>
      </c>
      <c r="O551" s="319">
        <v>2</v>
      </c>
      <c r="P551" s="319">
        <v>3</v>
      </c>
      <c r="Q551" s="319">
        <v>4</v>
      </c>
      <c r="R551" s="319">
        <v>5</v>
      </c>
      <c r="S551" s="319">
        <v>6</v>
      </c>
    </row>
    <row r="552" spans="2:27" hidden="1" outlineLevel="1" x14ac:dyDescent="0.2">
      <c r="C552" s="103"/>
      <c r="D552" s="103"/>
      <c r="E552" t="s">
        <v>1193</v>
      </c>
    </row>
    <row r="553" spans="2:27" hidden="1" outlineLevel="1" x14ac:dyDescent="0.2">
      <c r="C553" s="103"/>
      <c r="D553" s="103"/>
      <c r="E553" s="260"/>
    </row>
    <row r="554" spans="2:27" hidden="1" outlineLevel="1" x14ac:dyDescent="0.2">
      <c r="C554" s="246">
        <f>IF(F554&lt;&gt;"",MATCH(F554,PxTxSource,0)-1,0)</f>
        <v>0</v>
      </c>
      <c r="D554" s="246">
        <f ca="1">IF(H554&lt;&gt;"",MATCH(H554,OFFSET(References!$AE$23,0,C554,PxPopMaxCount),0),0)</f>
        <v>0</v>
      </c>
      <c r="E554" s="8" t="s">
        <v>110</v>
      </c>
      <c r="F554" s="230"/>
      <c r="H554" s="580"/>
      <c r="I554" s="581"/>
      <c r="J554" s="581"/>
      <c r="K554" s="581"/>
      <c r="M554" s="217"/>
      <c r="N554" s="542" t="str">
        <f ca="1">IF(ISERROR($D555)=TRUE,MsgError &amp; VLOOKUP("BadPop",ErrorMessages,2,FALSE),"")</f>
        <v/>
      </c>
      <c r="O554" s="542"/>
      <c r="P554" s="542"/>
      <c r="Q554" s="542"/>
      <c r="R554" s="542"/>
      <c r="S554" s="542"/>
    </row>
    <row r="555" spans="2:27" hidden="1" outlineLevel="1" x14ac:dyDescent="0.2">
      <c r="C555" s="246">
        <f>INDEX(PxTxValid,,C554+1)</f>
        <v>1</v>
      </c>
      <c r="D555" s="246" t="str">
        <f ca="1">IF(AND(C554&lt;&gt;0,D554&lt;&gt;0),(C554*PxPopMaxCount)+D554,"")</f>
        <v/>
      </c>
      <c r="E555" s="103"/>
    </row>
    <row r="556" spans="2:27" hidden="1" outlineLevel="1" x14ac:dyDescent="0.2">
      <c r="E556" s="357"/>
      <c r="F556" s="74">
        <f>FirstYear</f>
        <v>2026</v>
      </c>
      <c r="G556" s="74">
        <f>F556+1</f>
        <v>2027</v>
      </c>
      <c r="H556" s="74">
        <f>G556+1</f>
        <v>2028</v>
      </c>
      <c r="I556" s="74">
        <f>H556+1</f>
        <v>2029</v>
      </c>
      <c r="J556" s="74">
        <f>I556+1</f>
        <v>2030</v>
      </c>
      <c r="K556" s="74">
        <f>J556+1</f>
        <v>2031</v>
      </c>
      <c r="L556" s="103"/>
      <c r="N556" s="74">
        <f>FirstYear</f>
        <v>2026</v>
      </c>
      <c r="O556" s="74">
        <f>N556+1</f>
        <v>2027</v>
      </c>
      <c r="P556" s="74">
        <f>O556+1</f>
        <v>2028</v>
      </c>
      <c r="Q556" s="74">
        <f>P556+1</f>
        <v>2029</v>
      </c>
      <c r="R556" s="74">
        <f>Q556+1</f>
        <v>2030</v>
      </c>
      <c r="S556" s="74">
        <f>R556+1</f>
        <v>2031</v>
      </c>
    </row>
    <row r="557" spans="2:27" hidden="1" outlineLevel="1" x14ac:dyDescent="0.2">
      <c r="E557" s="53" t="str">
        <f>TxPhase1Px</f>
        <v/>
      </c>
      <c r="F557" s="27">
        <f t="shared" ref="F557:K557" ca="1" si="752">IFERROR(INDEX(PxTxPhase1,$D555,F551),0)</f>
        <v>0</v>
      </c>
      <c r="G557" s="27">
        <f t="shared" ca="1" si="752"/>
        <v>0</v>
      </c>
      <c r="H557" s="27">
        <f t="shared" ca="1" si="752"/>
        <v>0</v>
      </c>
      <c r="I557" s="27">
        <f t="shared" ca="1" si="752"/>
        <v>0</v>
      </c>
      <c r="J557" s="27">
        <f t="shared" ca="1" si="752"/>
        <v>0</v>
      </c>
      <c r="K557" s="27">
        <f t="shared" ca="1" si="752"/>
        <v>0</v>
      </c>
      <c r="L557" s="103"/>
      <c r="M557" s="53" t="str">
        <f>TxPhase2Px</f>
        <v/>
      </c>
      <c r="N557" s="27">
        <f t="shared" ref="N557:S557" ca="1" si="753">IFERROR(INDEX(PxTxPhase2,$D555,N551),0)</f>
        <v>0</v>
      </c>
      <c r="O557" s="27">
        <f t="shared" ca="1" si="753"/>
        <v>0</v>
      </c>
      <c r="P557" s="27">
        <f t="shared" ca="1" si="753"/>
        <v>0</v>
      </c>
      <c r="Q557" s="27">
        <f t="shared" ca="1" si="753"/>
        <v>0</v>
      </c>
      <c r="R557" s="27">
        <f t="shared" ca="1" si="753"/>
        <v>0</v>
      </c>
      <c r="S557" s="27">
        <f t="shared" ca="1" si="753"/>
        <v>0</v>
      </c>
    </row>
    <row r="558" spans="2:27" hidden="1" outlineLevel="1" x14ac:dyDescent="0.2">
      <c r="L558" s="103"/>
    </row>
    <row r="559" spans="2:27" hidden="1" outlineLevel="1" x14ac:dyDescent="0.2">
      <c r="E559" s="103"/>
      <c r="F559" s="103"/>
      <c r="G559" s="103"/>
      <c r="H559" s="103"/>
      <c r="I559" s="103"/>
      <c r="J559" s="103"/>
      <c r="K559" s="103"/>
      <c r="L559" s="103"/>
      <c r="M559" s="103"/>
      <c r="U559" s="411"/>
      <c r="V559" s="412">
        <f>$W569*1</f>
        <v>0</v>
      </c>
      <c r="W559" s="412">
        <f>$W569*2</f>
        <v>0</v>
      </c>
      <c r="X559" s="412">
        <f>$W569*3</f>
        <v>0</v>
      </c>
      <c r="Y559" s="412">
        <f>$W569*4</f>
        <v>0</v>
      </c>
      <c r="Z559" s="412">
        <f>$W569*5</f>
        <v>0</v>
      </c>
      <c r="AA559" s="412">
        <f>$W569*6</f>
        <v>0</v>
      </c>
    </row>
    <row r="560" spans="2:27" hidden="1" outlineLevel="1" x14ac:dyDescent="0.2">
      <c r="E560" s="82" t="s">
        <v>1147</v>
      </c>
      <c r="F560" s="390"/>
      <c r="G560" s="227"/>
      <c r="H560" s="378"/>
      <c r="I560" s="378"/>
      <c r="J560" s="378"/>
      <c r="K560" s="378"/>
      <c r="L560" s="103"/>
      <c r="M560" s="82" t="s">
        <v>1147</v>
      </c>
      <c r="N560" s="390"/>
      <c r="O560" s="418" t="str">
        <f>IF(G560&lt;&gt;"",G560,"")</f>
        <v/>
      </c>
      <c r="P560" s="378"/>
      <c r="Q560" s="378"/>
      <c r="R560" s="378"/>
      <c r="S560" s="378"/>
      <c r="U560" s="413" t="s">
        <v>1143</v>
      </c>
      <c r="V560" s="414">
        <f>IF($F560&gt;=V559,$W569,IF($F560&gt;0,$F560,0))</f>
        <v>0</v>
      </c>
      <c r="W560" s="414">
        <f>IF($F560&gt;=W559,$W$41,IF($F560&gt;V559,($F560-V559),0))</f>
        <v>0</v>
      </c>
      <c r="X560" s="414">
        <f>IF($F560&gt;=X559,$W$41,IF($F560&gt;W559,($F560-W559),0))</f>
        <v>0</v>
      </c>
      <c r="Y560" s="414">
        <f>IF($F560&gt;=Y559,$W$41,IF($F560&gt;X559,($F560-X559),0))</f>
        <v>0</v>
      </c>
      <c r="Z560" s="414">
        <f>IF($F560&gt;=Z559,$W$41,IF($F560&gt;Y559,($F560-Y559),0))</f>
        <v>0</v>
      </c>
      <c r="AA560" s="414">
        <f>IF($F560&gt;=AA559,$W$41,IF($F560&gt;Z559,($F560-Z559),0))</f>
        <v>0</v>
      </c>
    </row>
    <row r="561" spans="5:27" hidden="1" outlineLevel="1" x14ac:dyDescent="0.2">
      <c r="L561" s="103"/>
      <c r="M561" s="437"/>
      <c r="N561" s="438"/>
      <c r="O561" s="438"/>
      <c r="P561" s="438"/>
      <c r="Q561" s="438"/>
      <c r="R561" s="438"/>
      <c r="S561" s="438"/>
      <c r="U561" s="415" t="s">
        <v>1144</v>
      </c>
      <c r="V561" s="412">
        <f t="shared" ref="V561:AA561" si="754">IF(V560&gt;0,$W569-V560,$W569)</f>
        <v>0</v>
      </c>
      <c r="W561" s="412">
        <f t="shared" si="754"/>
        <v>0</v>
      </c>
      <c r="X561" s="412">
        <f t="shared" si="754"/>
        <v>0</v>
      </c>
      <c r="Y561" s="412">
        <f t="shared" si="754"/>
        <v>0</v>
      </c>
      <c r="Z561" s="412">
        <f t="shared" si="754"/>
        <v>0</v>
      </c>
      <c r="AA561" s="412">
        <f t="shared" si="754"/>
        <v>0</v>
      </c>
    </row>
    <row r="562" spans="5:27" hidden="1" outlineLevel="1" x14ac:dyDescent="0.2">
      <c r="E562" s="437" t="str">
        <f>E557</f>
        <v/>
      </c>
      <c r="F562" s="419"/>
      <c r="G562" s="419"/>
      <c r="H562" s="419"/>
      <c r="I562" s="419"/>
      <c r="J562" s="419"/>
      <c r="K562" s="419"/>
      <c r="L562" s="103"/>
      <c r="M562" s="437" t="str">
        <f>M557</f>
        <v/>
      </c>
      <c r="N562" s="439"/>
      <c r="O562" s="440"/>
      <c r="P562" s="440"/>
      <c r="Q562" s="440"/>
      <c r="R562" s="440"/>
      <c r="S562" s="440"/>
      <c r="U562" s="378"/>
      <c r="V562" s="378"/>
      <c r="W562" s="378"/>
      <c r="X562" s="378"/>
      <c r="Y562" s="378"/>
      <c r="Z562" s="378"/>
      <c r="AA562" s="378"/>
    </row>
    <row r="563" spans="5:27" hidden="1" outlineLevel="1" x14ac:dyDescent="0.2">
      <c r="E563" s="81" t="s">
        <v>1194</v>
      </c>
      <c r="F563" s="57">
        <f ca="1">$F557*V566</f>
        <v>0</v>
      </c>
      <c r="G563" s="57">
        <f t="shared" ref="G563" ca="1" si="755">$F557*W566</f>
        <v>0</v>
      </c>
      <c r="H563" s="57">
        <f t="shared" ref="H563" ca="1" si="756">$F557*X566</f>
        <v>0</v>
      </c>
      <c r="I563" s="57">
        <f t="shared" ref="I563" ca="1" si="757">$F557*Y566</f>
        <v>0</v>
      </c>
      <c r="J563" s="57">
        <f t="shared" ref="J563" ca="1" si="758">$F557*Z566</f>
        <v>0</v>
      </c>
      <c r="K563" s="57">
        <f t="shared" ref="K563" ca="1" si="759">$F557*AA566</f>
        <v>0</v>
      </c>
      <c r="L563" s="103"/>
      <c r="M563" s="81" t="s">
        <v>1194</v>
      </c>
      <c r="N563" s="57">
        <f ca="1">$N557*V567</f>
        <v>0</v>
      </c>
      <c r="O563" s="57">
        <f ca="1">$N557*W567</f>
        <v>0</v>
      </c>
      <c r="P563" s="57">
        <f t="shared" ref="P563" ca="1" si="760">$N557*X567</f>
        <v>0</v>
      </c>
      <c r="Q563" s="57">
        <f t="shared" ref="Q563" ca="1" si="761">$N557*Y567</f>
        <v>0</v>
      </c>
      <c r="R563" s="57">
        <f t="shared" ref="R563" ca="1" si="762">$N557*Z567</f>
        <v>0</v>
      </c>
      <c r="S563" s="57">
        <f t="shared" ref="S563" ca="1" si="763">$N557*AA567</f>
        <v>0</v>
      </c>
      <c r="U563" s="415" t="s">
        <v>1145</v>
      </c>
      <c r="V563" s="414">
        <f>IF($N560&gt;=V561,V561,N560)</f>
        <v>0</v>
      </c>
      <c r="W563" s="414">
        <f>IF(V564&gt;=W561,W561,V564)</f>
        <v>0</v>
      </c>
      <c r="X563" s="414">
        <f>IF(W564&gt;=X561,X561,W564)</f>
        <v>0</v>
      </c>
      <c r="Y563" s="414">
        <f>IF(X564&gt;=Y561,Y561,X564)</f>
        <v>0</v>
      </c>
      <c r="Z563" s="414">
        <f>IF(Y564&gt;=Z561,Z561,Y564)</f>
        <v>0</v>
      </c>
      <c r="AA563" s="414">
        <f>IF(Z564&gt;=AA561,AA561,Z564)</f>
        <v>0</v>
      </c>
    </row>
    <row r="564" spans="5:27" hidden="1" outlineLevel="1" x14ac:dyDescent="0.2">
      <c r="E564" s="81" t="s">
        <v>1195</v>
      </c>
      <c r="F564" s="115"/>
      <c r="G564" s="57">
        <f ca="1">$G557*V566</f>
        <v>0</v>
      </c>
      <c r="H564" s="57">
        <f t="shared" ref="H564" ca="1" si="764">$G557*W566</f>
        <v>0</v>
      </c>
      <c r="I564" s="57">
        <f t="shared" ref="I564" ca="1" si="765">$G557*X566</f>
        <v>0</v>
      </c>
      <c r="J564" s="57">
        <f t="shared" ref="J564" ca="1" si="766">$G557*Y566</f>
        <v>0</v>
      </c>
      <c r="K564" s="57">
        <f t="shared" ref="K564" ca="1" si="767">$G557*Z566</f>
        <v>0</v>
      </c>
      <c r="L564" s="103"/>
      <c r="M564" s="81" t="s">
        <v>1195</v>
      </c>
      <c r="N564" s="115"/>
      <c r="O564" s="57">
        <f ca="1">$O557*V567</f>
        <v>0</v>
      </c>
      <c r="P564" s="57">
        <f t="shared" ref="P564" ca="1" si="768">$O557*W567</f>
        <v>0</v>
      </c>
      <c r="Q564" s="57">
        <f t="shared" ref="Q564" ca="1" si="769">$O557*X567</f>
        <v>0</v>
      </c>
      <c r="R564" s="57">
        <f t="shared" ref="R564" ca="1" si="770">$O557*Y567</f>
        <v>0</v>
      </c>
      <c r="S564" s="57">
        <f t="shared" ref="S564" ca="1" si="771">$O557*Z567</f>
        <v>0</v>
      </c>
      <c r="U564" s="415" t="s">
        <v>1146</v>
      </c>
      <c r="V564" s="412">
        <f>$N560-V563</f>
        <v>0</v>
      </c>
      <c r="W564" s="412">
        <f>$N560-SUM($V563:W563)</f>
        <v>0</v>
      </c>
      <c r="X564" s="412">
        <f>$N560-SUM($V563:X563)</f>
        <v>0</v>
      </c>
      <c r="Y564" s="412">
        <f>$N560-SUM($V563:Y563)</f>
        <v>0</v>
      </c>
      <c r="Z564" s="412">
        <f>$N560-SUM($V563:Z563)</f>
        <v>0</v>
      </c>
      <c r="AA564" s="412">
        <f>$N560-SUM($V563:AA563)</f>
        <v>0</v>
      </c>
    </row>
    <row r="565" spans="5:27" hidden="1" outlineLevel="1" x14ac:dyDescent="0.2">
      <c r="E565" s="81" t="s">
        <v>1196</v>
      </c>
      <c r="F565" s="115"/>
      <c r="G565" s="115"/>
      <c r="H565" s="57">
        <f ca="1">$H557*V566</f>
        <v>0</v>
      </c>
      <c r="I565" s="57">
        <f t="shared" ref="I565" ca="1" si="772">$H557*W566</f>
        <v>0</v>
      </c>
      <c r="J565" s="57">
        <f t="shared" ref="J565" ca="1" si="773">$H557*X566</f>
        <v>0</v>
      </c>
      <c r="K565" s="57">
        <f t="shared" ref="K565" ca="1" si="774">$H557*Y566</f>
        <v>0</v>
      </c>
      <c r="L565" s="103"/>
      <c r="M565" s="81" t="s">
        <v>1196</v>
      </c>
      <c r="N565" s="115"/>
      <c r="O565" s="115"/>
      <c r="P565" s="57">
        <f ca="1">$P557*V567</f>
        <v>0</v>
      </c>
      <c r="Q565" s="57">
        <f t="shared" ref="Q565" ca="1" si="775">$P557*W567</f>
        <v>0</v>
      </c>
      <c r="R565" s="57">
        <f t="shared" ref="R565" ca="1" si="776">$P557*X567</f>
        <v>0</v>
      </c>
      <c r="S565" s="57">
        <f t="shared" ref="S565" ca="1" si="777">$P557*Y567</f>
        <v>0</v>
      </c>
      <c r="V565" s="416"/>
      <c r="AA565" s="378"/>
    </row>
    <row r="566" spans="5:27" hidden="1" outlineLevel="1" x14ac:dyDescent="0.2">
      <c r="E566" s="81" t="s">
        <v>1197</v>
      </c>
      <c r="F566" s="115"/>
      <c r="G566" s="115"/>
      <c r="H566" s="115"/>
      <c r="I566" s="57">
        <f ca="1">$I557*V566</f>
        <v>0</v>
      </c>
      <c r="J566" s="57">
        <f t="shared" ref="J566" ca="1" si="778">$I557*W566</f>
        <v>0</v>
      </c>
      <c r="K566" s="57">
        <f t="shared" ref="K566" ca="1" si="779">$I557*X566</f>
        <v>0</v>
      </c>
      <c r="L566" s="103"/>
      <c r="M566" s="81" t="s">
        <v>1197</v>
      </c>
      <c r="N566" s="115"/>
      <c r="O566" s="115"/>
      <c r="P566" s="115"/>
      <c r="Q566" s="57">
        <f ca="1">$Q557*V567</f>
        <v>0</v>
      </c>
      <c r="R566" s="57">
        <f t="shared" ref="R566" ca="1" si="780">$Q557*W567</f>
        <v>0</v>
      </c>
      <c r="S566" s="57">
        <f t="shared" ref="S566" ca="1" si="781">$Q557*X567</f>
        <v>0</v>
      </c>
      <c r="U566" s="413" t="s">
        <v>1143</v>
      </c>
      <c r="V566" s="417">
        <f t="shared" ref="V566:AA566" si="782">IFERROR(V560/$W569,0)</f>
        <v>0</v>
      </c>
      <c r="W566" s="417">
        <f t="shared" si="782"/>
        <v>0</v>
      </c>
      <c r="X566" s="417">
        <f t="shared" si="782"/>
        <v>0</v>
      </c>
      <c r="Y566" s="417">
        <f t="shared" si="782"/>
        <v>0</v>
      </c>
      <c r="Z566" s="417">
        <f t="shared" si="782"/>
        <v>0</v>
      </c>
      <c r="AA566" s="417">
        <f t="shared" si="782"/>
        <v>0</v>
      </c>
    </row>
    <row r="567" spans="5:27" hidden="1" outlineLevel="1" x14ac:dyDescent="0.2">
      <c r="E567" s="81" t="s">
        <v>1198</v>
      </c>
      <c r="F567" s="115"/>
      <c r="G567" s="115"/>
      <c r="H567" s="115"/>
      <c r="I567" s="115"/>
      <c r="J567" s="57">
        <f ca="1">$J557*V566</f>
        <v>0</v>
      </c>
      <c r="K567" s="57">
        <f ca="1">$J557*W566</f>
        <v>0</v>
      </c>
      <c r="L567" s="103"/>
      <c r="M567" s="81" t="s">
        <v>1198</v>
      </c>
      <c r="N567" s="115"/>
      <c r="O567" s="115"/>
      <c r="P567" s="115"/>
      <c r="Q567" s="115"/>
      <c r="R567" s="57">
        <f ca="1">$R557*V567</f>
        <v>0</v>
      </c>
      <c r="S567" s="57">
        <f ca="1">$R557*W567</f>
        <v>0</v>
      </c>
      <c r="U567" s="415" t="s">
        <v>1145</v>
      </c>
      <c r="V567" s="417">
        <f t="shared" ref="V567:AA567" si="783">IFERROR(V563/$W569,0)</f>
        <v>0</v>
      </c>
      <c r="W567" s="417">
        <f t="shared" si="783"/>
        <v>0</v>
      </c>
      <c r="X567" s="417">
        <f t="shared" si="783"/>
        <v>0</v>
      </c>
      <c r="Y567" s="417">
        <f t="shared" si="783"/>
        <v>0</v>
      </c>
      <c r="Z567" s="417">
        <f t="shared" si="783"/>
        <v>0</v>
      </c>
      <c r="AA567" s="417">
        <f t="shared" si="783"/>
        <v>0</v>
      </c>
    </row>
    <row r="568" spans="5:27" hidden="1" outlineLevel="1" x14ac:dyDescent="0.2">
      <c r="E568" s="81" t="s">
        <v>1199</v>
      </c>
      <c r="F568" s="115"/>
      <c r="G568" s="115"/>
      <c r="H568" s="115"/>
      <c r="I568" s="115"/>
      <c r="J568" s="115"/>
      <c r="K568" s="57">
        <f ca="1">$K557*V566</f>
        <v>0</v>
      </c>
      <c r="L568" s="103"/>
      <c r="M568" s="81" t="s">
        <v>1199</v>
      </c>
      <c r="N568" s="115"/>
      <c r="O568" s="115"/>
      <c r="P568" s="115"/>
      <c r="Q568" s="115"/>
      <c r="R568" s="115"/>
      <c r="S568" s="57">
        <f ca="1">$S557*V567</f>
        <v>0</v>
      </c>
    </row>
    <row r="569" spans="5:27" hidden="1" outlineLevel="1" x14ac:dyDescent="0.2">
      <c r="E569" s="420" t="str">
        <f>TxPhase1PxUnitsTx</f>
        <v/>
      </c>
      <c r="F569" s="421">
        <f ca="1">IF(F560&lt;&gt;"",SUM(F563:F568),F557)</f>
        <v>0</v>
      </c>
      <c r="G569" s="421">
        <f ca="1">IF(F560&lt;&gt;"",SUM(G563:G568),G557)</f>
        <v>0</v>
      </c>
      <c r="H569" s="421">
        <f ca="1">IF(F560&lt;&gt;"",SUM(H563:H568),H557)</f>
        <v>0</v>
      </c>
      <c r="I569" s="421">
        <f ca="1">IF(F560&lt;&gt;"",SUM(I563:I568),I557)</f>
        <v>0</v>
      </c>
      <c r="J569" s="421">
        <f ca="1">IF(F560&lt;&gt;"",SUM(J563:J568),J557)</f>
        <v>0</v>
      </c>
      <c r="K569" s="421">
        <f ca="1">IF(F560&lt;&gt;"",SUM(K563:K568),K557)</f>
        <v>0</v>
      </c>
      <c r="L569" s="103"/>
      <c r="M569" s="420" t="str">
        <f>TxPhase2PxUnitsTx</f>
        <v/>
      </c>
      <c r="N569" s="421">
        <f ca="1">IF(N560&lt;&gt;"",SUM(N563:N568),N557)</f>
        <v>0</v>
      </c>
      <c r="O569" s="421">
        <f ca="1">IF(N560&lt;&gt;"",SUM(O563:O568),O557)</f>
        <v>0</v>
      </c>
      <c r="P569" s="421">
        <f ca="1">IF(N560&lt;&gt;"",SUM(P563:P568),P557)</f>
        <v>0</v>
      </c>
      <c r="Q569" s="421">
        <f ca="1">IF(N560&lt;&gt;"",SUM(Q563:Q568),Q557)</f>
        <v>0</v>
      </c>
      <c r="R569" s="421">
        <f ca="1">IF(N560&lt;&gt;"",SUM(R563:R568),R557)</f>
        <v>0</v>
      </c>
      <c r="S569" s="421">
        <f ca="1">IF(N560&lt;&gt;"",SUM(S563:S568),S557)</f>
        <v>0</v>
      </c>
      <c r="U569" s="415" t="s">
        <v>1148</v>
      </c>
      <c r="V569" s="412">
        <f>IFERROR(VLOOKUP(G560,TimeUnitCode,2,FALSE),0)</f>
        <v>0</v>
      </c>
      <c r="W569" s="412">
        <f>IFERROR(INDEX(TimeUnitCount,V569,2),0)</f>
        <v>0</v>
      </c>
    </row>
    <row r="570" spans="5:27" hidden="1" outlineLevel="1" x14ac:dyDescent="0.2"/>
    <row r="571" spans="5:27" collapsed="1" x14ac:dyDescent="0.2"/>
  </sheetData>
  <mergeCells count="51">
    <mergeCell ref="H532:K532"/>
    <mergeCell ref="N532:S532"/>
    <mergeCell ref="H554:K554"/>
    <mergeCell ref="N554:S554"/>
    <mergeCell ref="H466:K466"/>
    <mergeCell ref="N466:S466"/>
    <mergeCell ref="H488:K488"/>
    <mergeCell ref="N488:S488"/>
    <mergeCell ref="H510:K510"/>
    <mergeCell ref="N510:S510"/>
    <mergeCell ref="H400:K400"/>
    <mergeCell ref="N400:S400"/>
    <mergeCell ref="H422:K422"/>
    <mergeCell ref="N422:S422"/>
    <mergeCell ref="H444:K444"/>
    <mergeCell ref="N444:S444"/>
    <mergeCell ref="H334:K334"/>
    <mergeCell ref="N334:S334"/>
    <mergeCell ref="H356:K356"/>
    <mergeCell ref="N356:S356"/>
    <mergeCell ref="H378:K378"/>
    <mergeCell ref="N378:S378"/>
    <mergeCell ref="H268:K268"/>
    <mergeCell ref="N268:S268"/>
    <mergeCell ref="H290:K290"/>
    <mergeCell ref="N290:S290"/>
    <mergeCell ref="H312:K312"/>
    <mergeCell ref="N312:S312"/>
    <mergeCell ref="H202:K202"/>
    <mergeCell ref="N202:S202"/>
    <mergeCell ref="H224:K224"/>
    <mergeCell ref="N224:S224"/>
    <mergeCell ref="H246:K246"/>
    <mergeCell ref="N246:S246"/>
    <mergeCell ref="H136:K136"/>
    <mergeCell ref="N136:S136"/>
    <mergeCell ref="H158:K158"/>
    <mergeCell ref="N158:S158"/>
    <mergeCell ref="H180:K180"/>
    <mergeCell ref="N180:S180"/>
    <mergeCell ref="H70:K70"/>
    <mergeCell ref="N70:S70"/>
    <mergeCell ref="H92:K92"/>
    <mergeCell ref="N92:S92"/>
    <mergeCell ref="H114:K114"/>
    <mergeCell ref="N114:S114"/>
    <mergeCell ref="K1:M1"/>
    <mergeCell ref="H26:K26"/>
    <mergeCell ref="N26:S26"/>
    <mergeCell ref="H48:K48"/>
    <mergeCell ref="N48:S48"/>
  </mergeCells>
  <conditionalFormatting sqref="E16">
    <cfRule type="expression" dxfId="283" priority="85">
      <formula>$E$16=""</formula>
    </cfRule>
  </conditionalFormatting>
  <conditionalFormatting sqref="F15:K16">
    <cfRule type="expression" dxfId="282" priority="84">
      <formula>PxIncident&lt;&gt;1</formula>
    </cfRule>
  </conditionalFormatting>
  <conditionalFormatting sqref="F16:K16">
    <cfRule type="expression" dxfId="281" priority="83">
      <formula>#REF!=""</formula>
    </cfRule>
  </conditionalFormatting>
  <conditionalFormatting sqref="H32:K32">
    <cfRule type="notContainsBlanks" dxfId="280" priority="79">
      <formula>LEN(TRIM(H32))&gt;0</formula>
    </cfRule>
  </conditionalFormatting>
  <conditionalFormatting sqref="H54:K54">
    <cfRule type="notContainsBlanks" dxfId="279" priority="74">
      <formula>LEN(TRIM(H54))&gt;0</formula>
    </cfRule>
  </conditionalFormatting>
  <conditionalFormatting sqref="H76:K76">
    <cfRule type="notContainsBlanks" dxfId="278" priority="71">
      <formula>LEN(TRIM(H76))&gt;0</formula>
    </cfRule>
  </conditionalFormatting>
  <conditionalFormatting sqref="H98:K98">
    <cfRule type="notContainsBlanks" dxfId="277" priority="68">
      <formula>LEN(TRIM(H98))&gt;0</formula>
    </cfRule>
  </conditionalFormatting>
  <conditionalFormatting sqref="H120:K120">
    <cfRule type="notContainsBlanks" dxfId="276" priority="65">
      <formula>LEN(TRIM(H120))&gt;0</formula>
    </cfRule>
  </conditionalFormatting>
  <conditionalFormatting sqref="H142:K142">
    <cfRule type="notContainsBlanks" dxfId="275" priority="62">
      <formula>LEN(TRIM(H142))&gt;0</formula>
    </cfRule>
  </conditionalFormatting>
  <conditionalFormatting sqref="H164:K164">
    <cfRule type="notContainsBlanks" dxfId="274" priority="59">
      <formula>LEN(TRIM(H164))&gt;0</formula>
    </cfRule>
  </conditionalFormatting>
  <conditionalFormatting sqref="H186:K186">
    <cfRule type="notContainsBlanks" dxfId="273" priority="56">
      <formula>LEN(TRIM(H186))&gt;0</formula>
    </cfRule>
  </conditionalFormatting>
  <conditionalFormatting sqref="H208:K208">
    <cfRule type="notContainsBlanks" dxfId="272" priority="53">
      <formula>LEN(TRIM(H208))&gt;0</formula>
    </cfRule>
  </conditionalFormatting>
  <conditionalFormatting sqref="H230:K230">
    <cfRule type="notContainsBlanks" dxfId="271" priority="50">
      <formula>LEN(TRIM(H230))&gt;0</formula>
    </cfRule>
  </conditionalFormatting>
  <conditionalFormatting sqref="H252:K252">
    <cfRule type="notContainsBlanks" dxfId="270" priority="47">
      <formula>LEN(TRIM(H252))&gt;0</formula>
    </cfRule>
  </conditionalFormatting>
  <conditionalFormatting sqref="H274:K274">
    <cfRule type="notContainsBlanks" dxfId="269" priority="44">
      <formula>LEN(TRIM(H274))&gt;0</formula>
    </cfRule>
  </conditionalFormatting>
  <conditionalFormatting sqref="H296:K296">
    <cfRule type="notContainsBlanks" dxfId="268" priority="41">
      <formula>LEN(TRIM(H296))&gt;0</formula>
    </cfRule>
  </conditionalFormatting>
  <conditionalFormatting sqref="H318:K318">
    <cfRule type="notContainsBlanks" dxfId="267" priority="38">
      <formula>LEN(TRIM(H318))&gt;0</formula>
    </cfRule>
  </conditionalFormatting>
  <conditionalFormatting sqref="H340:K340">
    <cfRule type="notContainsBlanks" dxfId="266" priority="35">
      <formula>LEN(TRIM(H340))&gt;0</formula>
    </cfRule>
  </conditionalFormatting>
  <conditionalFormatting sqref="H362:K362">
    <cfRule type="notContainsBlanks" dxfId="265" priority="32">
      <formula>LEN(TRIM(H362))&gt;0</formula>
    </cfRule>
  </conditionalFormatting>
  <conditionalFormatting sqref="H384:K384">
    <cfRule type="notContainsBlanks" dxfId="264" priority="29">
      <formula>LEN(TRIM(H384))&gt;0</formula>
    </cfRule>
  </conditionalFormatting>
  <conditionalFormatting sqref="H406:K406">
    <cfRule type="notContainsBlanks" dxfId="263" priority="26">
      <formula>LEN(TRIM(H406))&gt;0</formula>
    </cfRule>
  </conditionalFormatting>
  <conditionalFormatting sqref="H428:K428">
    <cfRule type="notContainsBlanks" dxfId="262" priority="23">
      <formula>LEN(TRIM(H428))&gt;0</formula>
    </cfRule>
  </conditionalFormatting>
  <conditionalFormatting sqref="H450:K450">
    <cfRule type="notContainsBlanks" dxfId="261" priority="20">
      <formula>LEN(TRIM(H450))&gt;0</formula>
    </cfRule>
  </conditionalFormatting>
  <conditionalFormatting sqref="H472:K472">
    <cfRule type="notContainsBlanks" dxfId="260" priority="17">
      <formula>LEN(TRIM(H472))&gt;0</formula>
    </cfRule>
  </conditionalFormatting>
  <conditionalFormatting sqref="H494:K494">
    <cfRule type="notContainsBlanks" dxfId="259" priority="14">
      <formula>LEN(TRIM(H494))&gt;0</formula>
    </cfRule>
  </conditionalFormatting>
  <conditionalFormatting sqref="H516:K516">
    <cfRule type="notContainsBlanks" dxfId="258" priority="11">
      <formula>LEN(TRIM(H516))&gt;0</formula>
    </cfRule>
  </conditionalFormatting>
  <conditionalFormatting sqref="H538:K538">
    <cfRule type="notContainsBlanks" dxfId="257" priority="8">
      <formula>LEN(TRIM(H538))&gt;0</formula>
    </cfRule>
  </conditionalFormatting>
  <conditionalFormatting sqref="H560:K560">
    <cfRule type="notContainsBlanks" dxfId="256" priority="5">
      <formula>LEN(TRIM(H560))&gt;0</formula>
    </cfRule>
  </conditionalFormatting>
  <conditionalFormatting sqref="N26:S26">
    <cfRule type="notContainsBlanks" dxfId="255" priority="76">
      <formula>LEN(TRIM(N26))&gt;0</formula>
    </cfRule>
  </conditionalFormatting>
  <conditionalFormatting sqref="N48:S48">
    <cfRule type="notContainsBlanks" dxfId="254" priority="73">
      <formula>LEN(TRIM(N48))&gt;0</formula>
    </cfRule>
  </conditionalFormatting>
  <conditionalFormatting sqref="N70:S70">
    <cfRule type="notContainsBlanks" dxfId="253" priority="70">
      <formula>LEN(TRIM(N70))&gt;0</formula>
    </cfRule>
  </conditionalFormatting>
  <conditionalFormatting sqref="N92:S92">
    <cfRule type="notContainsBlanks" dxfId="252" priority="67">
      <formula>LEN(TRIM(N92))&gt;0</formula>
    </cfRule>
  </conditionalFormatting>
  <conditionalFormatting sqref="N114:S114">
    <cfRule type="notContainsBlanks" dxfId="251" priority="64">
      <formula>LEN(TRIM(N114))&gt;0</formula>
    </cfRule>
  </conditionalFormatting>
  <conditionalFormatting sqref="N136:S136">
    <cfRule type="notContainsBlanks" dxfId="250" priority="61">
      <formula>LEN(TRIM(N136))&gt;0</formula>
    </cfRule>
  </conditionalFormatting>
  <conditionalFormatting sqref="N158:S158">
    <cfRule type="notContainsBlanks" dxfId="249" priority="58">
      <formula>LEN(TRIM(N158))&gt;0</formula>
    </cfRule>
  </conditionalFormatting>
  <conditionalFormatting sqref="N180:S180">
    <cfRule type="notContainsBlanks" dxfId="248" priority="55">
      <formula>LEN(TRIM(N180))&gt;0</formula>
    </cfRule>
  </conditionalFormatting>
  <conditionalFormatting sqref="N202:S202">
    <cfRule type="notContainsBlanks" dxfId="247" priority="52">
      <formula>LEN(TRIM(N202))&gt;0</formula>
    </cfRule>
  </conditionalFormatting>
  <conditionalFormatting sqref="N224:S224">
    <cfRule type="notContainsBlanks" dxfId="246" priority="49">
      <formula>LEN(TRIM(N224))&gt;0</formula>
    </cfRule>
  </conditionalFormatting>
  <conditionalFormatting sqref="N246:S246">
    <cfRule type="notContainsBlanks" dxfId="245" priority="46">
      <formula>LEN(TRIM(N246))&gt;0</formula>
    </cfRule>
  </conditionalFormatting>
  <conditionalFormatting sqref="N268:S268">
    <cfRule type="notContainsBlanks" dxfId="244" priority="43">
      <formula>LEN(TRIM(N268))&gt;0</formula>
    </cfRule>
  </conditionalFormatting>
  <conditionalFormatting sqref="N290:S290">
    <cfRule type="notContainsBlanks" dxfId="243" priority="40">
      <formula>LEN(TRIM(N290))&gt;0</formula>
    </cfRule>
  </conditionalFormatting>
  <conditionalFormatting sqref="N312:S312">
    <cfRule type="notContainsBlanks" dxfId="242" priority="37">
      <formula>LEN(TRIM(N312))&gt;0</formula>
    </cfRule>
  </conditionalFormatting>
  <conditionalFormatting sqref="N334:S334">
    <cfRule type="notContainsBlanks" dxfId="241" priority="34">
      <formula>LEN(TRIM(N334))&gt;0</formula>
    </cfRule>
  </conditionalFormatting>
  <conditionalFormatting sqref="N356:S356">
    <cfRule type="notContainsBlanks" dxfId="240" priority="31">
      <formula>LEN(TRIM(N356))&gt;0</formula>
    </cfRule>
  </conditionalFormatting>
  <conditionalFormatting sqref="N378:S378">
    <cfRule type="notContainsBlanks" dxfId="239" priority="28">
      <formula>LEN(TRIM(N378))&gt;0</formula>
    </cfRule>
  </conditionalFormatting>
  <conditionalFormatting sqref="N400:S400">
    <cfRule type="notContainsBlanks" dxfId="238" priority="25">
      <formula>LEN(TRIM(N400))&gt;0</formula>
    </cfRule>
  </conditionalFormatting>
  <conditionalFormatting sqref="N422:S422">
    <cfRule type="notContainsBlanks" dxfId="237" priority="22">
      <formula>LEN(TRIM(N422))&gt;0</formula>
    </cfRule>
  </conditionalFormatting>
  <conditionalFormatting sqref="N444:S444">
    <cfRule type="notContainsBlanks" dxfId="236" priority="19">
      <formula>LEN(TRIM(N444))&gt;0</formula>
    </cfRule>
  </conditionalFormatting>
  <conditionalFormatting sqref="N466:S466">
    <cfRule type="notContainsBlanks" dxfId="235" priority="16">
      <formula>LEN(TRIM(N466))&gt;0</formula>
    </cfRule>
  </conditionalFormatting>
  <conditionalFormatting sqref="N488:S488">
    <cfRule type="notContainsBlanks" dxfId="234" priority="13">
      <formula>LEN(TRIM(N488))&gt;0</formula>
    </cfRule>
  </conditionalFormatting>
  <conditionalFormatting sqref="N510:S510">
    <cfRule type="notContainsBlanks" dxfId="233" priority="10">
      <formula>LEN(TRIM(N510))&gt;0</formula>
    </cfRule>
  </conditionalFormatting>
  <conditionalFormatting sqref="N532:S532">
    <cfRule type="notContainsBlanks" dxfId="232" priority="7">
      <formula>LEN(TRIM(N532))&gt;0</formula>
    </cfRule>
  </conditionalFormatting>
  <conditionalFormatting sqref="N554:S554">
    <cfRule type="notContainsBlanks" dxfId="231" priority="4">
      <formula>LEN(TRIM(N554))&gt;0</formula>
    </cfRule>
  </conditionalFormatting>
  <conditionalFormatting sqref="P32:S32">
    <cfRule type="notContainsBlanks" dxfId="230" priority="80">
      <formula>LEN(TRIM(P32))&gt;0</formula>
    </cfRule>
  </conditionalFormatting>
  <conditionalFormatting sqref="P54:S54">
    <cfRule type="notContainsBlanks" dxfId="229" priority="75">
      <formula>LEN(TRIM(P54))&gt;0</formula>
    </cfRule>
  </conditionalFormatting>
  <conditionalFormatting sqref="P76:S76">
    <cfRule type="notContainsBlanks" dxfId="228" priority="72">
      <formula>LEN(TRIM(P76))&gt;0</formula>
    </cfRule>
  </conditionalFormatting>
  <conditionalFormatting sqref="P98:S98">
    <cfRule type="notContainsBlanks" dxfId="227" priority="69">
      <formula>LEN(TRIM(P98))&gt;0</formula>
    </cfRule>
  </conditionalFormatting>
  <conditionalFormatting sqref="P120:S120">
    <cfRule type="notContainsBlanks" dxfId="226" priority="66">
      <formula>LEN(TRIM(P120))&gt;0</formula>
    </cfRule>
  </conditionalFormatting>
  <conditionalFormatting sqref="P142:S142">
    <cfRule type="notContainsBlanks" dxfId="225" priority="63">
      <formula>LEN(TRIM(P142))&gt;0</formula>
    </cfRule>
  </conditionalFormatting>
  <conditionalFormatting sqref="P164:S164">
    <cfRule type="notContainsBlanks" dxfId="224" priority="60">
      <formula>LEN(TRIM(P164))&gt;0</formula>
    </cfRule>
  </conditionalFormatting>
  <conditionalFormatting sqref="P186:S186">
    <cfRule type="notContainsBlanks" dxfId="223" priority="57">
      <formula>LEN(TRIM(P186))&gt;0</formula>
    </cfRule>
  </conditionalFormatting>
  <conditionalFormatting sqref="P208:S208">
    <cfRule type="notContainsBlanks" dxfId="222" priority="54">
      <formula>LEN(TRIM(P208))&gt;0</formula>
    </cfRule>
  </conditionalFormatting>
  <conditionalFormatting sqref="P230:S230">
    <cfRule type="notContainsBlanks" dxfId="221" priority="51">
      <formula>LEN(TRIM(P230))&gt;0</formula>
    </cfRule>
  </conditionalFormatting>
  <conditionalFormatting sqref="P252:S252">
    <cfRule type="notContainsBlanks" dxfId="220" priority="48">
      <formula>LEN(TRIM(P252))&gt;0</formula>
    </cfRule>
  </conditionalFormatting>
  <conditionalFormatting sqref="P274:S274">
    <cfRule type="notContainsBlanks" dxfId="219" priority="45">
      <formula>LEN(TRIM(P274))&gt;0</formula>
    </cfRule>
  </conditionalFormatting>
  <conditionalFormatting sqref="P296:S296">
    <cfRule type="notContainsBlanks" dxfId="218" priority="42">
      <formula>LEN(TRIM(P296))&gt;0</formula>
    </cfRule>
  </conditionalFormatting>
  <conditionalFormatting sqref="P318:S318">
    <cfRule type="notContainsBlanks" dxfId="217" priority="39">
      <formula>LEN(TRIM(P318))&gt;0</formula>
    </cfRule>
  </conditionalFormatting>
  <conditionalFormatting sqref="P340:S340">
    <cfRule type="notContainsBlanks" dxfId="216" priority="36">
      <formula>LEN(TRIM(P340))&gt;0</formula>
    </cfRule>
  </conditionalFormatting>
  <conditionalFormatting sqref="P362:S362">
    <cfRule type="notContainsBlanks" dxfId="215" priority="33">
      <formula>LEN(TRIM(P362))&gt;0</formula>
    </cfRule>
  </conditionalFormatting>
  <conditionalFormatting sqref="P384:S384">
    <cfRule type="notContainsBlanks" dxfId="214" priority="30">
      <formula>LEN(TRIM(P384))&gt;0</formula>
    </cfRule>
  </conditionalFormatting>
  <conditionalFormatting sqref="P406:S406">
    <cfRule type="notContainsBlanks" dxfId="213" priority="27">
      <formula>LEN(TRIM(P406))&gt;0</formula>
    </cfRule>
  </conditionalFormatting>
  <conditionalFormatting sqref="P428:S428">
    <cfRule type="notContainsBlanks" dxfId="212" priority="24">
      <formula>LEN(TRIM(P428))&gt;0</formula>
    </cfRule>
  </conditionalFormatting>
  <conditionalFormatting sqref="P450:S450">
    <cfRule type="notContainsBlanks" dxfId="211" priority="21">
      <formula>LEN(TRIM(P450))&gt;0</formula>
    </cfRule>
  </conditionalFormatting>
  <conditionalFormatting sqref="P472:S472">
    <cfRule type="notContainsBlanks" dxfId="210" priority="18">
      <formula>LEN(TRIM(P472))&gt;0</formula>
    </cfRule>
  </conditionalFormatting>
  <conditionalFormatting sqref="P494:S494">
    <cfRule type="notContainsBlanks" dxfId="209" priority="15">
      <formula>LEN(TRIM(P494))&gt;0</formula>
    </cfRule>
  </conditionalFormatting>
  <conditionalFormatting sqref="P516:S516">
    <cfRule type="notContainsBlanks" dxfId="208" priority="12">
      <formula>LEN(TRIM(P516))&gt;0</formula>
    </cfRule>
  </conditionalFormatting>
  <conditionalFormatting sqref="P538:S538">
    <cfRule type="notContainsBlanks" dxfId="207" priority="9">
      <formula>LEN(TRIM(P538))&gt;0</formula>
    </cfRule>
  </conditionalFormatting>
  <conditionalFormatting sqref="P560:S560">
    <cfRule type="notContainsBlanks" dxfId="206" priority="6">
      <formula>LEN(TRIM(P560))&gt;0</formula>
    </cfRule>
  </conditionalFormatting>
  <dataValidations count="27">
    <dataValidation type="list" allowBlank="1" showInputMessage="1" showErrorMessage="1" sqref="F26 F48 F70 F92 F114 F136 F158 F180 F202 F224 F246 F268 F290 F312 F334 F356 F378 F400 F422 F444 F466 F488 F510 F532 F554" xr:uid="{00000000-0002-0000-0500-000000000000}">
      <formula1>PxTxSource</formula1>
    </dataValidation>
    <dataValidation type="list" allowBlank="1" showInputMessage="1" showErrorMessage="1" sqref="G428" xr:uid="{00000000-0002-0000-0500-000001000000}">
      <formula1>"Days,Weeks,Months"</formula1>
    </dataValidation>
    <dataValidation type="list" allowBlank="1" showInputMessage="1" showErrorMessage="1" sqref="H26:K26" xr:uid="{00000000-0002-0000-0500-000002000000}">
      <formula1>DTGPops01</formula1>
    </dataValidation>
    <dataValidation type="list" allowBlank="1" showInputMessage="1" showErrorMessage="1" sqref="H48:K48" xr:uid="{00000000-0002-0000-0500-000003000000}">
      <formula1>DTGPops02</formula1>
    </dataValidation>
    <dataValidation type="list" allowBlank="1" showInputMessage="1" showErrorMessage="1" sqref="H70:K70" xr:uid="{00000000-0002-0000-0500-000004000000}">
      <formula1>DTGPops03</formula1>
    </dataValidation>
    <dataValidation type="list" allowBlank="1" showInputMessage="1" showErrorMessage="1" sqref="H92:K92" xr:uid="{00000000-0002-0000-0500-000005000000}">
      <formula1>DTGPops04</formula1>
    </dataValidation>
    <dataValidation type="list" allowBlank="1" showInputMessage="1" showErrorMessage="1" sqref="H114:K114" xr:uid="{00000000-0002-0000-0500-000006000000}">
      <formula1>DTGPops05</formula1>
    </dataValidation>
    <dataValidation type="list" allowBlank="1" showInputMessage="1" showErrorMessage="1" sqref="H136:K136" xr:uid="{00000000-0002-0000-0500-000007000000}">
      <formula1>DTGPops06</formula1>
    </dataValidation>
    <dataValidation type="list" allowBlank="1" showInputMessage="1" showErrorMessage="1" sqref="H158:K158" xr:uid="{00000000-0002-0000-0500-000008000000}">
      <formula1>DTGPops07</formula1>
    </dataValidation>
    <dataValidation type="list" allowBlank="1" showInputMessage="1" showErrorMessage="1" sqref="H180:K180" xr:uid="{00000000-0002-0000-0500-000009000000}">
      <formula1>DTGPops08</formula1>
    </dataValidation>
    <dataValidation type="list" allowBlank="1" showInputMessage="1" showErrorMessage="1" sqref="H202:K202" xr:uid="{00000000-0002-0000-0500-00000A000000}">
      <formula1>DTGPops09</formula1>
    </dataValidation>
    <dataValidation type="list" allowBlank="1" showInputMessage="1" showErrorMessage="1" sqref="H224:K224" xr:uid="{00000000-0002-0000-0500-00000B000000}">
      <formula1>DTGPops10</formula1>
    </dataValidation>
    <dataValidation type="list" allowBlank="1" showInputMessage="1" showErrorMessage="1" sqref="H246:K246" xr:uid="{00000000-0002-0000-0500-00000C000000}">
      <formula1>DTGPops11</formula1>
    </dataValidation>
    <dataValidation type="list" allowBlank="1" showInputMessage="1" showErrorMessage="1" sqref="H268:K268" xr:uid="{00000000-0002-0000-0500-00000D000000}">
      <formula1>DTGPops12</formula1>
    </dataValidation>
    <dataValidation type="list" allowBlank="1" showInputMessage="1" showErrorMessage="1" sqref="H290:K290 H312:K312" xr:uid="{00000000-0002-0000-0500-00000E000000}">
      <formula1>DTGPops13</formula1>
    </dataValidation>
    <dataValidation type="list" allowBlank="1" showInputMessage="1" showErrorMessage="1" sqref="H334:K334" xr:uid="{00000000-0002-0000-0500-00000F000000}">
      <formula1>DTGPops15</formula1>
    </dataValidation>
    <dataValidation type="list" allowBlank="1" showInputMessage="1" showErrorMessage="1" sqref="H356:K356" xr:uid="{00000000-0002-0000-0500-000010000000}">
      <formula1>DTGPops16</formula1>
    </dataValidation>
    <dataValidation type="list" allowBlank="1" showInputMessage="1" showErrorMessage="1" sqref="H378:K378" xr:uid="{00000000-0002-0000-0500-000011000000}">
      <formula1>DTGPops17</formula1>
    </dataValidation>
    <dataValidation type="list" allowBlank="1" showInputMessage="1" showErrorMessage="1" sqref="H400:K400" xr:uid="{00000000-0002-0000-0500-000012000000}">
      <formula1>DTGPops18</formula1>
    </dataValidation>
    <dataValidation type="list" allowBlank="1" showInputMessage="1" showErrorMessage="1" sqref="H422:K422" xr:uid="{00000000-0002-0000-0500-000013000000}">
      <formula1>DTGPops19</formula1>
    </dataValidation>
    <dataValidation type="list" allowBlank="1" showInputMessage="1" showErrorMessage="1" sqref="H444:K444" xr:uid="{00000000-0002-0000-0500-000014000000}">
      <formula1>DTGPops20</formula1>
    </dataValidation>
    <dataValidation type="list" allowBlank="1" showInputMessage="1" showErrorMessage="1" sqref="H466:K466" xr:uid="{00000000-0002-0000-0500-000015000000}">
      <formula1>DTGPops21</formula1>
    </dataValidation>
    <dataValidation type="list" allowBlank="1" showInputMessage="1" showErrorMessage="1" sqref="H488:K488" xr:uid="{00000000-0002-0000-0500-000016000000}">
      <formula1>DTGPops22</formula1>
    </dataValidation>
    <dataValidation type="list" allowBlank="1" showInputMessage="1" showErrorMessage="1" sqref="H510:K510" xr:uid="{00000000-0002-0000-0500-000017000000}">
      <formula1>DTGPops23</formula1>
    </dataValidation>
    <dataValidation type="list" allowBlank="1" showInputMessage="1" showErrorMessage="1" sqref="H532:K532" xr:uid="{00000000-0002-0000-0500-000018000000}">
      <formula1>DTGPops24</formula1>
    </dataValidation>
    <dataValidation type="list" allowBlank="1" showInputMessage="1" showErrorMessage="1" sqref="H554:K554" xr:uid="{00000000-0002-0000-0500-000019000000}">
      <formula1>DTGPops25</formula1>
    </dataValidation>
    <dataValidation type="list" allowBlank="1" showInputMessage="1" showErrorMessage="1" sqref="G32 G54 G76 G98 G120 G142 G164 G186 G208 G230 G252 G274 G296 G318 G340 G362 G384 G406 G450 G472 G494 G516 G538 G560" xr:uid="{00000000-0002-0000-0500-00001A000000}">
      <formula1>TimeUnit</formula1>
    </dataValidation>
  </dataValidations>
  <pageMargins left="0.7" right="0.7" top="0.75" bottom="0.75" header="0.3" footer="0.3"/>
  <pageSetup paperSize="9" orientation="portrait" r:id="rId1"/>
  <headerFooter>
    <oddHeader>&amp;C&amp;"Calibri"&amp;12&amp;KFF0000 OFFICIAL&amp;1#_x000D_</oddHeader>
    <oddFooter>&amp;C_x000D_&amp;1#&amp;"Calibri"&amp;12&amp;KFF0000 OFFICIAL</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5">
    <tabColor theme="7"/>
    <pageSetUpPr fitToPage="1"/>
  </sheetPr>
  <dimension ref="A1:AC345"/>
  <sheetViews>
    <sheetView showGridLines="0" zoomScaleNormal="100" workbookViewId="0">
      <pane ySplit="3" topLeftCell="A4" activePane="bottomLeft" state="frozen"/>
      <selection activeCell="B7" sqref="B7:G7"/>
      <selection pane="bottomLeft" activeCell="A4" sqref="A4"/>
    </sheetView>
  </sheetViews>
  <sheetFormatPr defaultRowHeight="12.75" customHeight="1" outlineLevelRow="1" x14ac:dyDescent="0.2"/>
  <cols>
    <col min="1" max="1" width="3.7109375" customWidth="1"/>
    <col min="2" max="2" width="3.7109375" hidden="1" customWidth="1"/>
    <col min="3" max="3" width="50.7109375" customWidth="1"/>
    <col min="4" max="20" width="15.7109375" customWidth="1"/>
    <col min="21" max="26" width="10.7109375" customWidth="1"/>
    <col min="27" max="27" width="50.7109375" customWidth="1"/>
  </cols>
  <sheetData>
    <row r="1" spans="1:27" ht="23.25" x14ac:dyDescent="0.2">
      <c r="A1" s="276">
        <f>IF((SUM(D40:I40)+SUM(D41:I41)&lt;&gt;0),2,IF(AND(ScriptSourceCode=1,SUM(I70:N70)&lt;&gt;0),2,0))</f>
        <v>0</v>
      </c>
      <c r="B1" s="273"/>
      <c r="C1" s="274" t="s">
        <v>910</v>
      </c>
      <c r="D1" s="273"/>
      <c r="E1" s="273"/>
      <c r="F1" s="273"/>
      <c r="G1" s="273"/>
      <c r="H1" s="273"/>
      <c r="I1" s="604" t="str">
        <f>IF(ScriptSourceCode&lt;&gt;1,"","** Co-payments only **")</f>
        <v/>
      </c>
      <c r="J1" s="604"/>
      <c r="K1" s="604"/>
      <c r="L1" s="273"/>
      <c r="M1" s="273"/>
      <c r="N1" s="273"/>
      <c r="O1" s="273"/>
      <c r="P1" s="273"/>
      <c r="Q1" s="273"/>
      <c r="R1" s="273"/>
      <c r="S1" s="273"/>
      <c r="T1" s="273"/>
      <c r="U1" s="273"/>
      <c r="V1" s="273"/>
      <c r="W1" s="273"/>
      <c r="X1" s="273"/>
      <c r="Y1" s="273"/>
      <c r="Z1" s="273"/>
      <c r="AA1" s="273"/>
    </row>
    <row r="2" spans="1:27" ht="15.75" x14ac:dyDescent="0.2">
      <c r="A2" s="273"/>
      <c r="B2" s="273"/>
      <c r="C2" s="275" t="str">
        <f>CONCATENATE("Name of medicine: ", MedicineBrand)</f>
        <v xml:space="preserve">Name of medicine: </v>
      </c>
      <c r="D2" s="273"/>
      <c r="E2" s="273"/>
      <c r="F2" s="273"/>
      <c r="G2" s="273"/>
      <c r="H2" s="273"/>
      <c r="I2" s="273"/>
      <c r="J2" s="273"/>
      <c r="K2" s="273"/>
      <c r="L2" s="273"/>
      <c r="M2" s="273"/>
      <c r="N2" s="273"/>
      <c r="O2" s="273"/>
      <c r="P2" s="273"/>
      <c r="Q2" s="273"/>
      <c r="R2" s="273"/>
      <c r="S2" s="273"/>
      <c r="T2" s="273"/>
      <c r="U2" s="273"/>
      <c r="V2" s="273"/>
      <c r="W2" s="273"/>
      <c r="X2" s="273"/>
      <c r="Y2" s="273"/>
      <c r="Z2" s="273"/>
      <c r="AA2" s="273"/>
    </row>
    <row r="3" spans="1:27" ht="15.75" x14ac:dyDescent="0.2">
      <c r="A3" s="273"/>
      <c r="B3" s="273"/>
      <c r="C3" s="275" t="str">
        <f>CONCATENATE("Indication: ", Indication)</f>
        <v xml:space="preserve">Indication: </v>
      </c>
      <c r="D3" s="273"/>
      <c r="E3" s="273"/>
      <c r="F3" s="273"/>
      <c r="G3" s="273"/>
      <c r="H3" s="273"/>
      <c r="I3" s="273"/>
      <c r="J3" s="273"/>
      <c r="K3" s="273"/>
      <c r="L3" s="273"/>
      <c r="M3" s="273"/>
      <c r="N3" s="273"/>
      <c r="O3" s="273"/>
      <c r="P3" s="273"/>
      <c r="Q3" s="273"/>
      <c r="R3" s="273"/>
      <c r="S3" s="273"/>
      <c r="T3" s="273"/>
      <c r="U3" s="273"/>
      <c r="V3" s="273"/>
      <c r="W3" s="273"/>
      <c r="X3" s="273"/>
      <c r="Y3" s="273"/>
      <c r="Z3" s="273"/>
      <c r="AA3" s="273"/>
    </row>
    <row r="4" spans="1:27" x14ac:dyDescent="0.2">
      <c r="C4" s="450"/>
    </row>
    <row r="5" spans="1:27" ht="15.75" x14ac:dyDescent="0.2">
      <c r="A5" s="110"/>
      <c r="B5" s="110"/>
      <c r="C5" s="111" t="s">
        <v>2</v>
      </c>
      <c r="D5" s="21"/>
      <c r="E5" s="21"/>
      <c r="F5" s="21"/>
      <c r="G5" s="21"/>
      <c r="H5" s="21"/>
      <c r="I5" s="21"/>
      <c r="J5" s="21"/>
      <c r="K5" s="21"/>
      <c r="L5" s="21"/>
      <c r="M5" s="21"/>
      <c r="N5" s="21"/>
      <c r="O5" s="21"/>
      <c r="P5" s="21"/>
      <c r="Q5" s="21"/>
      <c r="R5" s="21"/>
      <c r="S5" s="21"/>
      <c r="T5" s="21"/>
      <c r="U5" s="21"/>
      <c r="V5" s="21"/>
      <c r="W5" s="21"/>
      <c r="X5" s="21"/>
      <c r="Y5" s="21"/>
      <c r="Z5" s="21"/>
      <c r="AA5" s="21"/>
    </row>
    <row r="6" spans="1:27" ht="14.25" x14ac:dyDescent="0.2">
      <c r="C6" s="449"/>
    </row>
    <row r="7" spans="1:27" x14ac:dyDescent="0.2">
      <c r="C7" s="103" t="str">
        <f>"Estimate the number of scripts dispensed for currently listed medicines. Estimate " &amp; IF(MarketImpact=0,"the rate of substitution of the proposed medicine and ","") &amp; "the market growth rate over the six years."</f>
        <v>Estimate the number of scripts dispensed for currently listed medicines. Estimate the market growth rate over the six years.</v>
      </c>
      <c r="D7" s="455"/>
      <c r="E7" s="455"/>
      <c r="F7" s="455"/>
      <c r="G7" s="455"/>
      <c r="H7" s="455"/>
      <c r="I7" s="455"/>
    </row>
    <row r="8" spans="1:27" x14ac:dyDescent="0.2">
      <c r="D8" s="455"/>
      <c r="E8" s="455"/>
      <c r="F8" s="455"/>
      <c r="G8" s="455"/>
      <c r="H8" s="455"/>
      <c r="I8" s="455"/>
    </row>
    <row r="9" spans="1:27" x14ac:dyDescent="0.2">
      <c r="D9" s="455"/>
      <c r="E9" s="455"/>
      <c r="F9" s="455"/>
      <c r="G9" s="455"/>
      <c r="H9" s="455"/>
      <c r="I9" s="455"/>
    </row>
    <row r="10" spans="1:27" ht="15.75" x14ac:dyDescent="0.2">
      <c r="C10" s="111" t="s">
        <v>849</v>
      </c>
      <c r="D10" s="112"/>
      <c r="E10" s="112"/>
      <c r="F10" s="112"/>
      <c r="G10" s="112"/>
      <c r="H10" s="112"/>
      <c r="I10" s="113"/>
      <c r="J10" s="113"/>
      <c r="K10" s="111"/>
      <c r="L10" s="123"/>
      <c r="M10" s="21"/>
      <c r="N10" s="21"/>
      <c r="O10" s="21"/>
      <c r="P10" s="21"/>
      <c r="Q10" s="21"/>
      <c r="R10" s="21"/>
      <c r="S10" s="21"/>
      <c r="T10" s="21"/>
      <c r="U10" s="21"/>
      <c r="V10" s="21"/>
      <c r="W10" s="21"/>
      <c r="X10" s="21"/>
      <c r="Y10" s="21"/>
      <c r="Z10" s="21"/>
      <c r="AA10" s="21"/>
    </row>
    <row r="11" spans="1:27" x14ac:dyDescent="0.2"/>
    <row r="12" spans="1:27" x14ac:dyDescent="0.2">
      <c r="C12" t="s">
        <v>28</v>
      </c>
    </row>
    <row r="13" spans="1:27" x14ac:dyDescent="0.2">
      <c r="K13" s="119"/>
    </row>
    <row r="14" spans="1:27" x14ac:dyDescent="0.2">
      <c r="C14" s="172"/>
      <c r="D14" s="596" t="s">
        <v>214</v>
      </c>
      <c r="E14" s="607"/>
      <c r="F14" s="607"/>
      <c r="G14" s="607"/>
      <c r="H14" s="607"/>
      <c r="I14" s="608"/>
      <c r="K14" s="593" t="s">
        <v>215</v>
      </c>
      <c r="L14" s="594"/>
      <c r="M14" s="594"/>
      <c r="N14" s="594"/>
      <c r="O14" s="595"/>
      <c r="P14" s="595"/>
    </row>
    <row r="15" spans="1:27" x14ac:dyDescent="0.2">
      <c r="C15" s="11" t="s">
        <v>799</v>
      </c>
      <c r="D15" s="74">
        <f>FirstYear</f>
        <v>2026</v>
      </c>
      <c r="E15" s="74">
        <f>D15+1</f>
        <v>2027</v>
      </c>
      <c r="F15" s="74">
        <f>E15+1</f>
        <v>2028</v>
      </c>
      <c r="G15" s="74">
        <f>F15+1</f>
        <v>2029</v>
      </c>
      <c r="H15" s="74">
        <f>G15+1</f>
        <v>2030</v>
      </c>
      <c r="I15" s="74">
        <f>H15+1</f>
        <v>2031</v>
      </c>
      <c r="K15" s="74">
        <f>FirstYear</f>
        <v>2026</v>
      </c>
      <c r="L15" s="74">
        <f>K15+1</f>
        <v>2027</v>
      </c>
      <c r="M15" s="74">
        <f>L15+1</f>
        <v>2028</v>
      </c>
      <c r="N15" s="74">
        <f>M15+1</f>
        <v>2029</v>
      </c>
      <c r="O15" s="74">
        <f>N15+1</f>
        <v>2030</v>
      </c>
      <c r="P15" s="74">
        <f>O15+1</f>
        <v>2031</v>
      </c>
    </row>
    <row r="16" spans="1:27" x14ac:dyDescent="0.2">
      <c r="B16" s="125">
        <v>1</v>
      </c>
      <c r="C16" s="77" t="str">
        <f t="shared" ref="C16:C35" si="0">INDEX(NamesMS,B16)</f>
        <v>** NOT USED **</v>
      </c>
      <c r="D16" s="247">
        <f t="shared" ref="D16:I16" si="1">IF($C16&lt;&gt;"",E108,0)</f>
        <v>0</v>
      </c>
      <c r="E16" s="247">
        <f t="shared" si="1"/>
        <v>0</v>
      </c>
      <c r="F16" s="247">
        <f t="shared" si="1"/>
        <v>0</v>
      </c>
      <c r="G16" s="247">
        <f t="shared" si="1"/>
        <v>0</v>
      </c>
      <c r="H16" s="247">
        <f t="shared" si="1"/>
        <v>0</v>
      </c>
      <c r="I16" s="247">
        <f t="shared" si="1"/>
        <v>0</v>
      </c>
      <c r="J16" s="348"/>
      <c r="K16" s="247">
        <f t="shared" ref="K16:P16" si="2">IF($C16&lt;&gt;"",E109,0)</f>
        <v>0</v>
      </c>
      <c r="L16" s="247">
        <f t="shared" si="2"/>
        <v>0</v>
      </c>
      <c r="M16" s="247">
        <f t="shared" si="2"/>
        <v>0</v>
      </c>
      <c r="N16" s="247">
        <f t="shared" si="2"/>
        <v>0</v>
      </c>
      <c r="O16" s="247">
        <f t="shared" si="2"/>
        <v>0</v>
      </c>
      <c r="P16" s="247">
        <f t="shared" si="2"/>
        <v>0</v>
      </c>
    </row>
    <row r="17" spans="2:16" x14ac:dyDescent="0.2">
      <c r="B17" s="125">
        <v>2</v>
      </c>
      <c r="C17" s="77" t="str">
        <f t="shared" si="0"/>
        <v>** NOT USED **</v>
      </c>
      <c r="D17" s="247">
        <f t="shared" ref="D17:I17" si="3">IF($C17&lt;&gt;"",E120,0)</f>
        <v>0</v>
      </c>
      <c r="E17" s="247">
        <f t="shared" si="3"/>
        <v>0</v>
      </c>
      <c r="F17" s="247">
        <f t="shared" si="3"/>
        <v>0</v>
      </c>
      <c r="G17" s="247">
        <f t="shared" si="3"/>
        <v>0</v>
      </c>
      <c r="H17" s="247">
        <f t="shared" si="3"/>
        <v>0</v>
      </c>
      <c r="I17" s="247">
        <f t="shared" si="3"/>
        <v>0</v>
      </c>
      <c r="K17" s="247">
        <f t="shared" ref="K17:P17" si="4">IF($C17&lt;&gt;"",E121,0)</f>
        <v>0</v>
      </c>
      <c r="L17" s="247">
        <f t="shared" si="4"/>
        <v>0</v>
      </c>
      <c r="M17" s="247">
        <f t="shared" si="4"/>
        <v>0</v>
      </c>
      <c r="N17" s="247">
        <f t="shared" si="4"/>
        <v>0</v>
      </c>
      <c r="O17" s="247">
        <f t="shared" si="4"/>
        <v>0</v>
      </c>
      <c r="P17" s="247">
        <f t="shared" si="4"/>
        <v>0</v>
      </c>
    </row>
    <row r="18" spans="2:16" x14ac:dyDescent="0.2">
      <c r="B18" s="125">
        <v>3</v>
      </c>
      <c r="C18" s="77" t="str">
        <f t="shared" si="0"/>
        <v>** NOT USED **</v>
      </c>
      <c r="D18" s="247">
        <f t="shared" ref="D18:I18" si="5">IF($C18&lt;&gt;"",E132,0)</f>
        <v>0</v>
      </c>
      <c r="E18" s="247">
        <f t="shared" si="5"/>
        <v>0</v>
      </c>
      <c r="F18" s="247">
        <f t="shared" si="5"/>
        <v>0</v>
      </c>
      <c r="G18" s="247">
        <f t="shared" si="5"/>
        <v>0</v>
      </c>
      <c r="H18" s="247">
        <f t="shared" si="5"/>
        <v>0</v>
      </c>
      <c r="I18" s="247">
        <f t="shared" si="5"/>
        <v>0</v>
      </c>
      <c r="J18" s="493"/>
      <c r="K18" s="247">
        <f t="shared" ref="K18:P18" si="6">IF($C18&lt;&gt;"",E133,0)</f>
        <v>0</v>
      </c>
      <c r="L18" s="247">
        <f t="shared" si="6"/>
        <v>0</v>
      </c>
      <c r="M18" s="247">
        <f t="shared" si="6"/>
        <v>0</v>
      </c>
      <c r="N18" s="247">
        <f t="shared" si="6"/>
        <v>0</v>
      </c>
      <c r="O18" s="247">
        <f t="shared" si="6"/>
        <v>0</v>
      </c>
      <c r="P18" s="247">
        <f t="shared" si="6"/>
        <v>0</v>
      </c>
    </row>
    <row r="19" spans="2:16" x14ac:dyDescent="0.2">
      <c r="B19" s="125">
        <v>4</v>
      </c>
      <c r="C19" s="77" t="str">
        <f t="shared" si="0"/>
        <v>** NOT USED **</v>
      </c>
      <c r="D19" s="247">
        <f t="shared" ref="D19:I19" si="7">IF($C19&lt;&gt;"",E144,0)</f>
        <v>0</v>
      </c>
      <c r="E19" s="247">
        <f t="shared" si="7"/>
        <v>0</v>
      </c>
      <c r="F19" s="247">
        <f t="shared" si="7"/>
        <v>0</v>
      </c>
      <c r="G19" s="247">
        <f t="shared" si="7"/>
        <v>0</v>
      </c>
      <c r="H19" s="247">
        <f t="shared" si="7"/>
        <v>0</v>
      </c>
      <c r="I19" s="247">
        <f t="shared" si="7"/>
        <v>0</v>
      </c>
      <c r="J19" s="493"/>
      <c r="K19" s="247">
        <f t="shared" ref="K19:P19" si="8">IF($C19&lt;&gt;"",E145,0)</f>
        <v>0</v>
      </c>
      <c r="L19" s="247">
        <f t="shared" si="8"/>
        <v>0</v>
      </c>
      <c r="M19" s="247">
        <f t="shared" si="8"/>
        <v>0</v>
      </c>
      <c r="N19" s="247">
        <f t="shared" si="8"/>
        <v>0</v>
      </c>
      <c r="O19" s="247">
        <f t="shared" si="8"/>
        <v>0</v>
      </c>
      <c r="P19" s="247">
        <f t="shared" si="8"/>
        <v>0</v>
      </c>
    </row>
    <row r="20" spans="2:16" x14ac:dyDescent="0.2">
      <c r="B20" s="125">
        <v>5</v>
      </c>
      <c r="C20" s="77" t="str">
        <f t="shared" si="0"/>
        <v>** NOT USED **</v>
      </c>
      <c r="D20" s="247">
        <f t="shared" ref="D20:I20" si="9">IF($C20&lt;&gt;"",E156,0)</f>
        <v>0</v>
      </c>
      <c r="E20" s="247">
        <f t="shared" si="9"/>
        <v>0</v>
      </c>
      <c r="F20" s="247">
        <f t="shared" si="9"/>
        <v>0</v>
      </c>
      <c r="G20" s="247">
        <f t="shared" si="9"/>
        <v>0</v>
      </c>
      <c r="H20" s="247">
        <f t="shared" si="9"/>
        <v>0</v>
      </c>
      <c r="I20" s="247">
        <f t="shared" si="9"/>
        <v>0</v>
      </c>
      <c r="K20" s="247">
        <f t="shared" ref="K20:P20" si="10">IF($C20&lt;&gt;"",E157,0)</f>
        <v>0</v>
      </c>
      <c r="L20" s="247">
        <f t="shared" si="10"/>
        <v>0</v>
      </c>
      <c r="M20" s="247">
        <f t="shared" si="10"/>
        <v>0</v>
      </c>
      <c r="N20" s="247">
        <f t="shared" si="10"/>
        <v>0</v>
      </c>
      <c r="O20" s="247">
        <f t="shared" si="10"/>
        <v>0</v>
      </c>
      <c r="P20" s="247">
        <f t="shared" si="10"/>
        <v>0</v>
      </c>
    </row>
    <row r="21" spans="2:16" x14ac:dyDescent="0.2">
      <c r="B21" s="125">
        <v>6</v>
      </c>
      <c r="C21" s="77" t="str">
        <f t="shared" si="0"/>
        <v>** NOT USED **</v>
      </c>
      <c r="D21" s="247">
        <f t="shared" ref="D21:I21" si="11">IF($C21&lt;&gt;"",E168,0)</f>
        <v>0</v>
      </c>
      <c r="E21" s="247">
        <f t="shared" si="11"/>
        <v>0</v>
      </c>
      <c r="F21" s="247">
        <f t="shared" si="11"/>
        <v>0</v>
      </c>
      <c r="G21" s="247">
        <f t="shared" si="11"/>
        <v>0</v>
      </c>
      <c r="H21" s="247">
        <f t="shared" si="11"/>
        <v>0</v>
      </c>
      <c r="I21" s="247">
        <f t="shared" si="11"/>
        <v>0</v>
      </c>
      <c r="K21" s="247">
        <f t="shared" ref="K21:P21" si="12">IF($C21&lt;&gt;"",E169,0)</f>
        <v>0</v>
      </c>
      <c r="L21" s="247">
        <f t="shared" si="12"/>
        <v>0</v>
      </c>
      <c r="M21" s="247">
        <f t="shared" si="12"/>
        <v>0</v>
      </c>
      <c r="N21" s="247">
        <f t="shared" si="12"/>
        <v>0</v>
      </c>
      <c r="O21" s="247">
        <f t="shared" si="12"/>
        <v>0</v>
      </c>
      <c r="P21" s="247">
        <f t="shared" si="12"/>
        <v>0</v>
      </c>
    </row>
    <row r="22" spans="2:16" x14ac:dyDescent="0.2">
      <c r="B22" s="125">
        <v>7</v>
      </c>
      <c r="C22" s="77" t="str">
        <f t="shared" si="0"/>
        <v>** NOT USED **</v>
      </c>
      <c r="D22" s="247">
        <f t="shared" ref="D22:I22" si="13">IF($C22&lt;&gt;"",E180,0)</f>
        <v>0</v>
      </c>
      <c r="E22" s="247">
        <f t="shared" si="13"/>
        <v>0</v>
      </c>
      <c r="F22" s="247">
        <f t="shared" si="13"/>
        <v>0</v>
      </c>
      <c r="G22" s="247">
        <f t="shared" si="13"/>
        <v>0</v>
      </c>
      <c r="H22" s="247">
        <f t="shared" si="13"/>
        <v>0</v>
      </c>
      <c r="I22" s="247">
        <f t="shared" si="13"/>
        <v>0</v>
      </c>
      <c r="K22" s="247">
        <f t="shared" ref="K22:P22" si="14">IF($C22&lt;&gt;"",E181,0)</f>
        <v>0</v>
      </c>
      <c r="L22" s="247">
        <f t="shared" si="14"/>
        <v>0</v>
      </c>
      <c r="M22" s="247">
        <f t="shared" si="14"/>
        <v>0</v>
      </c>
      <c r="N22" s="247">
        <f t="shared" si="14"/>
        <v>0</v>
      </c>
      <c r="O22" s="247">
        <f t="shared" si="14"/>
        <v>0</v>
      </c>
      <c r="P22" s="247">
        <f t="shared" si="14"/>
        <v>0</v>
      </c>
    </row>
    <row r="23" spans="2:16" x14ac:dyDescent="0.2">
      <c r="B23" s="125">
        <v>8</v>
      </c>
      <c r="C23" s="77" t="str">
        <f t="shared" si="0"/>
        <v>** NOT USED **</v>
      </c>
      <c r="D23" s="247">
        <f t="shared" ref="D23:I23" si="15">IF($C23&lt;&gt;"",E192,0)</f>
        <v>0</v>
      </c>
      <c r="E23" s="247">
        <f t="shared" si="15"/>
        <v>0</v>
      </c>
      <c r="F23" s="247">
        <f t="shared" si="15"/>
        <v>0</v>
      </c>
      <c r="G23" s="247">
        <f t="shared" si="15"/>
        <v>0</v>
      </c>
      <c r="H23" s="247">
        <f t="shared" si="15"/>
        <v>0</v>
      </c>
      <c r="I23" s="247">
        <f t="shared" si="15"/>
        <v>0</v>
      </c>
      <c r="K23" s="247">
        <f t="shared" ref="K23:P23" si="16">IF($C23&lt;&gt;"",E193,0)</f>
        <v>0</v>
      </c>
      <c r="L23" s="247">
        <f t="shared" si="16"/>
        <v>0</v>
      </c>
      <c r="M23" s="247">
        <f t="shared" si="16"/>
        <v>0</v>
      </c>
      <c r="N23" s="247">
        <f t="shared" si="16"/>
        <v>0</v>
      </c>
      <c r="O23" s="247">
        <f t="shared" si="16"/>
        <v>0</v>
      </c>
      <c r="P23" s="247">
        <f t="shared" si="16"/>
        <v>0</v>
      </c>
    </row>
    <row r="24" spans="2:16" x14ac:dyDescent="0.2">
      <c r="B24" s="125">
        <v>9</v>
      </c>
      <c r="C24" s="77" t="str">
        <f t="shared" si="0"/>
        <v>** NOT USED **</v>
      </c>
      <c r="D24" s="247">
        <f t="shared" ref="D24:I24" si="17">IF($C24&lt;&gt;"",E204,0)</f>
        <v>0</v>
      </c>
      <c r="E24" s="247">
        <f t="shared" si="17"/>
        <v>0</v>
      </c>
      <c r="F24" s="247">
        <f t="shared" si="17"/>
        <v>0</v>
      </c>
      <c r="G24" s="247">
        <f t="shared" si="17"/>
        <v>0</v>
      </c>
      <c r="H24" s="247">
        <f t="shared" si="17"/>
        <v>0</v>
      </c>
      <c r="I24" s="247">
        <f t="shared" si="17"/>
        <v>0</v>
      </c>
      <c r="K24" s="247">
        <f t="shared" ref="K24:P24" si="18">IF($C24&lt;&gt;"",E205,0)</f>
        <v>0</v>
      </c>
      <c r="L24" s="247">
        <f t="shared" si="18"/>
        <v>0</v>
      </c>
      <c r="M24" s="247">
        <f t="shared" si="18"/>
        <v>0</v>
      </c>
      <c r="N24" s="247">
        <f t="shared" si="18"/>
        <v>0</v>
      </c>
      <c r="O24" s="247">
        <f t="shared" si="18"/>
        <v>0</v>
      </c>
      <c r="P24" s="247">
        <f t="shared" si="18"/>
        <v>0</v>
      </c>
    </row>
    <row r="25" spans="2:16" x14ac:dyDescent="0.2">
      <c r="B25" s="125">
        <v>10</v>
      </c>
      <c r="C25" s="77" t="str">
        <f t="shared" si="0"/>
        <v>** NOT USED **</v>
      </c>
      <c r="D25" s="247">
        <f t="shared" ref="D25:I25" si="19">IF($C25&lt;&gt;"",E216,0)</f>
        <v>0</v>
      </c>
      <c r="E25" s="247">
        <f t="shared" si="19"/>
        <v>0</v>
      </c>
      <c r="F25" s="247">
        <f t="shared" si="19"/>
        <v>0</v>
      </c>
      <c r="G25" s="247">
        <f t="shared" si="19"/>
        <v>0</v>
      </c>
      <c r="H25" s="247">
        <f t="shared" si="19"/>
        <v>0</v>
      </c>
      <c r="I25" s="247">
        <f t="shared" si="19"/>
        <v>0</v>
      </c>
      <c r="K25" s="247">
        <f t="shared" ref="K25:P25" si="20">IF($C25&lt;&gt;"",E217,0)</f>
        <v>0</v>
      </c>
      <c r="L25" s="247">
        <f t="shared" si="20"/>
        <v>0</v>
      </c>
      <c r="M25" s="247">
        <f t="shared" si="20"/>
        <v>0</v>
      </c>
      <c r="N25" s="247">
        <f t="shared" si="20"/>
        <v>0</v>
      </c>
      <c r="O25" s="247">
        <f t="shared" si="20"/>
        <v>0</v>
      </c>
      <c r="P25" s="247">
        <f t="shared" si="20"/>
        <v>0</v>
      </c>
    </row>
    <row r="26" spans="2:16" x14ac:dyDescent="0.2">
      <c r="B26" s="125">
        <v>11</v>
      </c>
      <c r="C26" s="77" t="str">
        <f t="shared" si="0"/>
        <v>** NOT USED **</v>
      </c>
      <c r="D26" s="247">
        <f t="shared" ref="D26:I26" si="21">IF($C26&lt;&gt;"",E228,0)</f>
        <v>0</v>
      </c>
      <c r="E26" s="247">
        <f t="shared" si="21"/>
        <v>0</v>
      </c>
      <c r="F26" s="247">
        <f t="shared" si="21"/>
        <v>0</v>
      </c>
      <c r="G26" s="247">
        <f t="shared" si="21"/>
        <v>0</v>
      </c>
      <c r="H26" s="247">
        <f t="shared" si="21"/>
        <v>0</v>
      </c>
      <c r="I26" s="247">
        <f t="shared" si="21"/>
        <v>0</v>
      </c>
      <c r="K26" s="247">
        <f t="shared" ref="K26:P26" si="22">IF($C26&lt;&gt;"",E229,0)</f>
        <v>0</v>
      </c>
      <c r="L26" s="247">
        <f t="shared" si="22"/>
        <v>0</v>
      </c>
      <c r="M26" s="247">
        <f t="shared" si="22"/>
        <v>0</v>
      </c>
      <c r="N26" s="247">
        <f t="shared" si="22"/>
        <v>0</v>
      </c>
      <c r="O26" s="247">
        <f t="shared" si="22"/>
        <v>0</v>
      </c>
      <c r="P26" s="247">
        <f t="shared" si="22"/>
        <v>0</v>
      </c>
    </row>
    <row r="27" spans="2:16" x14ac:dyDescent="0.2">
      <c r="B27" s="125">
        <v>12</v>
      </c>
      <c r="C27" s="77" t="str">
        <f t="shared" si="0"/>
        <v>** NOT USED **</v>
      </c>
      <c r="D27" s="247">
        <f t="shared" ref="D27:I27" si="23">IF($C27&lt;&gt;"",E240,0)</f>
        <v>0</v>
      </c>
      <c r="E27" s="247">
        <f t="shared" si="23"/>
        <v>0</v>
      </c>
      <c r="F27" s="247">
        <f t="shared" si="23"/>
        <v>0</v>
      </c>
      <c r="G27" s="247">
        <f t="shared" si="23"/>
        <v>0</v>
      </c>
      <c r="H27" s="247">
        <f t="shared" si="23"/>
        <v>0</v>
      </c>
      <c r="I27" s="247">
        <f t="shared" si="23"/>
        <v>0</v>
      </c>
      <c r="K27" s="247">
        <f t="shared" ref="K27:P27" si="24">IF($C27&lt;&gt;"",E241,0)</f>
        <v>0</v>
      </c>
      <c r="L27" s="247">
        <f t="shared" si="24"/>
        <v>0</v>
      </c>
      <c r="M27" s="247">
        <f t="shared" si="24"/>
        <v>0</v>
      </c>
      <c r="N27" s="247">
        <f t="shared" si="24"/>
        <v>0</v>
      </c>
      <c r="O27" s="247">
        <f t="shared" si="24"/>
        <v>0</v>
      </c>
      <c r="P27" s="247">
        <f t="shared" si="24"/>
        <v>0</v>
      </c>
    </row>
    <row r="28" spans="2:16" x14ac:dyDescent="0.2">
      <c r="B28" s="125">
        <v>13</v>
      </c>
      <c r="C28" s="77" t="str">
        <f t="shared" si="0"/>
        <v>** NOT USED **</v>
      </c>
      <c r="D28" s="247">
        <f t="shared" ref="D28:I28" si="25">IF($C28&lt;&gt;"",E252,0)</f>
        <v>0</v>
      </c>
      <c r="E28" s="247">
        <f t="shared" si="25"/>
        <v>0</v>
      </c>
      <c r="F28" s="247">
        <f t="shared" si="25"/>
        <v>0</v>
      </c>
      <c r="G28" s="247">
        <f t="shared" si="25"/>
        <v>0</v>
      </c>
      <c r="H28" s="247">
        <f t="shared" si="25"/>
        <v>0</v>
      </c>
      <c r="I28" s="247">
        <f t="shared" si="25"/>
        <v>0</v>
      </c>
      <c r="K28" s="247">
        <f t="shared" ref="K28:P28" si="26">IF($C28&lt;&gt;"",E253,0)</f>
        <v>0</v>
      </c>
      <c r="L28" s="247">
        <f t="shared" si="26"/>
        <v>0</v>
      </c>
      <c r="M28" s="247">
        <f t="shared" si="26"/>
        <v>0</v>
      </c>
      <c r="N28" s="247">
        <f t="shared" si="26"/>
        <v>0</v>
      </c>
      <c r="O28" s="247">
        <f t="shared" si="26"/>
        <v>0</v>
      </c>
      <c r="P28" s="247">
        <f t="shared" si="26"/>
        <v>0</v>
      </c>
    </row>
    <row r="29" spans="2:16" x14ac:dyDescent="0.2">
      <c r="B29" s="125">
        <v>14</v>
      </c>
      <c r="C29" s="77" t="str">
        <f t="shared" si="0"/>
        <v>** NOT USED **</v>
      </c>
      <c r="D29" s="247">
        <f t="shared" ref="D29:I29" si="27">IF($C29&lt;&gt;"",E264,0)</f>
        <v>0</v>
      </c>
      <c r="E29" s="247">
        <f t="shared" si="27"/>
        <v>0</v>
      </c>
      <c r="F29" s="247">
        <f t="shared" si="27"/>
        <v>0</v>
      </c>
      <c r="G29" s="247">
        <f t="shared" si="27"/>
        <v>0</v>
      </c>
      <c r="H29" s="247">
        <f t="shared" si="27"/>
        <v>0</v>
      </c>
      <c r="I29" s="247">
        <f t="shared" si="27"/>
        <v>0</v>
      </c>
      <c r="K29" s="247">
        <f t="shared" ref="K29:P29" si="28">IF($C29&lt;&gt;"",E265,0)</f>
        <v>0</v>
      </c>
      <c r="L29" s="247">
        <f t="shared" si="28"/>
        <v>0</v>
      </c>
      <c r="M29" s="247">
        <f t="shared" si="28"/>
        <v>0</v>
      </c>
      <c r="N29" s="247">
        <f t="shared" si="28"/>
        <v>0</v>
      </c>
      <c r="O29" s="247">
        <f t="shared" si="28"/>
        <v>0</v>
      </c>
      <c r="P29" s="247">
        <f t="shared" si="28"/>
        <v>0</v>
      </c>
    </row>
    <row r="30" spans="2:16" x14ac:dyDescent="0.2">
      <c r="B30" s="125">
        <v>15</v>
      </c>
      <c r="C30" s="77" t="str">
        <f t="shared" si="0"/>
        <v>** NOT USED **</v>
      </c>
      <c r="D30" s="247">
        <f t="shared" ref="D30:I30" si="29">IF($C30&lt;&gt;"",E276,0)</f>
        <v>0</v>
      </c>
      <c r="E30" s="247">
        <f t="shared" si="29"/>
        <v>0</v>
      </c>
      <c r="F30" s="247">
        <f t="shared" si="29"/>
        <v>0</v>
      </c>
      <c r="G30" s="247">
        <f t="shared" si="29"/>
        <v>0</v>
      </c>
      <c r="H30" s="247">
        <f t="shared" si="29"/>
        <v>0</v>
      </c>
      <c r="I30" s="247">
        <f t="shared" si="29"/>
        <v>0</v>
      </c>
      <c r="K30" s="247">
        <f t="shared" ref="K30:P30" si="30">IF($C30&lt;&gt;"",E277,0)</f>
        <v>0</v>
      </c>
      <c r="L30" s="247">
        <f t="shared" si="30"/>
        <v>0</v>
      </c>
      <c r="M30" s="247">
        <f t="shared" si="30"/>
        <v>0</v>
      </c>
      <c r="N30" s="247">
        <f t="shared" si="30"/>
        <v>0</v>
      </c>
      <c r="O30" s="247">
        <f t="shared" si="30"/>
        <v>0</v>
      </c>
      <c r="P30" s="247">
        <f t="shared" si="30"/>
        <v>0</v>
      </c>
    </row>
    <row r="31" spans="2:16" x14ac:dyDescent="0.2">
      <c r="B31" s="125">
        <v>16</v>
      </c>
      <c r="C31" s="77" t="str">
        <f t="shared" si="0"/>
        <v>** NOT USED **</v>
      </c>
      <c r="D31" s="247">
        <f t="shared" ref="D31:I31" si="31">IF($C31&lt;&gt;"",E288,0)</f>
        <v>0</v>
      </c>
      <c r="E31" s="247">
        <f t="shared" si="31"/>
        <v>0</v>
      </c>
      <c r="F31" s="247">
        <f t="shared" si="31"/>
        <v>0</v>
      </c>
      <c r="G31" s="247">
        <f t="shared" si="31"/>
        <v>0</v>
      </c>
      <c r="H31" s="247">
        <f t="shared" si="31"/>
        <v>0</v>
      </c>
      <c r="I31" s="247">
        <f t="shared" si="31"/>
        <v>0</v>
      </c>
      <c r="K31" s="247">
        <f t="shared" ref="K31:P31" si="32">IF($C31&lt;&gt;"",E289,0)</f>
        <v>0</v>
      </c>
      <c r="L31" s="247">
        <f t="shared" si="32"/>
        <v>0</v>
      </c>
      <c r="M31" s="247">
        <f t="shared" si="32"/>
        <v>0</v>
      </c>
      <c r="N31" s="247">
        <f t="shared" si="32"/>
        <v>0</v>
      </c>
      <c r="O31" s="247">
        <f t="shared" si="32"/>
        <v>0</v>
      </c>
      <c r="P31" s="247">
        <f t="shared" si="32"/>
        <v>0</v>
      </c>
    </row>
    <row r="32" spans="2:16" x14ac:dyDescent="0.2">
      <c r="B32" s="125">
        <v>17</v>
      </c>
      <c r="C32" s="77" t="str">
        <f t="shared" si="0"/>
        <v>** NOT USED **</v>
      </c>
      <c r="D32" s="247">
        <f t="shared" ref="D32:I32" si="33">IF($C32&lt;&gt;"",E300,0)</f>
        <v>0</v>
      </c>
      <c r="E32" s="247">
        <f t="shared" si="33"/>
        <v>0</v>
      </c>
      <c r="F32" s="247">
        <f t="shared" si="33"/>
        <v>0</v>
      </c>
      <c r="G32" s="247">
        <f t="shared" si="33"/>
        <v>0</v>
      </c>
      <c r="H32" s="247">
        <f t="shared" si="33"/>
        <v>0</v>
      </c>
      <c r="I32" s="247">
        <f t="shared" si="33"/>
        <v>0</v>
      </c>
      <c r="K32" s="247">
        <f t="shared" ref="K32:P32" si="34">IF($C32&lt;&gt;"",E301,0)</f>
        <v>0</v>
      </c>
      <c r="L32" s="247">
        <f t="shared" si="34"/>
        <v>0</v>
      </c>
      <c r="M32" s="247">
        <f t="shared" si="34"/>
        <v>0</v>
      </c>
      <c r="N32" s="247">
        <f t="shared" si="34"/>
        <v>0</v>
      </c>
      <c r="O32" s="247">
        <f t="shared" si="34"/>
        <v>0</v>
      </c>
      <c r="P32" s="247">
        <f t="shared" si="34"/>
        <v>0</v>
      </c>
    </row>
    <row r="33" spans="2:27" x14ac:dyDescent="0.2">
      <c r="B33" s="125">
        <v>18</v>
      </c>
      <c r="C33" s="77" t="str">
        <f t="shared" si="0"/>
        <v>** NOT USED **</v>
      </c>
      <c r="D33" s="247">
        <f t="shared" ref="D33:I33" si="35">IF($C33&lt;&gt;"",E312,0)</f>
        <v>0</v>
      </c>
      <c r="E33" s="247">
        <f t="shared" si="35"/>
        <v>0</v>
      </c>
      <c r="F33" s="247">
        <f t="shared" si="35"/>
        <v>0</v>
      </c>
      <c r="G33" s="247">
        <f t="shared" si="35"/>
        <v>0</v>
      </c>
      <c r="H33" s="247">
        <f t="shared" si="35"/>
        <v>0</v>
      </c>
      <c r="I33" s="247">
        <f t="shared" si="35"/>
        <v>0</v>
      </c>
      <c r="J33" s="172"/>
      <c r="K33" s="247">
        <f t="shared" ref="K33:P33" si="36">IF($C33&lt;&gt;"",E313,0)</f>
        <v>0</v>
      </c>
      <c r="L33" s="247">
        <f t="shared" si="36"/>
        <v>0</v>
      </c>
      <c r="M33" s="247">
        <f t="shared" si="36"/>
        <v>0</v>
      </c>
      <c r="N33" s="247">
        <f t="shared" si="36"/>
        <v>0</v>
      </c>
      <c r="O33" s="247">
        <f t="shared" si="36"/>
        <v>0</v>
      </c>
      <c r="P33" s="247">
        <f t="shared" si="36"/>
        <v>0</v>
      </c>
    </row>
    <row r="34" spans="2:27" x14ac:dyDescent="0.2">
      <c r="B34" s="125">
        <v>19</v>
      </c>
      <c r="C34" s="77" t="str">
        <f t="shared" si="0"/>
        <v>** NOT USED **</v>
      </c>
      <c r="D34" s="247">
        <f t="shared" ref="D34:I34" si="37">IF($C34&lt;&gt;"",E324,0)</f>
        <v>0</v>
      </c>
      <c r="E34" s="247">
        <f t="shared" si="37"/>
        <v>0</v>
      </c>
      <c r="F34" s="247">
        <f t="shared" si="37"/>
        <v>0</v>
      </c>
      <c r="G34" s="247">
        <f t="shared" si="37"/>
        <v>0</v>
      </c>
      <c r="H34" s="247">
        <f t="shared" si="37"/>
        <v>0</v>
      </c>
      <c r="I34" s="247">
        <f t="shared" si="37"/>
        <v>0</v>
      </c>
      <c r="J34" s="172"/>
      <c r="K34" s="247">
        <f t="shared" ref="K34:P34" si="38">IF($C34&lt;&gt;"",E325,0)</f>
        <v>0</v>
      </c>
      <c r="L34" s="247">
        <f t="shared" si="38"/>
        <v>0</v>
      </c>
      <c r="M34" s="247">
        <f t="shared" si="38"/>
        <v>0</v>
      </c>
      <c r="N34" s="247">
        <f t="shared" si="38"/>
        <v>0</v>
      </c>
      <c r="O34" s="247">
        <f t="shared" si="38"/>
        <v>0</v>
      </c>
      <c r="P34" s="247">
        <f t="shared" si="38"/>
        <v>0</v>
      </c>
    </row>
    <row r="35" spans="2:27" x14ac:dyDescent="0.2">
      <c r="B35" s="125">
        <v>20</v>
      </c>
      <c r="C35" s="77" t="str">
        <f t="shared" si="0"/>
        <v>** NOT USED **</v>
      </c>
      <c r="D35" s="247">
        <f t="shared" ref="D35:I35" si="39">IF($C35&lt;&gt;"",E336,0)</f>
        <v>0</v>
      </c>
      <c r="E35" s="247">
        <f t="shared" si="39"/>
        <v>0</v>
      </c>
      <c r="F35" s="247">
        <f t="shared" si="39"/>
        <v>0</v>
      </c>
      <c r="G35" s="247">
        <f t="shared" si="39"/>
        <v>0</v>
      </c>
      <c r="H35" s="247">
        <f t="shared" si="39"/>
        <v>0</v>
      </c>
      <c r="I35" s="247">
        <f t="shared" si="39"/>
        <v>0</v>
      </c>
      <c r="J35" s="172"/>
      <c r="K35" s="247">
        <f t="shared" ref="K35:P35" si="40">IF($C35&lt;&gt;"",E337,0)</f>
        <v>0</v>
      </c>
      <c r="L35" s="247">
        <f t="shared" si="40"/>
        <v>0</v>
      </c>
      <c r="M35" s="247">
        <f t="shared" si="40"/>
        <v>0</v>
      </c>
      <c r="N35" s="247">
        <f t="shared" si="40"/>
        <v>0</v>
      </c>
      <c r="O35" s="247">
        <f t="shared" si="40"/>
        <v>0</v>
      </c>
      <c r="P35" s="247">
        <f t="shared" si="40"/>
        <v>0</v>
      </c>
    </row>
    <row r="36" spans="2:27" x14ac:dyDescent="0.2">
      <c r="C36" s="56" t="str">
        <f>TxPhase1Rx &amp; " - PBS"</f>
        <v xml:space="preserve"> - PBS</v>
      </c>
      <c r="D36" s="30">
        <f t="shared" ref="D36:I36" si="41">SUMIFS(D16:D35,$Y$50:$Y$69,TxPhase1Code)</f>
        <v>0</v>
      </c>
      <c r="E36" s="30">
        <f t="shared" si="41"/>
        <v>0</v>
      </c>
      <c r="F36" s="30">
        <f t="shared" si="41"/>
        <v>0</v>
      </c>
      <c r="G36" s="30">
        <f t="shared" si="41"/>
        <v>0</v>
      </c>
      <c r="H36" s="30">
        <f t="shared" si="41"/>
        <v>0</v>
      </c>
      <c r="I36" s="30">
        <f t="shared" si="41"/>
        <v>0</v>
      </c>
      <c r="J36" s="344"/>
      <c r="K36" s="30">
        <f t="shared" ref="K36:P36" si="42">SUMIFS(K16:K35,$Y$50:$Y$69,TxPhase1Code)</f>
        <v>0</v>
      </c>
      <c r="L36" s="30">
        <f t="shared" si="42"/>
        <v>0</v>
      </c>
      <c r="M36" s="30">
        <f t="shared" si="42"/>
        <v>0</v>
      </c>
      <c r="N36" s="30">
        <f t="shared" si="42"/>
        <v>0</v>
      </c>
      <c r="O36" s="30">
        <f t="shared" si="42"/>
        <v>0</v>
      </c>
      <c r="P36" s="30">
        <f t="shared" si="42"/>
        <v>0</v>
      </c>
    </row>
    <row r="37" spans="2:27" x14ac:dyDescent="0.2">
      <c r="C37" s="56" t="str">
        <f>IF(TxPhase2Px&lt;&gt;"",TxPhase2Rx &amp; " - PBS","")</f>
        <v/>
      </c>
      <c r="D37" s="30">
        <f t="shared" ref="D37:I37" si="43">SUMIFS(D16:D35,$Y$50:$Y$69,TxPhase2Code)</f>
        <v>0</v>
      </c>
      <c r="E37" s="30">
        <f t="shared" si="43"/>
        <v>0</v>
      </c>
      <c r="F37" s="30">
        <f t="shared" si="43"/>
        <v>0</v>
      </c>
      <c r="G37" s="30">
        <f t="shared" si="43"/>
        <v>0</v>
      </c>
      <c r="H37" s="30">
        <f t="shared" si="43"/>
        <v>0</v>
      </c>
      <c r="I37" s="30">
        <f t="shared" si="43"/>
        <v>0</v>
      </c>
      <c r="J37" s="344"/>
      <c r="K37" s="30">
        <f t="shared" ref="K37:P37" si="44">SUMIFS(K16:K35,$Y$50:$Y$69,TxPhase2Code)</f>
        <v>0</v>
      </c>
      <c r="L37" s="30">
        <f t="shared" si="44"/>
        <v>0</v>
      </c>
      <c r="M37" s="30">
        <f t="shared" si="44"/>
        <v>0</v>
      </c>
      <c r="N37" s="30">
        <f t="shared" si="44"/>
        <v>0</v>
      </c>
      <c r="O37" s="30">
        <f t="shared" si="44"/>
        <v>0</v>
      </c>
      <c r="P37" s="30">
        <f t="shared" si="44"/>
        <v>0</v>
      </c>
    </row>
    <row r="38" spans="2:27" x14ac:dyDescent="0.2">
      <c r="F38" s="456"/>
      <c r="G38" s="456"/>
      <c r="H38" s="456"/>
      <c r="I38" s="456"/>
      <c r="J38" s="456"/>
      <c r="K38" s="456"/>
      <c r="L38" s="456"/>
      <c r="M38" s="456"/>
      <c r="N38" s="456"/>
      <c r="O38" s="456"/>
    </row>
    <row r="39" spans="2:27" x14ac:dyDescent="0.2">
      <c r="C39" s="344"/>
      <c r="D39" s="74">
        <f>FirstYear</f>
        <v>2026</v>
      </c>
      <c r="E39" s="74">
        <f>D39+1</f>
        <v>2027</v>
      </c>
      <c r="F39" s="74">
        <f>E39+1</f>
        <v>2028</v>
      </c>
      <c r="G39" s="74">
        <f>F39+1</f>
        <v>2029</v>
      </c>
      <c r="H39" s="74">
        <f>G39+1</f>
        <v>2030</v>
      </c>
      <c r="I39" s="74">
        <f>H39+1</f>
        <v>2031</v>
      </c>
    </row>
    <row r="40" spans="2:27" x14ac:dyDescent="0.2">
      <c r="C40" s="53" t="str">
        <f>TxPhase1RxTotal</f>
        <v/>
      </c>
      <c r="D40" s="35">
        <f t="shared" ref="D40:I41" si="45">D36+K36</f>
        <v>0</v>
      </c>
      <c r="E40" s="35">
        <f t="shared" si="45"/>
        <v>0</v>
      </c>
      <c r="F40" s="35">
        <f t="shared" si="45"/>
        <v>0</v>
      </c>
      <c r="G40" s="35">
        <f t="shared" si="45"/>
        <v>0</v>
      </c>
      <c r="H40" s="35">
        <f t="shared" si="45"/>
        <v>0</v>
      </c>
      <c r="I40" s="35">
        <f t="shared" si="45"/>
        <v>0</v>
      </c>
    </row>
    <row r="41" spans="2:27" x14ac:dyDescent="0.2">
      <c r="C41" s="53" t="str">
        <f>TxPhase2RxTotal</f>
        <v/>
      </c>
      <c r="D41" s="35">
        <f t="shared" si="45"/>
        <v>0</v>
      </c>
      <c r="E41" s="35">
        <f t="shared" si="45"/>
        <v>0</v>
      </c>
      <c r="F41" s="35">
        <f t="shared" si="45"/>
        <v>0</v>
      </c>
      <c r="G41" s="35">
        <f t="shared" si="45"/>
        <v>0</v>
      </c>
      <c r="H41" s="35">
        <f t="shared" si="45"/>
        <v>0</v>
      </c>
      <c r="I41" s="35">
        <f t="shared" si="45"/>
        <v>0</v>
      </c>
    </row>
    <row r="42" spans="2:27" x14ac:dyDescent="0.2">
      <c r="D42" s="494"/>
      <c r="E42" s="494"/>
      <c r="F42" s="494"/>
      <c r="G42" s="494"/>
      <c r="H42" s="494"/>
      <c r="I42" s="494"/>
    </row>
    <row r="43" spans="2:27" x14ac:dyDescent="0.2">
      <c r="D43" s="495"/>
      <c r="E43" s="495"/>
      <c r="F43" s="495"/>
      <c r="G43" s="495"/>
      <c r="H43" s="495"/>
      <c r="I43" s="495"/>
    </row>
    <row r="44" spans="2:27" ht="15.75" x14ac:dyDescent="0.2">
      <c r="C44" s="72" t="str">
        <f>"2. Identify the " &amp; IF(AND(ScriptSourceCode&lt;&gt;2,ScriptSourceCode&lt;&gt;3),"PBS / RPBS split and co-payments",IF(MarketImpact=0,"expected substitutable medicines in the current PBS market","existing medicine that will be the basis for the proposed medicine"))</f>
        <v>2. Identify the PBS / RPBS split and co-payments</v>
      </c>
      <c r="D44" s="126"/>
      <c r="E44" s="113"/>
      <c r="F44" s="113"/>
      <c r="G44" s="113"/>
      <c r="H44" s="113"/>
      <c r="I44" s="113"/>
      <c r="J44" s="113"/>
      <c r="K44" s="113"/>
      <c r="L44" s="113"/>
      <c r="M44" s="113"/>
      <c r="N44" s="21"/>
      <c r="O44" s="21"/>
      <c r="P44" s="21"/>
      <c r="Q44" s="21"/>
      <c r="R44" s="21"/>
      <c r="S44" s="21"/>
      <c r="T44" s="21"/>
      <c r="U44" s="21"/>
      <c r="V44" s="21"/>
      <c r="W44" s="21"/>
      <c r="X44" s="21"/>
      <c r="Y44" s="21"/>
      <c r="Z44" s="21"/>
      <c r="AA44" s="21"/>
    </row>
    <row r="45" spans="2:27" ht="15.75" x14ac:dyDescent="0.2">
      <c r="C45" s="454"/>
      <c r="D45" s="455"/>
    </row>
    <row r="46" spans="2:27" ht="14.25" customHeight="1" x14ac:dyDescent="0.2">
      <c r="C46" s="103" t="str">
        <f>IF(AND(ScriptSourceCode&lt;&gt;2,ScriptSourceCode&lt;&gt;3),"Please list the comparator(s) that will be used to derive the PBS / RPBS split and co-payments for this listing.","Please list the details of currently available medicines.") &amp; " The service volumes should be for the last full calendar year."</f>
        <v>Please list the comparator(s) that will be used to derive the PBS / RPBS split and co-payments for this listing. The service volumes should be for the last full calendar year.</v>
      </c>
    </row>
    <row r="47" spans="2:27" x14ac:dyDescent="0.2"/>
    <row r="48" spans="2:27" ht="14.25" customHeight="1" x14ac:dyDescent="0.2">
      <c r="C48" s="360" t="str">
        <f>"Service volumes for calendar year " &amp; FirstYear-1</f>
        <v>Service volumes for calendar year 2025</v>
      </c>
      <c r="D48" s="455"/>
      <c r="I48" s="602" t="s">
        <v>101</v>
      </c>
      <c r="J48" s="578"/>
      <c r="K48" s="578"/>
      <c r="L48" s="578"/>
      <c r="M48" s="602" t="s">
        <v>100</v>
      </c>
      <c r="N48" s="578"/>
      <c r="O48" s="348"/>
      <c r="P48" s="591" t="s">
        <v>289</v>
      </c>
      <c r="Q48" s="592"/>
    </row>
    <row r="49" spans="2:27" ht="38.25" x14ac:dyDescent="0.2">
      <c r="C49" s="5" t="s">
        <v>800</v>
      </c>
      <c r="D49" s="596" t="s">
        <v>107</v>
      </c>
      <c r="E49" s="597"/>
      <c r="F49" s="598"/>
      <c r="G49" s="75" t="s">
        <v>106</v>
      </c>
      <c r="H49" s="5" t="s">
        <v>253</v>
      </c>
      <c r="I49" s="5" t="s">
        <v>91</v>
      </c>
      <c r="J49" s="5" t="s">
        <v>92</v>
      </c>
      <c r="K49" s="5" t="s">
        <v>93</v>
      </c>
      <c r="L49" s="5" t="s">
        <v>94</v>
      </c>
      <c r="M49" s="5" t="s">
        <v>95</v>
      </c>
      <c r="N49" s="5" t="s">
        <v>96</v>
      </c>
      <c r="O49" s="5" t="s">
        <v>743</v>
      </c>
      <c r="P49" s="5" t="s">
        <v>287</v>
      </c>
      <c r="Q49" s="5" t="s">
        <v>288</v>
      </c>
      <c r="R49" s="5" t="s">
        <v>97</v>
      </c>
      <c r="S49" s="5" t="s">
        <v>102</v>
      </c>
      <c r="T49" s="5" t="s">
        <v>103</v>
      </c>
      <c r="U49" s="5" t="s">
        <v>287</v>
      </c>
      <c r="V49" s="5" t="s">
        <v>288</v>
      </c>
      <c r="W49" s="5" t="s">
        <v>98</v>
      </c>
      <c r="X49" s="5" t="s">
        <v>99</v>
      </c>
      <c r="Y49" s="5" t="s">
        <v>751</v>
      </c>
      <c r="Z49" s="5" t="s">
        <v>750</v>
      </c>
      <c r="AA49" s="5" t="s">
        <v>270</v>
      </c>
    </row>
    <row r="50" spans="2:27" x14ac:dyDescent="0.2">
      <c r="B50" s="125">
        <v>1</v>
      </c>
      <c r="C50" s="301"/>
      <c r="D50" s="599"/>
      <c r="E50" s="600"/>
      <c r="F50" s="601"/>
      <c r="G50" s="138"/>
      <c r="H50" s="70"/>
      <c r="I50" s="294"/>
      <c r="J50" s="294"/>
      <c r="K50" s="294"/>
      <c r="L50" s="294"/>
      <c r="M50" s="294"/>
      <c r="N50" s="294"/>
      <c r="O50" s="336"/>
      <c r="P50" s="227"/>
      <c r="Q50" s="227"/>
      <c r="R50" s="57">
        <f t="shared" ref="R50:R69" si="46">X50+W50</f>
        <v>0</v>
      </c>
      <c r="S50" s="45">
        <f t="shared" ref="S50:S69" si="47">IF(AND(W50&lt;&gt;0,R50&lt;&gt;0),W50/R50,0)</f>
        <v>0</v>
      </c>
      <c r="T50" s="45">
        <f t="shared" ref="T50:T69" si="48">IF(AND(X50&lt;&gt;0,R50&lt;&gt;0),X50/R50,0)</f>
        <v>0</v>
      </c>
      <c r="U50" s="387">
        <f t="shared" ref="U50:U69" si="49">IF(P50="Yes",R50,0)</f>
        <v>0</v>
      </c>
      <c r="V50" s="387">
        <f t="shared" ref="V50:V69" si="50">IF(Q50="Yes",R50,0)</f>
        <v>0</v>
      </c>
      <c r="W50" s="387">
        <f t="shared" ref="W50:W69" si="51">SUM($I50:$L50)</f>
        <v>0</v>
      </c>
      <c r="X50" s="387">
        <f t="shared" ref="X50:X69" si="52">SUM($M50:$N50)</f>
        <v>0</v>
      </c>
      <c r="Y50" s="403" t="str">
        <f t="shared" ref="Y50:Y69" si="53">IFERROR(VLOOKUP(H50,TPShortCode,3,FALSE),"")</f>
        <v/>
      </c>
      <c r="Z50" s="403" t="str">
        <f t="shared" ref="Z50:Z69" si="54">IFERROR(VLOOKUP(H50,TPShortCode,2,FALSE),"")</f>
        <v/>
      </c>
      <c r="AA50" s="404" t="str">
        <f t="shared" ref="AA50:AA69" si="55">IF(AND(C50&lt;&gt;"",OR(ScriptSourceCode=2,ScriptSourceCode=3)),CONCATENATE(G50," - ",C50," ",D50," - ",H50),MsgNotUsed)</f>
        <v>** NOT USED **</v>
      </c>
    </row>
    <row r="51" spans="2:27" x14ac:dyDescent="0.2">
      <c r="B51" s="125">
        <v>2</v>
      </c>
      <c r="C51" s="79"/>
      <c r="D51" s="599"/>
      <c r="E51" s="600"/>
      <c r="F51" s="601"/>
      <c r="G51" s="138"/>
      <c r="H51" s="70"/>
      <c r="I51" s="294"/>
      <c r="J51" s="294"/>
      <c r="K51" s="294"/>
      <c r="L51" s="294"/>
      <c r="M51" s="42"/>
      <c r="N51" s="42"/>
      <c r="O51" s="336"/>
      <c r="P51" s="227"/>
      <c r="Q51" s="227"/>
      <c r="R51" s="57">
        <f t="shared" si="46"/>
        <v>0</v>
      </c>
      <c r="S51" s="45">
        <f t="shared" si="47"/>
        <v>0</v>
      </c>
      <c r="T51" s="45">
        <f t="shared" si="48"/>
        <v>0</v>
      </c>
      <c r="U51" s="387">
        <f t="shared" si="49"/>
        <v>0</v>
      </c>
      <c r="V51" s="387">
        <f t="shared" si="50"/>
        <v>0</v>
      </c>
      <c r="W51" s="387">
        <f t="shared" si="51"/>
        <v>0</v>
      </c>
      <c r="X51" s="387">
        <f t="shared" si="52"/>
        <v>0</v>
      </c>
      <c r="Y51" s="403" t="str">
        <f t="shared" si="53"/>
        <v/>
      </c>
      <c r="Z51" s="403" t="str">
        <f t="shared" si="54"/>
        <v/>
      </c>
      <c r="AA51" s="404" t="str">
        <f t="shared" si="55"/>
        <v>** NOT USED **</v>
      </c>
    </row>
    <row r="52" spans="2:27" x14ac:dyDescent="0.2">
      <c r="B52" s="125">
        <v>3</v>
      </c>
      <c r="C52" s="79"/>
      <c r="D52" s="599"/>
      <c r="E52" s="600"/>
      <c r="F52" s="601"/>
      <c r="G52" s="138"/>
      <c r="H52" s="70"/>
      <c r="I52" s="294"/>
      <c r="J52" s="294"/>
      <c r="K52" s="294"/>
      <c r="L52" s="294"/>
      <c r="M52" s="42"/>
      <c r="N52" s="42"/>
      <c r="O52" s="336"/>
      <c r="P52" s="227"/>
      <c r="Q52" s="227"/>
      <c r="R52" s="57">
        <f t="shared" si="46"/>
        <v>0</v>
      </c>
      <c r="S52" s="45">
        <f t="shared" si="47"/>
        <v>0</v>
      </c>
      <c r="T52" s="45">
        <f t="shared" si="48"/>
        <v>0</v>
      </c>
      <c r="U52" s="387">
        <f t="shared" si="49"/>
        <v>0</v>
      </c>
      <c r="V52" s="387">
        <f t="shared" si="50"/>
        <v>0</v>
      </c>
      <c r="W52" s="387">
        <f t="shared" si="51"/>
        <v>0</v>
      </c>
      <c r="X52" s="387">
        <f t="shared" si="52"/>
        <v>0</v>
      </c>
      <c r="Y52" s="403" t="str">
        <f t="shared" si="53"/>
        <v/>
      </c>
      <c r="Z52" s="403" t="str">
        <f t="shared" si="54"/>
        <v/>
      </c>
      <c r="AA52" s="404" t="str">
        <f t="shared" si="55"/>
        <v>** NOT USED **</v>
      </c>
    </row>
    <row r="53" spans="2:27" x14ac:dyDescent="0.2">
      <c r="B53" s="125">
        <v>4</v>
      </c>
      <c r="C53" s="79"/>
      <c r="D53" s="599"/>
      <c r="E53" s="600"/>
      <c r="F53" s="601"/>
      <c r="G53" s="138"/>
      <c r="H53" s="70"/>
      <c r="I53" s="294"/>
      <c r="J53" s="294"/>
      <c r="K53" s="294"/>
      <c r="L53" s="294"/>
      <c r="M53" s="42"/>
      <c r="N53" s="42"/>
      <c r="O53" s="336"/>
      <c r="P53" s="227"/>
      <c r="Q53" s="227"/>
      <c r="R53" s="57">
        <f t="shared" si="46"/>
        <v>0</v>
      </c>
      <c r="S53" s="45">
        <f t="shared" si="47"/>
        <v>0</v>
      </c>
      <c r="T53" s="45">
        <f t="shared" si="48"/>
        <v>0</v>
      </c>
      <c r="U53" s="387">
        <f t="shared" si="49"/>
        <v>0</v>
      </c>
      <c r="V53" s="387">
        <f t="shared" si="50"/>
        <v>0</v>
      </c>
      <c r="W53" s="387">
        <f t="shared" si="51"/>
        <v>0</v>
      </c>
      <c r="X53" s="387">
        <f t="shared" si="52"/>
        <v>0</v>
      </c>
      <c r="Y53" s="403" t="str">
        <f t="shared" si="53"/>
        <v/>
      </c>
      <c r="Z53" s="403" t="str">
        <f t="shared" si="54"/>
        <v/>
      </c>
      <c r="AA53" s="404" t="str">
        <f t="shared" si="55"/>
        <v>** NOT USED **</v>
      </c>
    </row>
    <row r="54" spans="2:27" x14ac:dyDescent="0.2">
      <c r="B54" s="125">
        <v>5</v>
      </c>
      <c r="C54" s="79"/>
      <c r="D54" s="599"/>
      <c r="E54" s="600"/>
      <c r="F54" s="601"/>
      <c r="G54" s="138"/>
      <c r="H54" s="70"/>
      <c r="I54" s="294"/>
      <c r="J54" s="294"/>
      <c r="K54" s="294"/>
      <c r="L54" s="294"/>
      <c r="M54" s="42"/>
      <c r="N54" s="42"/>
      <c r="O54" s="336"/>
      <c r="P54" s="227"/>
      <c r="Q54" s="227"/>
      <c r="R54" s="57">
        <f t="shared" si="46"/>
        <v>0</v>
      </c>
      <c r="S54" s="45">
        <f t="shared" si="47"/>
        <v>0</v>
      </c>
      <c r="T54" s="45">
        <f t="shared" si="48"/>
        <v>0</v>
      </c>
      <c r="U54" s="387">
        <f t="shared" si="49"/>
        <v>0</v>
      </c>
      <c r="V54" s="387">
        <f t="shared" si="50"/>
        <v>0</v>
      </c>
      <c r="W54" s="387">
        <f t="shared" si="51"/>
        <v>0</v>
      </c>
      <c r="X54" s="387">
        <f t="shared" si="52"/>
        <v>0</v>
      </c>
      <c r="Y54" s="403" t="str">
        <f t="shared" si="53"/>
        <v/>
      </c>
      <c r="Z54" s="403" t="str">
        <f t="shared" si="54"/>
        <v/>
      </c>
      <c r="AA54" s="404" t="str">
        <f t="shared" si="55"/>
        <v>** NOT USED **</v>
      </c>
    </row>
    <row r="55" spans="2:27" x14ac:dyDescent="0.2">
      <c r="B55" s="125">
        <v>6</v>
      </c>
      <c r="C55" s="79"/>
      <c r="D55" s="599"/>
      <c r="E55" s="600"/>
      <c r="F55" s="601"/>
      <c r="G55" s="138"/>
      <c r="H55" s="70"/>
      <c r="I55" s="294"/>
      <c r="J55" s="294"/>
      <c r="K55" s="294"/>
      <c r="L55" s="294"/>
      <c r="M55" s="42"/>
      <c r="N55" s="42"/>
      <c r="O55" s="336"/>
      <c r="P55" s="227"/>
      <c r="Q55" s="227"/>
      <c r="R55" s="57">
        <f t="shared" si="46"/>
        <v>0</v>
      </c>
      <c r="S55" s="45">
        <f t="shared" si="47"/>
        <v>0</v>
      </c>
      <c r="T55" s="45">
        <f t="shared" si="48"/>
        <v>0</v>
      </c>
      <c r="U55" s="387">
        <f t="shared" si="49"/>
        <v>0</v>
      </c>
      <c r="V55" s="387">
        <f t="shared" si="50"/>
        <v>0</v>
      </c>
      <c r="W55" s="387">
        <f t="shared" si="51"/>
        <v>0</v>
      </c>
      <c r="X55" s="387">
        <f t="shared" si="52"/>
        <v>0</v>
      </c>
      <c r="Y55" s="403" t="str">
        <f t="shared" si="53"/>
        <v/>
      </c>
      <c r="Z55" s="403" t="str">
        <f t="shared" si="54"/>
        <v/>
      </c>
      <c r="AA55" s="404" t="str">
        <f t="shared" si="55"/>
        <v>** NOT USED **</v>
      </c>
    </row>
    <row r="56" spans="2:27" x14ac:dyDescent="0.2">
      <c r="B56" s="125">
        <v>7</v>
      </c>
      <c r="C56" s="79"/>
      <c r="D56" s="599"/>
      <c r="E56" s="600"/>
      <c r="F56" s="601"/>
      <c r="G56" s="138"/>
      <c r="H56" s="70"/>
      <c r="I56" s="42"/>
      <c r="J56" s="42"/>
      <c r="K56" s="42"/>
      <c r="L56" s="42"/>
      <c r="M56" s="42"/>
      <c r="N56" s="42"/>
      <c r="O56" s="336"/>
      <c r="P56" s="227"/>
      <c r="Q56" s="227"/>
      <c r="R56" s="57">
        <f t="shared" si="46"/>
        <v>0</v>
      </c>
      <c r="S56" s="45">
        <f t="shared" si="47"/>
        <v>0</v>
      </c>
      <c r="T56" s="45">
        <f t="shared" si="48"/>
        <v>0</v>
      </c>
      <c r="U56" s="387">
        <f t="shared" si="49"/>
        <v>0</v>
      </c>
      <c r="V56" s="387">
        <f t="shared" si="50"/>
        <v>0</v>
      </c>
      <c r="W56" s="387">
        <f t="shared" si="51"/>
        <v>0</v>
      </c>
      <c r="X56" s="387">
        <f t="shared" si="52"/>
        <v>0</v>
      </c>
      <c r="Y56" s="403" t="str">
        <f t="shared" si="53"/>
        <v/>
      </c>
      <c r="Z56" s="403" t="str">
        <f t="shared" si="54"/>
        <v/>
      </c>
      <c r="AA56" s="404" t="str">
        <f t="shared" si="55"/>
        <v>** NOT USED **</v>
      </c>
    </row>
    <row r="57" spans="2:27" x14ac:dyDescent="0.2">
      <c r="B57" s="125">
        <v>8</v>
      </c>
      <c r="C57" s="79"/>
      <c r="D57" s="599"/>
      <c r="E57" s="600"/>
      <c r="F57" s="601"/>
      <c r="G57" s="138"/>
      <c r="H57" s="70"/>
      <c r="I57" s="42"/>
      <c r="J57" s="42"/>
      <c r="K57" s="42"/>
      <c r="L57" s="42"/>
      <c r="M57" s="42"/>
      <c r="N57" s="42"/>
      <c r="O57" s="336"/>
      <c r="P57" s="227"/>
      <c r="Q57" s="227"/>
      <c r="R57" s="57">
        <f t="shared" si="46"/>
        <v>0</v>
      </c>
      <c r="S57" s="45">
        <f t="shared" si="47"/>
        <v>0</v>
      </c>
      <c r="T57" s="45">
        <f t="shared" si="48"/>
        <v>0</v>
      </c>
      <c r="U57" s="387">
        <f t="shared" si="49"/>
        <v>0</v>
      </c>
      <c r="V57" s="387">
        <f t="shared" si="50"/>
        <v>0</v>
      </c>
      <c r="W57" s="387">
        <f t="shared" si="51"/>
        <v>0</v>
      </c>
      <c r="X57" s="387">
        <f t="shared" si="52"/>
        <v>0</v>
      </c>
      <c r="Y57" s="403" t="str">
        <f t="shared" si="53"/>
        <v/>
      </c>
      <c r="Z57" s="403" t="str">
        <f t="shared" si="54"/>
        <v/>
      </c>
      <c r="AA57" s="404" t="str">
        <f t="shared" si="55"/>
        <v>** NOT USED **</v>
      </c>
    </row>
    <row r="58" spans="2:27" x14ac:dyDescent="0.2">
      <c r="B58" s="125">
        <v>9</v>
      </c>
      <c r="C58" s="79"/>
      <c r="D58" s="599"/>
      <c r="E58" s="600"/>
      <c r="F58" s="601"/>
      <c r="G58" s="138"/>
      <c r="H58" s="70"/>
      <c r="I58" s="42"/>
      <c r="J58" s="42"/>
      <c r="K58" s="42"/>
      <c r="L58" s="42"/>
      <c r="M58" s="42"/>
      <c r="N58" s="42"/>
      <c r="O58" s="336"/>
      <c r="P58" s="227"/>
      <c r="Q58" s="227"/>
      <c r="R58" s="57">
        <f t="shared" si="46"/>
        <v>0</v>
      </c>
      <c r="S58" s="45">
        <f t="shared" si="47"/>
        <v>0</v>
      </c>
      <c r="T58" s="45">
        <f t="shared" si="48"/>
        <v>0</v>
      </c>
      <c r="U58" s="387">
        <f t="shared" si="49"/>
        <v>0</v>
      </c>
      <c r="V58" s="387">
        <f t="shared" si="50"/>
        <v>0</v>
      </c>
      <c r="W58" s="387">
        <f t="shared" si="51"/>
        <v>0</v>
      </c>
      <c r="X58" s="387">
        <f t="shared" si="52"/>
        <v>0</v>
      </c>
      <c r="Y58" s="403" t="str">
        <f t="shared" si="53"/>
        <v/>
      </c>
      <c r="Z58" s="403" t="str">
        <f t="shared" si="54"/>
        <v/>
      </c>
      <c r="AA58" s="404" t="str">
        <f t="shared" si="55"/>
        <v>** NOT USED **</v>
      </c>
    </row>
    <row r="59" spans="2:27" x14ac:dyDescent="0.2">
      <c r="B59" s="125">
        <v>10</v>
      </c>
      <c r="C59" s="79"/>
      <c r="D59" s="599"/>
      <c r="E59" s="600"/>
      <c r="F59" s="601"/>
      <c r="G59" s="138"/>
      <c r="H59" s="70"/>
      <c r="I59" s="42"/>
      <c r="J59" s="42"/>
      <c r="K59" s="42"/>
      <c r="L59" s="42"/>
      <c r="M59" s="42"/>
      <c r="N59" s="42"/>
      <c r="O59" s="336"/>
      <c r="P59" s="227"/>
      <c r="Q59" s="227"/>
      <c r="R59" s="57">
        <f t="shared" si="46"/>
        <v>0</v>
      </c>
      <c r="S59" s="45">
        <f t="shared" si="47"/>
        <v>0</v>
      </c>
      <c r="T59" s="45">
        <f t="shared" si="48"/>
        <v>0</v>
      </c>
      <c r="U59" s="387">
        <f t="shared" si="49"/>
        <v>0</v>
      </c>
      <c r="V59" s="387">
        <f t="shared" si="50"/>
        <v>0</v>
      </c>
      <c r="W59" s="387">
        <f t="shared" si="51"/>
        <v>0</v>
      </c>
      <c r="X59" s="387">
        <f t="shared" si="52"/>
        <v>0</v>
      </c>
      <c r="Y59" s="403" t="str">
        <f t="shared" si="53"/>
        <v/>
      </c>
      <c r="Z59" s="403" t="str">
        <f t="shared" si="54"/>
        <v/>
      </c>
      <c r="AA59" s="404" t="str">
        <f t="shared" si="55"/>
        <v>** NOT USED **</v>
      </c>
    </row>
    <row r="60" spans="2:27" x14ac:dyDescent="0.2">
      <c r="B60" s="125">
        <v>11</v>
      </c>
      <c r="C60" s="79"/>
      <c r="D60" s="599"/>
      <c r="E60" s="600"/>
      <c r="F60" s="601"/>
      <c r="G60" s="138"/>
      <c r="H60" s="70"/>
      <c r="I60" s="42"/>
      <c r="J60" s="42"/>
      <c r="K60" s="42"/>
      <c r="L60" s="42"/>
      <c r="M60" s="42"/>
      <c r="N60" s="42"/>
      <c r="O60" s="336"/>
      <c r="P60" s="227"/>
      <c r="Q60" s="227"/>
      <c r="R60" s="57">
        <f t="shared" si="46"/>
        <v>0</v>
      </c>
      <c r="S60" s="45">
        <f t="shared" si="47"/>
        <v>0</v>
      </c>
      <c r="T60" s="45">
        <f t="shared" si="48"/>
        <v>0</v>
      </c>
      <c r="U60" s="387">
        <f t="shared" si="49"/>
        <v>0</v>
      </c>
      <c r="V60" s="387">
        <f t="shared" si="50"/>
        <v>0</v>
      </c>
      <c r="W60" s="387">
        <f t="shared" si="51"/>
        <v>0</v>
      </c>
      <c r="X60" s="387">
        <f t="shared" si="52"/>
        <v>0</v>
      </c>
      <c r="Y60" s="403" t="str">
        <f t="shared" si="53"/>
        <v/>
      </c>
      <c r="Z60" s="403" t="str">
        <f t="shared" si="54"/>
        <v/>
      </c>
      <c r="AA60" s="404" t="str">
        <f t="shared" si="55"/>
        <v>** NOT USED **</v>
      </c>
    </row>
    <row r="61" spans="2:27" x14ac:dyDescent="0.2">
      <c r="B61" s="125">
        <v>12</v>
      </c>
      <c r="C61" s="79"/>
      <c r="D61" s="599"/>
      <c r="E61" s="600"/>
      <c r="F61" s="601"/>
      <c r="G61" s="138"/>
      <c r="H61" s="70"/>
      <c r="I61" s="42"/>
      <c r="J61" s="42"/>
      <c r="K61" s="42"/>
      <c r="L61" s="42"/>
      <c r="M61" s="42"/>
      <c r="N61" s="42"/>
      <c r="O61" s="336"/>
      <c r="P61" s="227"/>
      <c r="Q61" s="227"/>
      <c r="R61" s="57">
        <f t="shared" si="46"/>
        <v>0</v>
      </c>
      <c r="S61" s="45">
        <f t="shared" si="47"/>
        <v>0</v>
      </c>
      <c r="T61" s="45">
        <f t="shared" si="48"/>
        <v>0</v>
      </c>
      <c r="U61" s="387">
        <f t="shared" si="49"/>
        <v>0</v>
      </c>
      <c r="V61" s="387">
        <f t="shared" si="50"/>
        <v>0</v>
      </c>
      <c r="W61" s="387">
        <f t="shared" si="51"/>
        <v>0</v>
      </c>
      <c r="X61" s="387">
        <f t="shared" si="52"/>
        <v>0</v>
      </c>
      <c r="Y61" s="403" t="str">
        <f t="shared" si="53"/>
        <v/>
      </c>
      <c r="Z61" s="403" t="str">
        <f t="shared" si="54"/>
        <v/>
      </c>
      <c r="AA61" s="404" t="str">
        <f t="shared" si="55"/>
        <v>** NOT USED **</v>
      </c>
    </row>
    <row r="62" spans="2:27" x14ac:dyDescent="0.2">
      <c r="B62" s="125">
        <v>13</v>
      </c>
      <c r="C62" s="79"/>
      <c r="D62" s="599"/>
      <c r="E62" s="600"/>
      <c r="F62" s="601"/>
      <c r="G62" s="138"/>
      <c r="H62" s="70"/>
      <c r="I62" s="42"/>
      <c r="J62" s="42"/>
      <c r="K62" s="42"/>
      <c r="L62" s="42"/>
      <c r="M62" s="42"/>
      <c r="N62" s="42"/>
      <c r="O62" s="336"/>
      <c r="P62" s="227"/>
      <c r="Q62" s="227"/>
      <c r="R62" s="57">
        <f t="shared" si="46"/>
        <v>0</v>
      </c>
      <c r="S62" s="45">
        <f t="shared" si="47"/>
        <v>0</v>
      </c>
      <c r="T62" s="45">
        <f t="shared" si="48"/>
        <v>0</v>
      </c>
      <c r="U62" s="387">
        <f t="shared" si="49"/>
        <v>0</v>
      </c>
      <c r="V62" s="387">
        <f t="shared" si="50"/>
        <v>0</v>
      </c>
      <c r="W62" s="387">
        <f t="shared" si="51"/>
        <v>0</v>
      </c>
      <c r="X62" s="387">
        <f t="shared" si="52"/>
        <v>0</v>
      </c>
      <c r="Y62" s="403" t="str">
        <f t="shared" si="53"/>
        <v/>
      </c>
      <c r="Z62" s="403" t="str">
        <f t="shared" si="54"/>
        <v/>
      </c>
      <c r="AA62" s="404" t="str">
        <f t="shared" si="55"/>
        <v>** NOT USED **</v>
      </c>
    </row>
    <row r="63" spans="2:27" x14ac:dyDescent="0.2">
      <c r="B63" s="125">
        <v>14</v>
      </c>
      <c r="C63" s="79"/>
      <c r="D63" s="599"/>
      <c r="E63" s="600"/>
      <c r="F63" s="601"/>
      <c r="G63" s="138"/>
      <c r="H63" s="70"/>
      <c r="I63" s="42"/>
      <c r="J63" s="42"/>
      <c r="K63" s="42"/>
      <c r="L63" s="42"/>
      <c r="M63" s="42"/>
      <c r="N63" s="42"/>
      <c r="O63" s="336"/>
      <c r="P63" s="227"/>
      <c r="Q63" s="227"/>
      <c r="R63" s="57">
        <f t="shared" si="46"/>
        <v>0</v>
      </c>
      <c r="S63" s="45">
        <f t="shared" si="47"/>
        <v>0</v>
      </c>
      <c r="T63" s="45">
        <f t="shared" si="48"/>
        <v>0</v>
      </c>
      <c r="U63" s="387">
        <f t="shared" si="49"/>
        <v>0</v>
      </c>
      <c r="V63" s="387">
        <f t="shared" si="50"/>
        <v>0</v>
      </c>
      <c r="W63" s="387">
        <f t="shared" si="51"/>
        <v>0</v>
      </c>
      <c r="X63" s="387">
        <f t="shared" si="52"/>
        <v>0</v>
      </c>
      <c r="Y63" s="403" t="str">
        <f t="shared" si="53"/>
        <v/>
      </c>
      <c r="Z63" s="403" t="str">
        <f t="shared" si="54"/>
        <v/>
      </c>
      <c r="AA63" s="404" t="str">
        <f t="shared" si="55"/>
        <v>** NOT USED **</v>
      </c>
    </row>
    <row r="64" spans="2:27" x14ac:dyDescent="0.2">
      <c r="B64" s="125">
        <v>15</v>
      </c>
      <c r="C64" s="79"/>
      <c r="D64" s="599"/>
      <c r="E64" s="600"/>
      <c r="F64" s="601"/>
      <c r="G64" s="138"/>
      <c r="H64" s="70"/>
      <c r="I64" s="42"/>
      <c r="J64" s="42"/>
      <c r="K64" s="42"/>
      <c r="L64" s="42"/>
      <c r="M64" s="42"/>
      <c r="N64" s="42"/>
      <c r="O64" s="336"/>
      <c r="P64" s="227"/>
      <c r="Q64" s="227"/>
      <c r="R64" s="57">
        <f t="shared" si="46"/>
        <v>0</v>
      </c>
      <c r="S64" s="45">
        <f t="shared" si="47"/>
        <v>0</v>
      </c>
      <c r="T64" s="45">
        <f t="shared" si="48"/>
        <v>0</v>
      </c>
      <c r="U64" s="387">
        <f t="shared" si="49"/>
        <v>0</v>
      </c>
      <c r="V64" s="387">
        <f t="shared" si="50"/>
        <v>0</v>
      </c>
      <c r="W64" s="387">
        <f t="shared" si="51"/>
        <v>0</v>
      </c>
      <c r="X64" s="387">
        <f t="shared" si="52"/>
        <v>0</v>
      </c>
      <c r="Y64" s="403" t="str">
        <f t="shared" si="53"/>
        <v/>
      </c>
      <c r="Z64" s="403" t="str">
        <f t="shared" si="54"/>
        <v/>
      </c>
      <c r="AA64" s="404" t="str">
        <f t="shared" si="55"/>
        <v>** NOT USED **</v>
      </c>
    </row>
    <row r="65" spans="2:29" x14ac:dyDescent="0.2">
      <c r="B65" s="125">
        <v>16</v>
      </c>
      <c r="C65" s="79"/>
      <c r="D65" s="599"/>
      <c r="E65" s="600"/>
      <c r="F65" s="601"/>
      <c r="G65" s="138"/>
      <c r="H65" s="70"/>
      <c r="I65" s="42"/>
      <c r="J65" s="42"/>
      <c r="K65" s="42"/>
      <c r="L65" s="42"/>
      <c r="M65" s="42"/>
      <c r="N65" s="42"/>
      <c r="O65" s="336"/>
      <c r="P65" s="227"/>
      <c r="Q65" s="227"/>
      <c r="R65" s="57">
        <f t="shared" si="46"/>
        <v>0</v>
      </c>
      <c r="S65" s="45">
        <f t="shared" si="47"/>
        <v>0</v>
      </c>
      <c r="T65" s="45">
        <f t="shared" si="48"/>
        <v>0</v>
      </c>
      <c r="U65" s="387">
        <f t="shared" si="49"/>
        <v>0</v>
      </c>
      <c r="V65" s="387">
        <f t="shared" si="50"/>
        <v>0</v>
      </c>
      <c r="W65" s="387">
        <f t="shared" si="51"/>
        <v>0</v>
      </c>
      <c r="X65" s="387">
        <f t="shared" si="52"/>
        <v>0</v>
      </c>
      <c r="Y65" s="403" t="str">
        <f t="shared" si="53"/>
        <v/>
      </c>
      <c r="Z65" s="403" t="str">
        <f t="shared" si="54"/>
        <v/>
      </c>
      <c r="AA65" s="404" t="str">
        <f t="shared" si="55"/>
        <v>** NOT USED **</v>
      </c>
    </row>
    <row r="66" spans="2:29" x14ac:dyDescent="0.2">
      <c r="B66" s="125">
        <v>17</v>
      </c>
      <c r="C66" s="79"/>
      <c r="D66" s="603"/>
      <c r="E66" s="603"/>
      <c r="F66" s="603"/>
      <c r="G66" s="138"/>
      <c r="H66" s="70"/>
      <c r="I66" s="42"/>
      <c r="J66" s="42"/>
      <c r="K66" s="42"/>
      <c r="L66" s="42"/>
      <c r="M66" s="42"/>
      <c r="N66" s="42"/>
      <c r="O66" s="336"/>
      <c r="P66" s="227"/>
      <c r="Q66" s="227"/>
      <c r="R66" s="57">
        <f t="shared" si="46"/>
        <v>0</v>
      </c>
      <c r="S66" s="45">
        <f t="shared" si="47"/>
        <v>0</v>
      </c>
      <c r="T66" s="45">
        <f t="shared" si="48"/>
        <v>0</v>
      </c>
      <c r="U66" s="387">
        <f t="shared" si="49"/>
        <v>0</v>
      </c>
      <c r="V66" s="387">
        <f t="shared" si="50"/>
        <v>0</v>
      </c>
      <c r="W66" s="387">
        <f t="shared" si="51"/>
        <v>0</v>
      </c>
      <c r="X66" s="387">
        <f t="shared" si="52"/>
        <v>0</v>
      </c>
      <c r="Y66" s="403" t="str">
        <f t="shared" si="53"/>
        <v/>
      </c>
      <c r="Z66" s="403" t="str">
        <f t="shared" si="54"/>
        <v/>
      </c>
      <c r="AA66" s="404" t="str">
        <f t="shared" si="55"/>
        <v>** NOT USED **</v>
      </c>
    </row>
    <row r="67" spans="2:29" x14ac:dyDescent="0.2">
      <c r="B67" s="125">
        <v>18</v>
      </c>
      <c r="C67" s="79"/>
      <c r="D67" s="603"/>
      <c r="E67" s="603"/>
      <c r="F67" s="603"/>
      <c r="G67" s="138"/>
      <c r="H67" s="70"/>
      <c r="I67" s="42"/>
      <c r="J67" s="42"/>
      <c r="K67" s="42"/>
      <c r="L67" s="42"/>
      <c r="M67" s="42"/>
      <c r="N67" s="42"/>
      <c r="O67" s="336"/>
      <c r="P67" s="227"/>
      <c r="Q67" s="227"/>
      <c r="R67" s="57">
        <f t="shared" si="46"/>
        <v>0</v>
      </c>
      <c r="S67" s="45">
        <f t="shared" si="47"/>
        <v>0</v>
      </c>
      <c r="T67" s="45">
        <f t="shared" si="48"/>
        <v>0</v>
      </c>
      <c r="U67" s="387">
        <f t="shared" si="49"/>
        <v>0</v>
      </c>
      <c r="V67" s="387">
        <f t="shared" si="50"/>
        <v>0</v>
      </c>
      <c r="W67" s="387">
        <f t="shared" si="51"/>
        <v>0</v>
      </c>
      <c r="X67" s="387">
        <f t="shared" si="52"/>
        <v>0</v>
      </c>
      <c r="Y67" s="403" t="str">
        <f t="shared" si="53"/>
        <v/>
      </c>
      <c r="Z67" s="403" t="str">
        <f t="shared" si="54"/>
        <v/>
      </c>
      <c r="AA67" s="404" t="str">
        <f t="shared" si="55"/>
        <v>** NOT USED **</v>
      </c>
    </row>
    <row r="68" spans="2:29" x14ac:dyDescent="0.2">
      <c r="B68" s="125">
        <v>19</v>
      </c>
      <c r="C68" s="79"/>
      <c r="D68" s="603"/>
      <c r="E68" s="603"/>
      <c r="F68" s="603"/>
      <c r="G68" s="138"/>
      <c r="H68" s="70"/>
      <c r="I68" s="42"/>
      <c r="J68" s="42"/>
      <c r="K68" s="42"/>
      <c r="L68" s="42"/>
      <c r="M68" s="42"/>
      <c r="N68" s="42"/>
      <c r="O68" s="336"/>
      <c r="P68" s="227"/>
      <c r="Q68" s="227"/>
      <c r="R68" s="57">
        <f t="shared" si="46"/>
        <v>0</v>
      </c>
      <c r="S68" s="45">
        <f t="shared" si="47"/>
        <v>0</v>
      </c>
      <c r="T68" s="45">
        <f t="shared" si="48"/>
        <v>0</v>
      </c>
      <c r="U68" s="387">
        <f t="shared" si="49"/>
        <v>0</v>
      </c>
      <c r="V68" s="387">
        <f t="shared" si="50"/>
        <v>0</v>
      </c>
      <c r="W68" s="387">
        <f t="shared" si="51"/>
        <v>0</v>
      </c>
      <c r="X68" s="387">
        <f t="shared" si="52"/>
        <v>0</v>
      </c>
      <c r="Y68" s="403" t="str">
        <f t="shared" si="53"/>
        <v/>
      </c>
      <c r="Z68" s="403" t="str">
        <f t="shared" si="54"/>
        <v/>
      </c>
      <c r="AA68" s="404" t="str">
        <f t="shared" si="55"/>
        <v>** NOT USED **</v>
      </c>
    </row>
    <row r="69" spans="2:29" x14ac:dyDescent="0.2">
      <c r="B69" s="125">
        <v>20</v>
      </c>
      <c r="C69" s="79"/>
      <c r="D69" s="603"/>
      <c r="E69" s="603"/>
      <c r="F69" s="603"/>
      <c r="G69" s="138"/>
      <c r="H69" s="70"/>
      <c r="I69" s="42"/>
      <c r="J69" s="42"/>
      <c r="K69" s="42"/>
      <c r="L69" s="42"/>
      <c r="M69" s="42"/>
      <c r="N69" s="42"/>
      <c r="O69" s="336"/>
      <c r="P69" s="227"/>
      <c r="Q69" s="227"/>
      <c r="R69" s="57">
        <f t="shared" si="46"/>
        <v>0</v>
      </c>
      <c r="S69" s="45">
        <f t="shared" si="47"/>
        <v>0</v>
      </c>
      <c r="T69" s="45">
        <f t="shared" si="48"/>
        <v>0</v>
      </c>
      <c r="U69" s="387">
        <f t="shared" si="49"/>
        <v>0</v>
      </c>
      <c r="V69" s="387">
        <f t="shared" si="50"/>
        <v>0</v>
      </c>
      <c r="W69" s="387">
        <f t="shared" si="51"/>
        <v>0</v>
      </c>
      <c r="X69" s="387">
        <f t="shared" si="52"/>
        <v>0</v>
      </c>
      <c r="Y69" s="403" t="str">
        <f t="shared" si="53"/>
        <v/>
      </c>
      <c r="Z69" s="403" t="str">
        <f t="shared" si="54"/>
        <v/>
      </c>
      <c r="AA69" s="404" t="str">
        <f t="shared" si="55"/>
        <v>** NOT USED **</v>
      </c>
    </row>
    <row r="70" spans="2:29" x14ac:dyDescent="0.2">
      <c r="H70" s="43" t="s">
        <v>73</v>
      </c>
      <c r="I70" s="57">
        <f t="shared" ref="I70:N70" si="56">SUM(I50:I69)</f>
        <v>0</v>
      </c>
      <c r="J70" s="57">
        <f t="shared" si="56"/>
        <v>0</v>
      </c>
      <c r="K70" s="57">
        <f t="shared" si="56"/>
        <v>0</v>
      </c>
      <c r="L70" s="57">
        <f t="shared" si="56"/>
        <v>0</v>
      </c>
      <c r="M70" s="57">
        <f t="shared" si="56"/>
        <v>0</v>
      </c>
      <c r="N70" s="57">
        <f t="shared" si="56"/>
        <v>0</v>
      </c>
      <c r="S70" s="1"/>
      <c r="T70" s="1"/>
      <c r="U70" s="405">
        <f>SUM(U50:U69)</f>
        <v>0</v>
      </c>
      <c r="V70" s="405">
        <f>SUM(V50:V69)</f>
        <v>0</v>
      </c>
      <c r="W70" s="405">
        <f>SUM(W50:W69)</f>
        <v>0</v>
      </c>
      <c r="X70" s="405">
        <f>SUM(X50:X69)</f>
        <v>0</v>
      </c>
      <c r="AB70" s="1"/>
      <c r="AC70" s="1"/>
    </row>
    <row r="71" spans="2:29" hidden="1" x14ac:dyDescent="0.2">
      <c r="S71" s="1"/>
      <c r="T71" s="1"/>
      <c r="U71" s="1"/>
      <c r="V71" s="1"/>
      <c r="AC71" s="1"/>
    </row>
    <row r="72" spans="2:29" hidden="1" x14ac:dyDescent="0.2">
      <c r="H72" s="43" t="s">
        <v>740</v>
      </c>
      <c r="P72" s="258" t="s">
        <v>98</v>
      </c>
      <c r="Q72" s="258" t="s">
        <v>99</v>
      </c>
      <c r="R72" s="258" t="s">
        <v>97</v>
      </c>
      <c r="S72" s="75" t="s">
        <v>102</v>
      </c>
      <c r="T72" s="75" t="s">
        <v>103</v>
      </c>
      <c r="U72" s="75" t="s">
        <v>741</v>
      </c>
      <c r="V72" s="75" t="s">
        <v>742</v>
      </c>
      <c r="W72" s="5" t="s">
        <v>287</v>
      </c>
      <c r="X72" s="5" t="s">
        <v>288</v>
      </c>
      <c r="Y72" s="343" t="s">
        <v>139</v>
      </c>
      <c r="Z72" s="343" t="s">
        <v>281</v>
      </c>
      <c r="AC72" s="1"/>
    </row>
    <row r="73" spans="2:29" hidden="1" x14ac:dyDescent="0.2">
      <c r="H73" s="337">
        <v>1</v>
      </c>
      <c r="I73" s="386">
        <f t="shared" ref="I73:L77" si="57">IF($P73&lt;&gt;0,SUMIF($O$50:$O$69,$H73,I$50:I$69)/$P73,0)</f>
        <v>0</v>
      </c>
      <c r="J73" s="386">
        <f t="shared" si="57"/>
        <v>0</v>
      </c>
      <c r="K73" s="386">
        <f t="shared" si="57"/>
        <v>0</v>
      </c>
      <c r="L73" s="386">
        <f t="shared" si="57"/>
        <v>0</v>
      </c>
      <c r="M73" s="386">
        <f t="shared" ref="M73:N77" si="58">IF($Q73&lt;&gt;0,SUMIF($O$50:$O$69,$H73,M$50:M$69)/$Q73,0)</f>
        <v>0</v>
      </c>
      <c r="N73" s="386">
        <f t="shared" si="58"/>
        <v>0</v>
      </c>
      <c r="P73" s="295">
        <f t="shared" ref="P73:Q77" si="59">SUMIF($O$50:$O$69,$H73,W$50:W$69)</f>
        <v>0</v>
      </c>
      <c r="Q73" s="295">
        <f t="shared" si="59"/>
        <v>0</v>
      </c>
      <c r="R73" s="295">
        <f>P73+Q73</f>
        <v>0</v>
      </c>
      <c r="S73" s="340">
        <f>IF(R73&lt;&gt;0,P73/R73,0)</f>
        <v>0</v>
      </c>
      <c r="T73" s="340">
        <f>IF(R73&lt;&gt;0,Q73/R73,0)</f>
        <v>0</v>
      </c>
      <c r="U73" s="341">
        <f>SUMPRODUCT(I73:L73,$I$78:$L$78)</f>
        <v>0</v>
      </c>
      <c r="V73" s="341">
        <f>SUMPRODUCT(M73:N73,$M$78:$N$78)</f>
        <v>0</v>
      </c>
      <c r="W73" s="295">
        <f t="shared" ref="W73:X77" si="60">SUMIF($O$50:$O$69,$H73,U$50:U$69)</f>
        <v>0</v>
      </c>
      <c r="X73" s="295">
        <f t="shared" si="60"/>
        <v>0</v>
      </c>
      <c r="Y73" s="295">
        <f t="shared" ref="Y73:Z77" si="61">SUMIFS($R$50:$R$69,$Y$50:$Y$69,Y$72,$O$50:$O$69,$H73)</f>
        <v>0</v>
      </c>
      <c r="Z73" s="295">
        <f t="shared" si="61"/>
        <v>0</v>
      </c>
    </row>
    <row r="74" spans="2:29" hidden="1" x14ac:dyDescent="0.2">
      <c r="H74" s="337">
        <v>2</v>
      </c>
      <c r="I74" s="386">
        <f t="shared" si="57"/>
        <v>0</v>
      </c>
      <c r="J74" s="386">
        <f t="shared" si="57"/>
        <v>0</v>
      </c>
      <c r="K74" s="386">
        <f t="shared" si="57"/>
        <v>0</v>
      </c>
      <c r="L74" s="386">
        <f t="shared" si="57"/>
        <v>0</v>
      </c>
      <c r="M74" s="386">
        <f t="shared" si="58"/>
        <v>0</v>
      </c>
      <c r="N74" s="386">
        <f t="shared" si="58"/>
        <v>0</v>
      </c>
      <c r="P74" s="295">
        <f t="shared" si="59"/>
        <v>0</v>
      </c>
      <c r="Q74" s="295">
        <f t="shared" si="59"/>
        <v>0</v>
      </c>
      <c r="R74" s="295">
        <f>P74+Q74</f>
        <v>0</v>
      </c>
      <c r="S74" s="340">
        <f>IF(R74&lt;&gt;0,P74/R74,0)</f>
        <v>0</v>
      </c>
      <c r="T74" s="340">
        <f>IF(R74&lt;&gt;0,Q74/R74,0)</f>
        <v>0</v>
      </c>
      <c r="U74" s="341">
        <f>SUMPRODUCT(I74:L74,$I$78:$L$78)</f>
        <v>0</v>
      </c>
      <c r="V74" s="341">
        <f>SUMPRODUCT(M74:N74,$M$78:$N$78)</f>
        <v>0</v>
      </c>
      <c r="W74" s="295">
        <f t="shared" si="60"/>
        <v>0</v>
      </c>
      <c r="X74" s="295">
        <f t="shared" si="60"/>
        <v>0</v>
      </c>
      <c r="Y74" s="295">
        <f t="shared" si="61"/>
        <v>0</v>
      </c>
      <c r="Z74" s="295">
        <f t="shared" si="61"/>
        <v>0</v>
      </c>
    </row>
    <row r="75" spans="2:29" hidden="1" x14ac:dyDescent="0.2">
      <c r="H75" s="337">
        <v>3</v>
      </c>
      <c r="I75" s="386">
        <f t="shared" si="57"/>
        <v>0</v>
      </c>
      <c r="J75" s="386">
        <f t="shared" si="57"/>
        <v>0</v>
      </c>
      <c r="K75" s="386">
        <f t="shared" si="57"/>
        <v>0</v>
      </c>
      <c r="L75" s="386">
        <f t="shared" si="57"/>
        <v>0</v>
      </c>
      <c r="M75" s="386">
        <f t="shared" si="58"/>
        <v>0</v>
      </c>
      <c r="N75" s="386">
        <f t="shared" si="58"/>
        <v>0</v>
      </c>
      <c r="P75" s="295">
        <f t="shared" si="59"/>
        <v>0</v>
      </c>
      <c r="Q75" s="295">
        <f t="shared" si="59"/>
        <v>0</v>
      </c>
      <c r="R75" s="295">
        <f>P75+Q75</f>
        <v>0</v>
      </c>
      <c r="S75" s="340">
        <f>IF(R75&lt;&gt;0,P75/R75,0)</f>
        <v>0</v>
      </c>
      <c r="T75" s="340">
        <f>IF(R75&lt;&gt;0,Q75/R75,0)</f>
        <v>0</v>
      </c>
      <c r="U75" s="341">
        <f>SUMPRODUCT(I75:L75,$I$78:$L$78)</f>
        <v>0</v>
      </c>
      <c r="V75" s="341">
        <f>SUMPRODUCT(M75:N75,$M$78:$N$78)</f>
        <v>0</v>
      </c>
      <c r="W75" s="295">
        <f t="shared" si="60"/>
        <v>0</v>
      </c>
      <c r="X75" s="295">
        <f t="shared" si="60"/>
        <v>0</v>
      </c>
      <c r="Y75" s="295">
        <f t="shared" si="61"/>
        <v>0</v>
      </c>
      <c r="Z75" s="295">
        <f t="shared" si="61"/>
        <v>0</v>
      </c>
    </row>
    <row r="76" spans="2:29" hidden="1" x14ac:dyDescent="0.2">
      <c r="H76" s="337">
        <v>4</v>
      </c>
      <c r="I76" s="386">
        <f t="shared" si="57"/>
        <v>0</v>
      </c>
      <c r="J76" s="386">
        <f t="shared" si="57"/>
        <v>0</v>
      </c>
      <c r="K76" s="386">
        <f t="shared" si="57"/>
        <v>0</v>
      </c>
      <c r="L76" s="386">
        <f t="shared" si="57"/>
        <v>0</v>
      </c>
      <c r="M76" s="386">
        <f t="shared" si="58"/>
        <v>0</v>
      </c>
      <c r="N76" s="386">
        <f t="shared" si="58"/>
        <v>0</v>
      </c>
      <c r="P76" s="295">
        <f t="shared" si="59"/>
        <v>0</v>
      </c>
      <c r="Q76" s="295">
        <f t="shared" si="59"/>
        <v>0</v>
      </c>
      <c r="R76" s="295">
        <f>P76+Q76</f>
        <v>0</v>
      </c>
      <c r="S76" s="340">
        <f>IF(R76&lt;&gt;0,P76/R76,0)</f>
        <v>0</v>
      </c>
      <c r="T76" s="340">
        <f>IF(R76&lt;&gt;0,Q76/R76,0)</f>
        <v>0</v>
      </c>
      <c r="U76" s="341">
        <f>SUMPRODUCT(I76:L76,$I$78:$L$78)</f>
        <v>0</v>
      </c>
      <c r="V76" s="341">
        <f>SUMPRODUCT(M76:N76,$M$78:$N$78)</f>
        <v>0</v>
      </c>
      <c r="W76" s="295">
        <f t="shared" si="60"/>
        <v>0</v>
      </c>
      <c r="X76" s="295">
        <f t="shared" si="60"/>
        <v>0</v>
      </c>
      <c r="Y76" s="295">
        <f t="shared" si="61"/>
        <v>0</v>
      </c>
      <c r="Z76" s="295">
        <f t="shared" si="61"/>
        <v>0</v>
      </c>
    </row>
    <row r="77" spans="2:29" hidden="1" x14ac:dyDescent="0.2">
      <c r="H77" s="337">
        <v>5</v>
      </c>
      <c r="I77" s="386">
        <f t="shared" si="57"/>
        <v>0</v>
      </c>
      <c r="J77" s="386">
        <f t="shared" si="57"/>
        <v>0</v>
      </c>
      <c r="K77" s="386">
        <f t="shared" si="57"/>
        <v>0</v>
      </c>
      <c r="L77" s="386">
        <f t="shared" si="57"/>
        <v>0</v>
      </c>
      <c r="M77" s="386">
        <f t="shared" si="58"/>
        <v>0</v>
      </c>
      <c r="N77" s="386">
        <f t="shared" si="58"/>
        <v>0</v>
      </c>
      <c r="P77" s="295">
        <f t="shared" si="59"/>
        <v>0</v>
      </c>
      <c r="Q77" s="295">
        <f t="shared" si="59"/>
        <v>0</v>
      </c>
      <c r="R77" s="295">
        <f>P77+Q77</f>
        <v>0</v>
      </c>
      <c r="S77" s="340">
        <f>IF(R77&lt;&gt;0,P77/R77,0)</f>
        <v>0</v>
      </c>
      <c r="T77" s="340">
        <f>IF(R77&lt;&gt;0,Q77/R77,0)</f>
        <v>0</v>
      </c>
      <c r="U77" s="341">
        <f>SUMPRODUCT(I77:L77,$I$78:$L$78)</f>
        <v>0</v>
      </c>
      <c r="V77" s="341">
        <f>SUMPRODUCT(M77:N77,$M$78:$N$78)</f>
        <v>0</v>
      </c>
      <c r="W77" s="295">
        <f t="shared" si="60"/>
        <v>0</v>
      </c>
      <c r="X77" s="295">
        <f t="shared" si="60"/>
        <v>0</v>
      </c>
      <c r="Y77" s="295">
        <f t="shared" si="61"/>
        <v>0</v>
      </c>
      <c r="Z77" s="295">
        <f t="shared" si="61"/>
        <v>0</v>
      </c>
    </row>
    <row r="78" spans="2:29" x14ac:dyDescent="0.2">
      <c r="H78" s="43" t="s">
        <v>74</v>
      </c>
      <c r="I78" s="299">
        <f>CoPayG2</f>
        <v>25</v>
      </c>
      <c r="J78" s="299">
        <f>CoPayG1</f>
        <v>7.7</v>
      </c>
      <c r="K78" s="299">
        <f>CoPayC1</f>
        <v>7.7</v>
      </c>
      <c r="L78" s="299">
        <f>CoPayC0</f>
        <v>0</v>
      </c>
      <c r="M78" s="299">
        <f>CoPayR1</f>
        <v>7.7</v>
      </c>
      <c r="N78" s="299">
        <f>CoPayR0</f>
        <v>0</v>
      </c>
      <c r="P78" s="127"/>
      <c r="Q78" s="128"/>
    </row>
    <row r="79" spans="2:29" x14ac:dyDescent="0.2">
      <c r="Q79" s="128"/>
    </row>
    <row r="80" spans="2:29" x14ac:dyDescent="0.2">
      <c r="Q80" s="128"/>
    </row>
    <row r="81" spans="3:27" x14ac:dyDescent="0.2">
      <c r="H81" s="260" t="s">
        <v>589</v>
      </c>
      <c r="I81" s="5" t="s">
        <v>0</v>
      </c>
      <c r="J81" s="5" t="s">
        <v>1</v>
      </c>
      <c r="K81" s="5" t="s">
        <v>0</v>
      </c>
      <c r="L81" s="5" t="s">
        <v>1</v>
      </c>
      <c r="V81" s="424" t="s">
        <v>280</v>
      </c>
      <c r="W81" s="424" t="s">
        <v>139</v>
      </c>
      <c r="X81" s="424" t="s">
        <v>281</v>
      </c>
    </row>
    <row r="82" spans="3:27" x14ac:dyDescent="0.2">
      <c r="H82" s="81" t="s">
        <v>744</v>
      </c>
      <c r="I82" s="44">
        <f>S73</f>
        <v>0</v>
      </c>
      <c r="J82" s="44">
        <f t="shared" ref="I82:L86" si="62">T73</f>
        <v>0</v>
      </c>
      <c r="K82" s="338">
        <f t="shared" si="62"/>
        <v>0</v>
      </c>
      <c r="L82" s="338">
        <f t="shared" si="62"/>
        <v>0</v>
      </c>
      <c r="U82" s="81" t="s">
        <v>1035</v>
      </c>
      <c r="V82" s="388">
        <f>IF(COUNTIF($Y$50:$Y$69,V81)&gt;=1,1,0)</f>
        <v>0</v>
      </c>
      <c r="W82" s="388">
        <f>IF(COUNTIF($Y$50:$Y$69,W81)&gt;=1,1,0)</f>
        <v>0</v>
      </c>
      <c r="X82" s="388">
        <f>IF(COUNTIF($Y$50:$Y$69,X81)&gt;=1,1,0)</f>
        <v>0</v>
      </c>
    </row>
    <row r="83" spans="3:27" x14ac:dyDescent="0.2">
      <c r="H83" s="81" t="s">
        <v>745</v>
      </c>
      <c r="I83" s="44">
        <f t="shared" si="62"/>
        <v>0</v>
      </c>
      <c r="J83" s="44">
        <f t="shared" si="62"/>
        <v>0</v>
      </c>
      <c r="K83" s="338">
        <f t="shared" si="62"/>
        <v>0</v>
      </c>
      <c r="L83" s="338">
        <f t="shared" si="62"/>
        <v>0</v>
      </c>
      <c r="U83" s="81" t="s">
        <v>842</v>
      </c>
      <c r="V83" s="388">
        <f>'3a. Scripts - proposed'!AH141</f>
        <v>0</v>
      </c>
      <c r="W83" s="388">
        <f>'3a. Scripts - proposed'!AI141</f>
        <v>0</v>
      </c>
      <c r="X83" s="388">
        <f>'3a. Scripts - proposed'!AJ141</f>
        <v>0</v>
      </c>
      <c r="AA83" s="342"/>
    </row>
    <row r="84" spans="3:27" x14ac:dyDescent="0.2">
      <c r="H84" s="81" t="s">
        <v>746</v>
      </c>
      <c r="I84" s="44">
        <f t="shared" si="62"/>
        <v>0</v>
      </c>
      <c r="J84" s="44">
        <f t="shared" si="62"/>
        <v>0</v>
      </c>
      <c r="K84" s="338">
        <f t="shared" si="62"/>
        <v>0</v>
      </c>
      <c r="L84" s="338">
        <f t="shared" si="62"/>
        <v>0</v>
      </c>
      <c r="U84" s="81" t="s">
        <v>1034</v>
      </c>
      <c r="V84" s="388">
        <f>IF(ScriptSplit&lt;&gt;"",IF(ScriptSplit=1,V82,V83),0)</f>
        <v>0</v>
      </c>
      <c r="W84" s="388">
        <f>IF(ScriptSplit&lt;&gt;"",IF(ScriptSplit=1,W82,W83),0)</f>
        <v>0</v>
      </c>
      <c r="X84" s="388">
        <f>IF(ScriptSplit&lt;&gt;"",IF(ScriptSplit=1,X82,X83),0)</f>
        <v>0</v>
      </c>
    </row>
    <row r="85" spans="3:27" x14ac:dyDescent="0.2">
      <c r="H85" s="81" t="s">
        <v>747</v>
      </c>
      <c r="I85" s="44">
        <f t="shared" si="62"/>
        <v>0</v>
      </c>
      <c r="J85" s="44">
        <f t="shared" si="62"/>
        <v>0</v>
      </c>
      <c r="K85" s="338">
        <f t="shared" si="62"/>
        <v>0</v>
      </c>
      <c r="L85" s="338">
        <f t="shared" si="62"/>
        <v>0</v>
      </c>
    </row>
    <row r="86" spans="3:27" x14ac:dyDescent="0.2">
      <c r="H86" s="81" t="s">
        <v>748</v>
      </c>
      <c r="I86" s="44">
        <f t="shared" si="62"/>
        <v>0</v>
      </c>
      <c r="J86" s="44">
        <f t="shared" si="62"/>
        <v>0</v>
      </c>
      <c r="K86" s="338">
        <f t="shared" si="62"/>
        <v>0</v>
      </c>
      <c r="L86" s="338">
        <f t="shared" si="62"/>
        <v>0</v>
      </c>
    </row>
    <row r="87" spans="3:27" x14ac:dyDescent="0.2"/>
    <row r="88" spans="3:27" x14ac:dyDescent="0.2"/>
    <row r="89" spans="3:27" x14ac:dyDescent="0.2">
      <c r="C89" s="488"/>
      <c r="H89" s="260" t="s">
        <v>293</v>
      </c>
      <c r="I89" s="75" t="s">
        <v>287</v>
      </c>
      <c r="J89" s="75" t="s">
        <v>288</v>
      </c>
      <c r="L89" s="260" t="s">
        <v>749</v>
      </c>
      <c r="M89" s="75" t="s">
        <v>287</v>
      </c>
      <c r="N89" s="75" t="s">
        <v>288</v>
      </c>
      <c r="P89" s="260" t="s">
        <v>249</v>
      </c>
    </row>
    <row r="90" spans="3:27" x14ac:dyDescent="0.2">
      <c r="H90" s="81" t="s">
        <v>744</v>
      </c>
      <c r="I90" s="44" t="str">
        <f>IF(M90&lt;&gt;0,M90,IF(OR(W73&lt;&gt;0,X73&lt;&gt;0),W73/(W73+X73),""))</f>
        <v/>
      </c>
      <c r="J90" s="44" t="str">
        <f>IF(N90&lt;&gt;0,N90,IF(OR(W73&lt;&gt;0,X73&lt;&gt;0),X73/(W73+X73),""))</f>
        <v/>
      </c>
      <c r="L90" s="81" t="s">
        <v>744</v>
      </c>
      <c r="M90" s="339"/>
      <c r="N90" s="47"/>
      <c r="P90" s="575"/>
      <c r="Q90" s="575"/>
      <c r="R90" s="575"/>
      <c r="S90" s="575"/>
      <c r="T90" s="575"/>
      <c r="U90" s="207">
        <f>IF(M90+N90&lt;&gt;100%,IF(M90+N90&lt;&gt;0,1,0),0)</f>
        <v>0</v>
      </c>
    </row>
    <row r="91" spans="3:27" x14ac:dyDescent="0.2">
      <c r="H91" s="81" t="s">
        <v>745</v>
      </c>
      <c r="I91" s="44" t="str">
        <f>IF(M91&lt;&gt;0,M91,IF(OR(W74&lt;&gt;0,X74&lt;&gt;0),W74/(W74+X74),""))</f>
        <v/>
      </c>
      <c r="J91" s="44" t="str">
        <f>IF(N91&lt;&gt;0,N91,IF(OR(W74&lt;&gt;0,X74&lt;&gt;0),X74/(W74+X74),""))</f>
        <v/>
      </c>
      <c r="L91" s="81" t="s">
        <v>745</v>
      </c>
      <c r="M91" s="339"/>
      <c r="N91" s="47"/>
      <c r="P91" s="575"/>
      <c r="Q91" s="575"/>
      <c r="R91" s="575"/>
      <c r="S91" s="575"/>
      <c r="T91" s="575"/>
      <c r="U91" s="207">
        <f>IF(M91+N91&lt;&gt;100%,IF(M91+N91&lt;&gt;0,1,0),0)</f>
        <v>0</v>
      </c>
    </row>
    <row r="92" spans="3:27" x14ac:dyDescent="0.2">
      <c r="G92" s="114"/>
      <c r="H92" s="81" t="s">
        <v>746</v>
      </c>
      <c r="I92" s="44" t="str">
        <f>IF(M92&lt;&gt;0,M92,IF(OR(W75&lt;&gt;0,X75&lt;&gt;0),W75/(W75+X75),""))</f>
        <v/>
      </c>
      <c r="J92" s="44" t="str">
        <f>IF(N92&lt;&gt;0,N92,IF(OR(W75&lt;&gt;0,X75&lt;&gt;0),X75/(W75+X75),""))</f>
        <v/>
      </c>
      <c r="L92" s="81" t="s">
        <v>746</v>
      </c>
      <c r="M92" s="339"/>
      <c r="N92" s="47"/>
      <c r="P92" s="575"/>
      <c r="Q92" s="575"/>
      <c r="R92" s="575"/>
      <c r="S92" s="575"/>
      <c r="T92" s="575"/>
      <c r="U92" s="207">
        <f>IF(M92+N92&lt;&gt;100%,IF(M92+N92&lt;&gt;0,1,0),0)</f>
        <v>0</v>
      </c>
    </row>
    <row r="93" spans="3:27" x14ac:dyDescent="0.2">
      <c r="H93" s="81" t="s">
        <v>747</v>
      </c>
      <c r="I93" s="44" t="str">
        <f>IF(M93&lt;&gt;0,M93,IF(OR(W76&lt;&gt;0,X76&lt;&gt;0),W76/(W76+X76),""))</f>
        <v/>
      </c>
      <c r="J93" s="44" t="str">
        <f>IF(N93&lt;&gt;0,N93,IF(OR(W76&lt;&gt;0,X76&lt;&gt;0),X76/(W76+X76),""))</f>
        <v/>
      </c>
      <c r="L93" s="81" t="s">
        <v>747</v>
      </c>
      <c r="M93" s="339"/>
      <c r="N93" s="47"/>
      <c r="P93" s="575"/>
      <c r="Q93" s="575"/>
      <c r="R93" s="575"/>
      <c r="S93" s="575"/>
      <c r="T93" s="575"/>
      <c r="U93" s="207">
        <f>IF(M93+N93&lt;&gt;100%,IF(M93+N93&lt;&gt;0,1,0),0)</f>
        <v>0</v>
      </c>
    </row>
    <row r="94" spans="3:27" x14ac:dyDescent="0.2">
      <c r="H94" s="81" t="s">
        <v>748</v>
      </c>
      <c r="I94" s="44" t="str">
        <f>IF(M94&lt;&gt;0,M94,IF(OR(W77&lt;&gt;0,X77&lt;&gt;0),W77/(W77+X77),""))</f>
        <v/>
      </c>
      <c r="J94" s="44" t="str">
        <f>IF(N94&lt;&gt;0,N94,IF(OR(W77&lt;&gt;0,X77&lt;&gt;0),X77/(W77+X77),""))</f>
        <v/>
      </c>
      <c r="L94" s="81" t="s">
        <v>748</v>
      </c>
      <c r="M94" s="339"/>
      <c r="N94" s="47"/>
      <c r="P94" s="575"/>
      <c r="Q94" s="575"/>
      <c r="R94" s="575"/>
      <c r="S94" s="575"/>
      <c r="T94" s="575"/>
      <c r="U94" s="207">
        <f>IF(M94+N94&lt;&gt;100%,IF(M94+N94&lt;&gt;0,1,0),0)</f>
        <v>0</v>
      </c>
    </row>
    <row r="95" spans="3:27" x14ac:dyDescent="0.2">
      <c r="K95" s="114"/>
      <c r="L95" s="114"/>
    </row>
    <row r="96" spans="3:27" x14ac:dyDescent="0.2">
      <c r="D96" s="455"/>
      <c r="G96" s="114"/>
      <c r="H96" s="114"/>
      <c r="I96" s="114"/>
      <c r="J96" s="114"/>
      <c r="K96" s="114"/>
      <c r="L96" s="114"/>
    </row>
    <row r="97" spans="1:27" ht="15.75" x14ac:dyDescent="0.2">
      <c r="A97" s="110"/>
      <c r="B97" s="110"/>
      <c r="C97" s="111" t="s">
        <v>850</v>
      </c>
      <c r="D97" s="116"/>
      <c r="E97" s="116"/>
      <c r="F97" s="116"/>
      <c r="G97" s="116"/>
      <c r="H97" s="116"/>
      <c r="I97" s="605" t="str">
        <f>IF(AND(ScriptSourceCode&lt;&gt;2,ScriptSourceCode&lt;&gt;3),MsgNotRequired,"")</f>
        <v>** NOT REQUIRED **</v>
      </c>
      <c r="J97" s="606"/>
      <c r="K97" s="21"/>
      <c r="L97" s="21"/>
      <c r="M97" s="21"/>
      <c r="N97" s="21"/>
      <c r="O97" s="21"/>
      <c r="P97" s="21"/>
      <c r="Q97" s="21"/>
      <c r="R97" s="21"/>
      <c r="S97" s="21"/>
      <c r="T97" s="21"/>
      <c r="U97" s="21"/>
      <c r="V97" s="21"/>
      <c r="W97" s="21"/>
      <c r="X97" s="21"/>
      <c r="Y97" s="21"/>
      <c r="Z97" s="21"/>
      <c r="AA97" s="21"/>
    </row>
    <row r="98" spans="1:27" x14ac:dyDescent="0.2">
      <c r="C98" s="260"/>
    </row>
    <row r="99" spans="1:27" ht="15" customHeight="1" x14ac:dyDescent="0.2">
      <c r="C99" t="s">
        <v>211</v>
      </c>
    </row>
    <row r="100" spans="1:27" ht="15.75" customHeight="1" x14ac:dyDescent="0.2"/>
    <row r="101" spans="1:27" ht="15" x14ac:dyDescent="0.2">
      <c r="A101" s="22"/>
      <c r="B101" s="249">
        <v>1</v>
      </c>
      <c r="C101" s="129" t="str">
        <f>IF($I$97&lt;&gt;"",MsgNotUsed,INDEX(NamesOverallChanged,B101))</f>
        <v>** NOT USED **</v>
      </c>
      <c r="D101" s="123"/>
      <c r="E101" s="123"/>
      <c r="F101" s="123"/>
      <c r="G101" s="123"/>
      <c r="H101" s="117"/>
      <c r="I101" s="588" t="str">
        <f>IF(C101&lt;&gt;MsgNotUsed,"Co-payment group " &amp; INDEX(CoPayBandMS,B101),"")</f>
        <v/>
      </c>
      <c r="J101" s="588"/>
      <c r="K101" s="123"/>
      <c r="L101" s="123"/>
      <c r="M101" s="123"/>
      <c r="N101" s="123"/>
      <c r="O101" s="123"/>
      <c r="P101" s="123"/>
      <c r="Q101" s="123"/>
      <c r="R101" s="123"/>
      <c r="S101" s="123"/>
      <c r="T101" s="123"/>
      <c r="U101" s="22"/>
      <c r="V101" s="22"/>
      <c r="W101" s="22"/>
      <c r="X101" s="22"/>
      <c r="Y101" s="22"/>
      <c r="Z101" s="22"/>
      <c r="AA101" s="22"/>
    </row>
    <row r="102" spans="1:27" ht="15.75" hidden="1" outlineLevel="1" x14ac:dyDescent="0.2">
      <c r="A102" s="22"/>
      <c r="B102" s="65">
        <f>INDEX(CoPayBandMS,B101)</f>
        <v>0</v>
      </c>
      <c r="C102" s="454"/>
      <c r="D102" s="22"/>
      <c r="E102" s="22"/>
      <c r="F102" s="22"/>
      <c r="G102" s="22"/>
      <c r="H102" s="22"/>
      <c r="I102" s="22"/>
      <c r="J102" s="22"/>
      <c r="K102" s="22"/>
      <c r="L102" s="22"/>
      <c r="M102" s="22"/>
      <c r="N102" s="22"/>
      <c r="O102" s="22"/>
      <c r="P102" s="22"/>
      <c r="Q102" s="22"/>
      <c r="R102" s="22"/>
      <c r="S102" s="22"/>
      <c r="T102" s="22"/>
      <c r="U102" s="22"/>
      <c r="V102" s="22"/>
      <c r="W102" s="22"/>
      <c r="X102" s="22"/>
      <c r="Y102" s="22"/>
      <c r="Z102" s="22"/>
      <c r="AA102" s="22"/>
    </row>
    <row r="103" spans="1:27" ht="14.25" hidden="1" customHeight="1" outlineLevel="1" x14ac:dyDescent="0.2">
      <c r="B103" s="119"/>
      <c r="C103" s="488"/>
      <c r="D103" s="58">
        <f>E103-1</f>
        <v>2025</v>
      </c>
      <c r="E103" s="58">
        <f>FirstYear</f>
        <v>2026</v>
      </c>
      <c r="F103" s="58">
        <f>E103+1</f>
        <v>2027</v>
      </c>
      <c r="G103" s="58">
        <f>F103+1</f>
        <v>2028</v>
      </c>
      <c r="H103" s="58">
        <f>G103+1</f>
        <v>2029</v>
      </c>
      <c r="I103" s="58">
        <f>H103+1</f>
        <v>2030</v>
      </c>
      <c r="J103" s="58">
        <f>I103+1</f>
        <v>2031</v>
      </c>
      <c r="L103" s="260"/>
    </row>
    <row r="104" spans="1:27" hidden="1" outlineLevel="1" x14ac:dyDescent="0.2">
      <c r="B104" s="119"/>
      <c r="C104" s="2" t="s">
        <v>111</v>
      </c>
      <c r="D104" s="33">
        <f>IF($I$97="",-R50,0)</f>
        <v>0</v>
      </c>
      <c r="E104" s="33">
        <f>IF(D104="","",D104*(1+D105))</f>
        <v>0</v>
      </c>
      <c r="F104" s="33">
        <f t="shared" ref="F104:J104" si="63">IF(E104="","",E104*(1+E105))</f>
        <v>0</v>
      </c>
      <c r="G104" s="33">
        <f t="shared" si="63"/>
        <v>0</v>
      </c>
      <c r="H104" s="33">
        <f t="shared" si="63"/>
        <v>0</v>
      </c>
      <c r="I104" s="33">
        <f t="shared" si="63"/>
        <v>0</v>
      </c>
      <c r="J104" s="33">
        <f t="shared" si="63"/>
        <v>0</v>
      </c>
      <c r="L104" s="31" t="s">
        <v>249</v>
      </c>
      <c r="N104" s="260"/>
    </row>
    <row r="105" spans="1:27" ht="12.75" hidden="1" customHeight="1" outlineLevel="1" x14ac:dyDescent="0.2">
      <c r="B105" s="119"/>
      <c r="C105" s="7" t="s">
        <v>26</v>
      </c>
      <c r="D105" s="49"/>
      <c r="E105" s="49"/>
      <c r="F105" s="49"/>
      <c r="G105" s="49"/>
      <c r="H105" s="49"/>
      <c r="I105" s="49"/>
      <c r="J105" s="28"/>
      <c r="L105" s="589"/>
      <c r="M105" s="590"/>
      <c r="N105" s="590"/>
      <c r="O105" s="590"/>
      <c r="P105" s="590"/>
      <c r="Q105" s="590"/>
      <c r="R105" s="590"/>
      <c r="S105" s="590"/>
      <c r="T105" s="590"/>
    </row>
    <row r="106" spans="1:27" ht="12.75" hidden="1" customHeight="1" outlineLevel="1" x14ac:dyDescent="0.2">
      <c r="B106" s="119"/>
      <c r="C106" s="7" t="s">
        <v>33</v>
      </c>
      <c r="D106" s="49"/>
      <c r="E106" s="49"/>
      <c r="F106" s="49"/>
      <c r="G106" s="49"/>
      <c r="H106" s="49"/>
      <c r="I106" s="49"/>
      <c r="J106" s="49"/>
      <c r="L106" s="589"/>
      <c r="M106" s="590"/>
      <c r="N106" s="590"/>
      <c r="O106" s="590"/>
      <c r="P106" s="590"/>
      <c r="Q106" s="590"/>
      <c r="R106" s="590"/>
      <c r="S106" s="590"/>
      <c r="T106" s="590"/>
    </row>
    <row r="107" spans="1:27" ht="12.75" hidden="1" customHeight="1" outlineLevel="1" x14ac:dyDescent="0.2">
      <c r="B107" s="119"/>
      <c r="C107" s="59" t="str">
        <f>"Proportion " &amp; IF(MarketImpact=0,"affected by","affected") &amp; " the proposed medicine"</f>
        <v>Proportion affected the proposed medicine</v>
      </c>
      <c r="D107" s="49"/>
      <c r="E107" s="49"/>
      <c r="F107" s="49"/>
      <c r="G107" s="49"/>
      <c r="H107" s="49"/>
      <c r="I107" s="49"/>
      <c r="J107" s="49"/>
      <c r="L107" s="589"/>
      <c r="M107" s="590"/>
      <c r="N107" s="590"/>
      <c r="O107" s="590"/>
      <c r="P107" s="590"/>
      <c r="Q107" s="590"/>
      <c r="R107" s="590"/>
      <c r="S107" s="590"/>
      <c r="T107" s="590"/>
    </row>
    <row r="108" spans="1:27" hidden="1" outlineLevel="1" x14ac:dyDescent="0.2">
      <c r="B108" s="119"/>
      <c r="C108" s="9" t="s">
        <v>104</v>
      </c>
      <c r="D108" s="27">
        <f t="shared" ref="D108:J108" si="64">D110-D109</f>
        <v>0</v>
      </c>
      <c r="E108" s="27">
        <f t="shared" si="64"/>
        <v>0</v>
      </c>
      <c r="F108" s="27">
        <f t="shared" si="64"/>
        <v>0</v>
      </c>
      <c r="G108" s="27">
        <f t="shared" si="64"/>
        <v>0</v>
      </c>
      <c r="H108" s="27">
        <f t="shared" si="64"/>
        <v>0</v>
      </c>
      <c r="I108" s="27">
        <f t="shared" si="64"/>
        <v>0</v>
      </c>
      <c r="J108" s="27">
        <f t="shared" si="64"/>
        <v>0</v>
      </c>
    </row>
    <row r="109" spans="1:27" hidden="1" outlineLevel="1" x14ac:dyDescent="0.2">
      <c r="B109" s="119"/>
      <c r="C109" s="9" t="s">
        <v>105</v>
      </c>
      <c r="D109" s="27">
        <f t="shared" ref="D109:J109" si="65">IF($B102&lt;&gt;0,ROUND(D110*INDEX(ServiceSplitRPBS,$B102),0),0)</f>
        <v>0</v>
      </c>
      <c r="E109" s="27">
        <f t="shared" si="65"/>
        <v>0</v>
      </c>
      <c r="F109" s="27">
        <f t="shared" si="65"/>
        <v>0</v>
      </c>
      <c r="G109" s="27">
        <f t="shared" si="65"/>
        <v>0</v>
      </c>
      <c r="H109" s="27">
        <f t="shared" si="65"/>
        <v>0</v>
      </c>
      <c r="I109" s="27">
        <f t="shared" si="65"/>
        <v>0</v>
      </c>
      <c r="J109" s="27">
        <f t="shared" si="65"/>
        <v>0</v>
      </c>
    </row>
    <row r="110" spans="1:27" hidden="1" outlineLevel="1" x14ac:dyDescent="0.2">
      <c r="B110" s="119"/>
      <c r="C110" s="78" t="s">
        <v>831</v>
      </c>
      <c r="D110" s="30">
        <f t="shared" ref="D110:J110" si="66">IF(D104="","",D107*D106*D104)</f>
        <v>0</v>
      </c>
      <c r="E110" s="30">
        <f t="shared" si="66"/>
        <v>0</v>
      </c>
      <c r="F110" s="30">
        <f t="shared" si="66"/>
        <v>0</v>
      </c>
      <c r="G110" s="30">
        <f t="shared" si="66"/>
        <v>0</v>
      </c>
      <c r="H110" s="30">
        <f t="shared" si="66"/>
        <v>0</v>
      </c>
      <c r="I110" s="30">
        <f t="shared" si="66"/>
        <v>0</v>
      </c>
      <c r="J110" s="30">
        <f t="shared" si="66"/>
        <v>0</v>
      </c>
    </row>
    <row r="111" spans="1:27" hidden="1" outlineLevel="1" x14ac:dyDescent="0.2">
      <c r="B111" s="119"/>
    </row>
    <row r="112" spans="1:27" collapsed="1" x14ac:dyDescent="0.2">
      <c r="B112" s="119"/>
    </row>
    <row r="113" spans="1:27" ht="15" x14ac:dyDescent="0.2">
      <c r="A113" s="22"/>
      <c r="B113" s="249">
        <v>2</v>
      </c>
      <c r="C113" s="129" t="str">
        <f>IF($I$97&lt;&gt;"",MsgNotUsed,INDEX(NamesOverallChanged,B113))</f>
        <v>** NOT USED **</v>
      </c>
      <c r="D113" s="123"/>
      <c r="E113" s="123"/>
      <c r="F113" s="123"/>
      <c r="G113" s="123"/>
      <c r="H113" s="117"/>
      <c r="I113" s="588" t="str">
        <f>IF(C113&lt;&gt;MsgNotUsed,"Co-payment group " &amp; INDEX(CoPayBandMS,B113),"")</f>
        <v/>
      </c>
      <c r="J113" s="588"/>
      <c r="K113" s="123"/>
      <c r="L113" s="123"/>
      <c r="M113" s="123"/>
      <c r="N113" s="123"/>
      <c r="O113" s="123"/>
      <c r="P113" s="123"/>
      <c r="Q113" s="123"/>
      <c r="R113" s="123"/>
      <c r="S113" s="123"/>
      <c r="T113" s="123"/>
      <c r="U113" s="22"/>
      <c r="V113" s="22"/>
      <c r="W113" s="22"/>
      <c r="X113" s="22"/>
      <c r="Y113" s="22"/>
      <c r="Z113" s="22"/>
      <c r="AA113" s="22"/>
    </row>
    <row r="114" spans="1:27" ht="15.75" hidden="1" outlineLevel="1" x14ac:dyDescent="0.2">
      <c r="A114" s="22"/>
      <c r="B114" s="65">
        <f>INDEX(CoPayBandMS,B113)</f>
        <v>0</v>
      </c>
      <c r="C114" s="454"/>
      <c r="D114" s="22"/>
      <c r="E114" s="22"/>
      <c r="F114" s="22"/>
      <c r="G114" s="22"/>
      <c r="H114" s="22"/>
      <c r="I114" s="22"/>
      <c r="J114" s="22"/>
      <c r="K114" s="22"/>
      <c r="L114" s="22"/>
      <c r="M114" s="22"/>
      <c r="N114" s="22"/>
      <c r="O114" s="22"/>
      <c r="P114" s="22"/>
      <c r="Q114" s="22"/>
      <c r="R114" s="22"/>
      <c r="S114" s="22"/>
      <c r="T114" s="22"/>
      <c r="U114" s="22"/>
      <c r="V114" s="22"/>
      <c r="W114" s="22"/>
      <c r="X114" s="22"/>
      <c r="Y114" s="22"/>
      <c r="Z114" s="22"/>
      <c r="AA114" s="22"/>
    </row>
    <row r="115" spans="1:27" ht="14.25" hidden="1" customHeight="1" outlineLevel="1" x14ac:dyDescent="0.2">
      <c r="B115" s="119"/>
      <c r="C115" s="488"/>
      <c r="D115" s="58">
        <f>E115-1</f>
        <v>2025</v>
      </c>
      <c r="E115" s="58">
        <f>FirstYear</f>
        <v>2026</v>
      </c>
      <c r="F115" s="58">
        <f>E115+1</f>
        <v>2027</v>
      </c>
      <c r="G115" s="58">
        <f>F115+1</f>
        <v>2028</v>
      </c>
      <c r="H115" s="58">
        <f>G115+1</f>
        <v>2029</v>
      </c>
      <c r="I115" s="58">
        <f>H115+1</f>
        <v>2030</v>
      </c>
      <c r="J115" s="58">
        <f>I115+1</f>
        <v>2031</v>
      </c>
      <c r="L115" s="260"/>
    </row>
    <row r="116" spans="1:27" hidden="1" outlineLevel="1" x14ac:dyDescent="0.2">
      <c r="B116" s="119"/>
      <c r="C116" s="2" t="s">
        <v>111</v>
      </c>
      <c r="D116" s="33">
        <f>IF($I$97="",-R51,0)</f>
        <v>0</v>
      </c>
      <c r="E116" s="33">
        <f t="shared" ref="E116:J116" si="67">IF(D116="","",D116*(1+D117))</f>
        <v>0</v>
      </c>
      <c r="F116" s="33">
        <f t="shared" si="67"/>
        <v>0</v>
      </c>
      <c r="G116" s="33">
        <f t="shared" si="67"/>
        <v>0</v>
      </c>
      <c r="H116" s="33">
        <f t="shared" si="67"/>
        <v>0</v>
      </c>
      <c r="I116" s="33">
        <f t="shared" si="67"/>
        <v>0</v>
      </c>
      <c r="J116" s="33">
        <f t="shared" si="67"/>
        <v>0</v>
      </c>
      <c r="L116" s="31" t="s">
        <v>249</v>
      </c>
      <c r="N116" s="260"/>
    </row>
    <row r="117" spans="1:27" hidden="1" outlineLevel="1" x14ac:dyDescent="0.2">
      <c r="B117" s="119"/>
      <c r="C117" s="7" t="s">
        <v>26</v>
      </c>
      <c r="D117" s="49"/>
      <c r="E117" s="49"/>
      <c r="F117" s="49"/>
      <c r="G117" s="49"/>
      <c r="H117" s="49"/>
      <c r="I117" s="49"/>
      <c r="J117" s="28"/>
      <c r="L117" s="589"/>
      <c r="M117" s="590"/>
      <c r="N117" s="590"/>
      <c r="O117" s="590"/>
      <c r="P117" s="590"/>
      <c r="Q117" s="590"/>
      <c r="R117" s="590"/>
      <c r="S117" s="590"/>
      <c r="T117" s="590"/>
    </row>
    <row r="118" spans="1:27" hidden="1" outlineLevel="1" x14ac:dyDescent="0.2">
      <c r="B118" s="119"/>
      <c r="C118" s="7" t="s">
        <v>33</v>
      </c>
      <c r="D118" s="49"/>
      <c r="E118" s="49"/>
      <c r="F118" s="49"/>
      <c r="G118" s="49"/>
      <c r="H118" s="49"/>
      <c r="I118" s="49"/>
      <c r="J118" s="49"/>
      <c r="L118" s="589"/>
      <c r="M118" s="590"/>
      <c r="N118" s="590"/>
      <c r="O118" s="590"/>
      <c r="P118" s="590"/>
      <c r="Q118" s="590"/>
      <c r="R118" s="590"/>
      <c r="S118" s="590"/>
      <c r="T118" s="590"/>
    </row>
    <row r="119" spans="1:27" hidden="1" outlineLevel="1" x14ac:dyDescent="0.2">
      <c r="B119" s="119"/>
      <c r="C119" s="59" t="str">
        <f>"Proportion " &amp; IF(MarketImpact=0,"affected by","affected") &amp; " the proposed medicine"</f>
        <v>Proportion affected the proposed medicine</v>
      </c>
      <c r="D119" s="49"/>
      <c r="E119" s="49"/>
      <c r="F119" s="49"/>
      <c r="G119" s="49"/>
      <c r="H119" s="49"/>
      <c r="I119" s="49"/>
      <c r="J119" s="49"/>
      <c r="L119" s="589"/>
      <c r="M119" s="590"/>
      <c r="N119" s="590"/>
      <c r="O119" s="590"/>
      <c r="P119" s="590"/>
      <c r="Q119" s="590"/>
      <c r="R119" s="590"/>
      <c r="S119" s="590"/>
      <c r="T119" s="590"/>
    </row>
    <row r="120" spans="1:27" hidden="1" outlineLevel="1" x14ac:dyDescent="0.2">
      <c r="B120" s="119"/>
      <c r="C120" s="9" t="s">
        <v>104</v>
      </c>
      <c r="D120" s="27">
        <f t="shared" ref="D120:J120" si="68">D122-D121</f>
        <v>0</v>
      </c>
      <c r="E120" s="27">
        <f t="shared" si="68"/>
        <v>0</v>
      </c>
      <c r="F120" s="27">
        <f t="shared" si="68"/>
        <v>0</v>
      </c>
      <c r="G120" s="27">
        <f t="shared" si="68"/>
        <v>0</v>
      </c>
      <c r="H120" s="27">
        <f t="shared" si="68"/>
        <v>0</v>
      </c>
      <c r="I120" s="27">
        <f t="shared" si="68"/>
        <v>0</v>
      </c>
      <c r="J120" s="27">
        <f t="shared" si="68"/>
        <v>0</v>
      </c>
    </row>
    <row r="121" spans="1:27" hidden="1" outlineLevel="1" x14ac:dyDescent="0.2">
      <c r="B121" s="119"/>
      <c r="C121" s="9" t="s">
        <v>105</v>
      </c>
      <c r="D121" s="27">
        <f t="shared" ref="D121:J121" si="69">IF($B114&lt;&gt;0,ROUND(D122*INDEX(ServiceSplitRPBS,$B114),0),0)</f>
        <v>0</v>
      </c>
      <c r="E121" s="27">
        <f t="shared" si="69"/>
        <v>0</v>
      </c>
      <c r="F121" s="27">
        <f t="shared" si="69"/>
        <v>0</v>
      </c>
      <c r="G121" s="27">
        <f t="shared" si="69"/>
        <v>0</v>
      </c>
      <c r="H121" s="27">
        <f t="shared" si="69"/>
        <v>0</v>
      </c>
      <c r="I121" s="27">
        <f t="shared" si="69"/>
        <v>0</v>
      </c>
      <c r="J121" s="27">
        <f t="shared" si="69"/>
        <v>0</v>
      </c>
    </row>
    <row r="122" spans="1:27" hidden="1" outlineLevel="1" x14ac:dyDescent="0.2">
      <c r="B122" s="119"/>
      <c r="C122" s="78" t="s">
        <v>831</v>
      </c>
      <c r="D122" s="30">
        <f t="shared" ref="D122:J122" si="70">IF(D116="","",D119*D118*D116)</f>
        <v>0</v>
      </c>
      <c r="E122" s="30">
        <f t="shared" si="70"/>
        <v>0</v>
      </c>
      <c r="F122" s="30">
        <f t="shared" si="70"/>
        <v>0</v>
      </c>
      <c r="G122" s="30">
        <f t="shared" si="70"/>
        <v>0</v>
      </c>
      <c r="H122" s="30">
        <f t="shared" si="70"/>
        <v>0</v>
      </c>
      <c r="I122" s="30">
        <f t="shared" si="70"/>
        <v>0</v>
      </c>
      <c r="J122" s="30">
        <f t="shared" si="70"/>
        <v>0</v>
      </c>
    </row>
    <row r="123" spans="1:27" hidden="1" outlineLevel="1" x14ac:dyDescent="0.2">
      <c r="B123" s="119"/>
    </row>
    <row r="124" spans="1:27" collapsed="1" x14ac:dyDescent="0.2">
      <c r="B124" s="119"/>
    </row>
    <row r="125" spans="1:27" ht="15" x14ac:dyDescent="0.2">
      <c r="A125" s="22"/>
      <c r="B125" s="249">
        <v>3</v>
      </c>
      <c r="C125" s="129" t="str">
        <f>IF($I$97&lt;&gt;"",MsgNotUsed,INDEX(NamesOverallChanged,B125))</f>
        <v>** NOT USED **</v>
      </c>
      <c r="D125" s="123"/>
      <c r="E125" s="123"/>
      <c r="F125" s="123"/>
      <c r="G125" s="123"/>
      <c r="H125" s="117"/>
      <c r="I125" s="588" t="str">
        <f>IF(C125&lt;&gt;MsgNotUsed,"Co-payment group " &amp; INDEX(CoPayBandMS,B125),"")</f>
        <v/>
      </c>
      <c r="J125" s="588"/>
      <c r="K125" s="123"/>
      <c r="L125" s="123"/>
      <c r="M125" s="123"/>
      <c r="N125" s="123"/>
      <c r="O125" s="123"/>
      <c r="P125" s="123"/>
      <c r="Q125" s="123"/>
      <c r="R125" s="123"/>
      <c r="S125" s="123"/>
      <c r="T125" s="123"/>
      <c r="U125" s="22"/>
      <c r="V125" s="22"/>
      <c r="W125" s="22"/>
      <c r="X125" s="22"/>
      <c r="Y125" s="22"/>
      <c r="Z125" s="22"/>
      <c r="AA125" s="22"/>
    </row>
    <row r="126" spans="1:27" ht="15.75" hidden="1" outlineLevel="1" x14ac:dyDescent="0.2">
      <c r="A126" s="22"/>
      <c r="B126" s="65">
        <f>INDEX(CoPayBandMS,B125)</f>
        <v>0</v>
      </c>
      <c r="C126" s="454"/>
      <c r="D126" s="22"/>
      <c r="E126" s="22"/>
      <c r="F126" s="22"/>
      <c r="G126" s="22"/>
      <c r="H126" s="22"/>
      <c r="I126" s="22"/>
      <c r="J126" s="22"/>
      <c r="K126" s="22"/>
      <c r="L126" s="22"/>
      <c r="M126" s="22"/>
      <c r="N126" s="22"/>
      <c r="O126" s="22"/>
      <c r="P126" s="22"/>
      <c r="Q126" s="22"/>
      <c r="R126" s="22"/>
      <c r="S126" s="22"/>
      <c r="T126" s="22"/>
      <c r="U126" s="22"/>
      <c r="V126" s="22"/>
      <c r="W126" s="22"/>
      <c r="X126" s="22"/>
      <c r="Y126" s="22"/>
      <c r="Z126" s="22"/>
      <c r="AA126" s="22"/>
    </row>
    <row r="127" spans="1:27" ht="14.25" hidden="1" customHeight="1" outlineLevel="1" x14ac:dyDescent="0.2">
      <c r="B127" s="119"/>
      <c r="C127" s="488"/>
      <c r="D127" s="58">
        <f>E127-1</f>
        <v>2025</v>
      </c>
      <c r="E127" s="58">
        <f>FirstYear</f>
        <v>2026</v>
      </c>
      <c r="F127" s="58">
        <f>E127+1</f>
        <v>2027</v>
      </c>
      <c r="G127" s="58">
        <f>F127+1</f>
        <v>2028</v>
      </c>
      <c r="H127" s="58">
        <f>G127+1</f>
        <v>2029</v>
      </c>
      <c r="I127" s="58">
        <f>H127+1</f>
        <v>2030</v>
      </c>
      <c r="J127" s="58">
        <f>I127+1</f>
        <v>2031</v>
      </c>
      <c r="L127" s="260"/>
    </row>
    <row r="128" spans="1:27" hidden="1" outlineLevel="1" x14ac:dyDescent="0.2">
      <c r="B128" s="119"/>
      <c r="C128" s="2" t="s">
        <v>111</v>
      </c>
      <c r="D128" s="33">
        <f>IF($I$97="",-R52,0)</f>
        <v>0</v>
      </c>
      <c r="E128" s="33">
        <f t="shared" ref="E128:J128" si="71">IF(D128="","",D128*(1+D129))</f>
        <v>0</v>
      </c>
      <c r="F128" s="33">
        <f t="shared" si="71"/>
        <v>0</v>
      </c>
      <c r="G128" s="33">
        <f t="shared" si="71"/>
        <v>0</v>
      </c>
      <c r="H128" s="33">
        <f t="shared" si="71"/>
        <v>0</v>
      </c>
      <c r="I128" s="33">
        <f t="shared" si="71"/>
        <v>0</v>
      </c>
      <c r="J128" s="33">
        <f t="shared" si="71"/>
        <v>0</v>
      </c>
      <c r="L128" s="31" t="s">
        <v>249</v>
      </c>
      <c r="N128" s="260"/>
    </row>
    <row r="129" spans="1:27" hidden="1" outlineLevel="1" x14ac:dyDescent="0.2">
      <c r="B129" s="119"/>
      <c r="C129" s="7" t="s">
        <v>26</v>
      </c>
      <c r="D129" s="49"/>
      <c r="E129" s="49"/>
      <c r="F129" s="49"/>
      <c r="G129" s="49"/>
      <c r="H129" s="49"/>
      <c r="I129" s="49"/>
      <c r="J129" s="28"/>
      <c r="L129" s="589"/>
      <c r="M129" s="590"/>
      <c r="N129" s="590"/>
      <c r="O129" s="590"/>
      <c r="P129" s="590"/>
      <c r="Q129" s="590"/>
      <c r="R129" s="590"/>
      <c r="S129" s="590"/>
      <c r="T129" s="590"/>
    </row>
    <row r="130" spans="1:27" hidden="1" outlineLevel="1" x14ac:dyDescent="0.2">
      <c r="B130" s="119"/>
      <c r="C130" s="7" t="s">
        <v>33</v>
      </c>
      <c r="D130" s="49"/>
      <c r="E130" s="49"/>
      <c r="F130" s="49"/>
      <c r="G130" s="49"/>
      <c r="H130" s="49"/>
      <c r="I130" s="49"/>
      <c r="J130" s="49"/>
      <c r="L130" s="589"/>
      <c r="M130" s="590"/>
      <c r="N130" s="590"/>
      <c r="O130" s="590"/>
      <c r="P130" s="590"/>
      <c r="Q130" s="590"/>
      <c r="R130" s="590"/>
      <c r="S130" s="590"/>
      <c r="T130" s="590"/>
    </row>
    <row r="131" spans="1:27" hidden="1" outlineLevel="1" x14ac:dyDescent="0.2">
      <c r="B131" s="119"/>
      <c r="C131" s="59" t="str">
        <f>"Proportion " &amp; IF(MarketImpact=0,"affected by","affected") &amp; " the proposed medicine"</f>
        <v>Proportion affected the proposed medicine</v>
      </c>
      <c r="D131" s="49"/>
      <c r="E131" s="49"/>
      <c r="F131" s="49"/>
      <c r="G131" s="49"/>
      <c r="H131" s="49"/>
      <c r="I131" s="49"/>
      <c r="J131" s="49"/>
      <c r="L131" s="589"/>
      <c r="M131" s="590"/>
      <c r="N131" s="590"/>
      <c r="O131" s="590"/>
      <c r="P131" s="590"/>
      <c r="Q131" s="590"/>
      <c r="R131" s="590"/>
      <c r="S131" s="590"/>
      <c r="T131" s="590"/>
    </row>
    <row r="132" spans="1:27" hidden="1" outlineLevel="1" x14ac:dyDescent="0.2">
      <c r="B132" s="119"/>
      <c r="C132" s="9" t="s">
        <v>104</v>
      </c>
      <c r="D132" s="27">
        <f t="shared" ref="D132:J132" si="72">D134-D133</f>
        <v>0</v>
      </c>
      <c r="E132" s="27">
        <f t="shared" si="72"/>
        <v>0</v>
      </c>
      <c r="F132" s="27">
        <f t="shared" si="72"/>
        <v>0</v>
      </c>
      <c r="G132" s="27">
        <f t="shared" si="72"/>
        <v>0</v>
      </c>
      <c r="H132" s="27">
        <f t="shared" si="72"/>
        <v>0</v>
      </c>
      <c r="I132" s="27">
        <f t="shared" si="72"/>
        <v>0</v>
      </c>
      <c r="J132" s="27">
        <f t="shared" si="72"/>
        <v>0</v>
      </c>
    </row>
    <row r="133" spans="1:27" hidden="1" outlineLevel="1" x14ac:dyDescent="0.2">
      <c r="B133" s="119"/>
      <c r="C133" s="9" t="s">
        <v>105</v>
      </c>
      <c r="D133" s="27">
        <f t="shared" ref="D133:J133" si="73">IF($B126&lt;&gt;0,ROUND(D134*INDEX(ServiceSplitRPBS,$B126),0),0)</f>
        <v>0</v>
      </c>
      <c r="E133" s="27">
        <f t="shared" si="73"/>
        <v>0</v>
      </c>
      <c r="F133" s="27">
        <f t="shared" si="73"/>
        <v>0</v>
      </c>
      <c r="G133" s="27">
        <f t="shared" si="73"/>
        <v>0</v>
      </c>
      <c r="H133" s="27">
        <f t="shared" si="73"/>
        <v>0</v>
      </c>
      <c r="I133" s="27">
        <f t="shared" si="73"/>
        <v>0</v>
      </c>
      <c r="J133" s="27">
        <f t="shared" si="73"/>
        <v>0</v>
      </c>
    </row>
    <row r="134" spans="1:27" hidden="1" outlineLevel="1" x14ac:dyDescent="0.2">
      <c r="B134" s="119"/>
      <c r="C134" s="78" t="s">
        <v>831</v>
      </c>
      <c r="D134" s="30">
        <f t="shared" ref="D134:J134" si="74">IF(D128="","",D131*D130*D128)</f>
        <v>0</v>
      </c>
      <c r="E134" s="30">
        <f t="shared" si="74"/>
        <v>0</v>
      </c>
      <c r="F134" s="30">
        <f t="shared" si="74"/>
        <v>0</v>
      </c>
      <c r="G134" s="30">
        <f t="shared" si="74"/>
        <v>0</v>
      </c>
      <c r="H134" s="30">
        <f t="shared" si="74"/>
        <v>0</v>
      </c>
      <c r="I134" s="30">
        <f t="shared" si="74"/>
        <v>0</v>
      </c>
      <c r="J134" s="30">
        <f t="shared" si="74"/>
        <v>0</v>
      </c>
    </row>
    <row r="135" spans="1:27" hidden="1" outlineLevel="1" x14ac:dyDescent="0.2">
      <c r="B135" s="119"/>
    </row>
    <row r="136" spans="1:27" collapsed="1" x14ac:dyDescent="0.2">
      <c r="B136" s="119"/>
    </row>
    <row r="137" spans="1:27" ht="15" x14ac:dyDescent="0.2">
      <c r="A137" s="22"/>
      <c r="B137" s="249">
        <v>4</v>
      </c>
      <c r="C137" s="129" t="str">
        <f>IF($I$97&lt;&gt;"",MsgNotUsed,INDEX(NamesOverallChanged,B137))</f>
        <v>** NOT USED **</v>
      </c>
      <c r="D137" s="123"/>
      <c r="E137" s="123"/>
      <c r="F137" s="123"/>
      <c r="G137" s="123"/>
      <c r="H137" s="117"/>
      <c r="I137" s="588" t="str">
        <f>IF(C137&lt;&gt;MsgNotUsed,"Co-payment group " &amp; INDEX(CoPayBandMS,B137),"")</f>
        <v/>
      </c>
      <c r="J137" s="588"/>
      <c r="K137" s="123"/>
      <c r="L137" s="123"/>
      <c r="M137" s="123"/>
      <c r="N137" s="123"/>
      <c r="O137" s="123"/>
      <c r="P137" s="123"/>
      <c r="Q137" s="123"/>
      <c r="R137" s="123"/>
      <c r="S137" s="123"/>
      <c r="T137" s="123"/>
      <c r="U137" s="22"/>
      <c r="V137" s="22"/>
      <c r="W137" s="22"/>
      <c r="X137" s="22"/>
      <c r="Y137" s="22"/>
      <c r="Z137" s="22"/>
      <c r="AA137" s="22"/>
    </row>
    <row r="138" spans="1:27" ht="15.75" hidden="1" outlineLevel="1" x14ac:dyDescent="0.2">
      <c r="A138" s="22"/>
      <c r="B138" s="65">
        <f>INDEX(CoPayBandMS,B137)</f>
        <v>0</v>
      </c>
      <c r="C138" s="454"/>
      <c r="D138" s="22"/>
      <c r="E138" s="22"/>
      <c r="F138" s="22"/>
      <c r="G138" s="22"/>
      <c r="H138" s="22"/>
      <c r="I138" s="22"/>
      <c r="J138" s="22"/>
      <c r="K138" s="22"/>
      <c r="L138" s="22"/>
      <c r="M138" s="22"/>
      <c r="N138" s="22"/>
      <c r="O138" s="22"/>
      <c r="P138" s="22"/>
      <c r="Q138" s="22"/>
      <c r="R138" s="22"/>
      <c r="S138" s="22"/>
      <c r="T138" s="22"/>
      <c r="U138" s="22"/>
      <c r="V138" s="22"/>
      <c r="W138" s="22"/>
      <c r="X138" s="22"/>
      <c r="Y138" s="22"/>
      <c r="Z138" s="22"/>
      <c r="AA138" s="22"/>
    </row>
    <row r="139" spans="1:27" ht="14.25" hidden="1" customHeight="1" outlineLevel="1" x14ac:dyDescent="0.2">
      <c r="B139" s="119"/>
      <c r="C139" s="488"/>
      <c r="D139" s="58">
        <f>E139-1</f>
        <v>2025</v>
      </c>
      <c r="E139" s="58">
        <f>FirstYear</f>
        <v>2026</v>
      </c>
      <c r="F139" s="58">
        <f>E139+1</f>
        <v>2027</v>
      </c>
      <c r="G139" s="58">
        <f>F139+1</f>
        <v>2028</v>
      </c>
      <c r="H139" s="58">
        <f>G139+1</f>
        <v>2029</v>
      </c>
      <c r="I139" s="58">
        <f>H139+1</f>
        <v>2030</v>
      </c>
      <c r="J139" s="58">
        <f>I139+1</f>
        <v>2031</v>
      </c>
      <c r="L139" s="260"/>
    </row>
    <row r="140" spans="1:27" hidden="1" outlineLevel="1" x14ac:dyDescent="0.2">
      <c r="B140" s="119"/>
      <c r="C140" s="2" t="s">
        <v>111</v>
      </c>
      <c r="D140" s="33">
        <f>IF($I$97="",-R53,0)</f>
        <v>0</v>
      </c>
      <c r="E140" s="33">
        <f t="shared" ref="E140:J140" si="75">IF(D140="","",D140*(1+D141))</f>
        <v>0</v>
      </c>
      <c r="F140" s="33">
        <f t="shared" si="75"/>
        <v>0</v>
      </c>
      <c r="G140" s="33">
        <f t="shared" si="75"/>
        <v>0</v>
      </c>
      <c r="H140" s="33">
        <f t="shared" si="75"/>
        <v>0</v>
      </c>
      <c r="I140" s="33">
        <f t="shared" si="75"/>
        <v>0</v>
      </c>
      <c r="J140" s="33">
        <f t="shared" si="75"/>
        <v>0</v>
      </c>
      <c r="L140" s="31" t="s">
        <v>249</v>
      </c>
      <c r="N140" s="260"/>
    </row>
    <row r="141" spans="1:27" hidden="1" outlineLevel="1" x14ac:dyDescent="0.2">
      <c r="B141" s="119"/>
      <c r="C141" s="7" t="s">
        <v>26</v>
      </c>
      <c r="D141" s="49"/>
      <c r="E141" s="49"/>
      <c r="F141" s="49"/>
      <c r="G141" s="49"/>
      <c r="H141" s="49"/>
      <c r="I141" s="49"/>
      <c r="J141" s="28"/>
      <c r="L141" s="589"/>
      <c r="M141" s="590"/>
      <c r="N141" s="590"/>
      <c r="O141" s="590"/>
      <c r="P141" s="590"/>
      <c r="Q141" s="590"/>
      <c r="R141" s="590"/>
      <c r="S141" s="590"/>
      <c r="T141" s="590"/>
    </row>
    <row r="142" spans="1:27" hidden="1" outlineLevel="1" x14ac:dyDescent="0.2">
      <c r="B142" s="119"/>
      <c r="C142" s="7" t="s">
        <v>33</v>
      </c>
      <c r="D142" s="49"/>
      <c r="E142" s="49"/>
      <c r="F142" s="49"/>
      <c r="G142" s="49"/>
      <c r="H142" s="49"/>
      <c r="I142" s="49"/>
      <c r="J142" s="49"/>
      <c r="L142" s="589"/>
      <c r="M142" s="590"/>
      <c r="N142" s="590"/>
      <c r="O142" s="590"/>
      <c r="P142" s="590"/>
      <c r="Q142" s="590"/>
      <c r="R142" s="590"/>
      <c r="S142" s="590"/>
      <c r="T142" s="590"/>
    </row>
    <row r="143" spans="1:27" hidden="1" outlineLevel="1" x14ac:dyDescent="0.2">
      <c r="B143" s="119"/>
      <c r="C143" s="59" t="str">
        <f>"Proportion " &amp; IF(MarketImpact=0,"affected by","affected") &amp; " the proposed medicine"</f>
        <v>Proportion affected the proposed medicine</v>
      </c>
      <c r="D143" s="49"/>
      <c r="E143" s="49"/>
      <c r="F143" s="49"/>
      <c r="G143" s="49"/>
      <c r="H143" s="49"/>
      <c r="I143" s="49"/>
      <c r="J143" s="49"/>
      <c r="L143" s="589"/>
      <c r="M143" s="590"/>
      <c r="N143" s="590"/>
      <c r="O143" s="590"/>
      <c r="P143" s="590"/>
      <c r="Q143" s="590"/>
      <c r="R143" s="590"/>
      <c r="S143" s="590"/>
      <c r="T143" s="590"/>
    </row>
    <row r="144" spans="1:27" hidden="1" outlineLevel="1" x14ac:dyDescent="0.2">
      <c r="B144" s="119"/>
      <c r="C144" s="9" t="s">
        <v>104</v>
      </c>
      <c r="D144" s="27">
        <f t="shared" ref="D144:J144" si="76">D146-D145</f>
        <v>0</v>
      </c>
      <c r="E144" s="27">
        <f t="shared" si="76"/>
        <v>0</v>
      </c>
      <c r="F144" s="27">
        <f t="shared" si="76"/>
        <v>0</v>
      </c>
      <c r="G144" s="27">
        <f t="shared" si="76"/>
        <v>0</v>
      </c>
      <c r="H144" s="27">
        <f t="shared" si="76"/>
        <v>0</v>
      </c>
      <c r="I144" s="27">
        <f t="shared" si="76"/>
        <v>0</v>
      </c>
      <c r="J144" s="27">
        <f t="shared" si="76"/>
        <v>0</v>
      </c>
    </row>
    <row r="145" spans="1:27" hidden="1" outlineLevel="1" x14ac:dyDescent="0.2">
      <c r="B145" s="119"/>
      <c r="C145" s="9" t="s">
        <v>105</v>
      </c>
      <c r="D145" s="27">
        <f t="shared" ref="D145:J145" si="77">IF($B138&lt;&gt;0,ROUND(D146*INDEX(ServiceSplitRPBS,$B138),0),0)</f>
        <v>0</v>
      </c>
      <c r="E145" s="27">
        <f t="shared" si="77"/>
        <v>0</v>
      </c>
      <c r="F145" s="27">
        <f t="shared" si="77"/>
        <v>0</v>
      </c>
      <c r="G145" s="27">
        <f t="shared" si="77"/>
        <v>0</v>
      </c>
      <c r="H145" s="27">
        <f t="shared" si="77"/>
        <v>0</v>
      </c>
      <c r="I145" s="27">
        <f t="shared" si="77"/>
        <v>0</v>
      </c>
      <c r="J145" s="27">
        <f t="shared" si="77"/>
        <v>0</v>
      </c>
    </row>
    <row r="146" spans="1:27" hidden="1" outlineLevel="1" x14ac:dyDescent="0.2">
      <c r="B146" s="119"/>
      <c r="C146" s="78" t="s">
        <v>831</v>
      </c>
      <c r="D146" s="30">
        <f t="shared" ref="D146:J146" si="78">IF(D140="","",D143*D142*D140)</f>
        <v>0</v>
      </c>
      <c r="E146" s="30">
        <f t="shared" si="78"/>
        <v>0</v>
      </c>
      <c r="F146" s="30">
        <f t="shared" si="78"/>
        <v>0</v>
      </c>
      <c r="G146" s="30">
        <f t="shared" si="78"/>
        <v>0</v>
      </c>
      <c r="H146" s="30">
        <f t="shared" si="78"/>
        <v>0</v>
      </c>
      <c r="I146" s="30">
        <f t="shared" si="78"/>
        <v>0</v>
      </c>
      <c r="J146" s="30">
        <f t="shared" si="78"/>
        <v>0</v>
      </c>
    </row>
    <row r="147" spans="1:27" hidden="1" outlineLevel="1" x14ac:dyDescent="0.2">
      <c r="B147" s="119"/>
    </row>
    <row r="148" spans="1:27" collapsed="1" x14ac:dyDescent="0.2">
      <c r="B148" s="119"/>
    </row>
    <row r="149" spans="1:27" ht="15" x14ac:dyDescent="0.2">
      <c r="A149" s="22"/>
      <c r="B149" s="249">
        <v>5</v>
      </c>
      <c r="C149" s="129" t="str">
        <f>IF($I$97&lt;&gt;"",MsgNotUsed,INDEX(NamesOverallChanged,B149))</f>
        <v>** NOT USED **</v>
      </c>
      <c r="D149" s="123"/>
      <c r="E149" s="123"/>
      <c r="F149" s="123"/>
      <c r="G149" s="123"/>
      <c r="H149" s="117"/>
      <c r="I149" s="588" t="str">
        <f>IF(C149&lt;&gt;MsgNotUsed,"Co-payment group " &amp; INDEX(CoPayBandMS,B149),"")</f>
        <v/>
      </c>
      <c r="J149" s="588"/>
      <c r="K149" s="123"/>
      <c r="L149" s="123"/>
      <c r="M149" s="123"/>
      <c r="N149" s="123"/>
      <c r="O149" s="123"/>
      <c r="P149" s="123"/>
      <c r="Q149" s="123"/>
      <c r="R149" s="123"/>
      <c r="S149" s="123"/>
      <c r="T149" s="123"/>
      <c r="U149" s="22"/>
      <c r="V149" s="22"/>
      <c r="W149" s="22"/>
      <c r="X149" s="22"/>
      <c r="Y149" s="22"/>
      <c r="Z149" s="22"/>
      <c r="AA149" s="22"/>
    </row>
    <row r="150" spans="1:27" ht="15.75" hidden="1" outlineLevel="1" x14ac:dyDescent="0.2">
      <c r="A150" s="22"/>
      <c r="B150" s="65">
        <f>INDEX(CoPayBandMS,B149)</f>
        <v>0</v>
      </c>
      <c r="C150" s="454"/>
      <c r="D150" s="22"/>
      <c r="E150" s="22"/>
      <c r="F150" s="22"/>
      <c r="G150" s="22"/>
      <c r="H150" s="22"/>
      <c r="I150" s="22"/>
      <c r="J150" s="22"/>
      <c r="K150" s="22"/>
      <c r="L150" s="22"/>
      <c r="M150" s="22"/>
      <c r="N150" s="22"/>
      <c r="O150" s="22"/>
      <c r="P150" s="22"/>
      <c r="Q150" s="22"/>
      <c r="R150" s="22"/>
      <c r="S150" s="22"/>
      <c r="T150" s="22"/>
      <c r="U150" s="22"/>
      <c r="V150" s="22"/>
      <c r="W150" s="22"/>
      <c r="X150" s="22"/>
      <c r="Y150" s="22"/>
      <c r="Z150" s="22"/>
      <c r="AA150" s="22"/>
    </row>
    <row r="151" spans="1:27" ht="14.25" hidden="1" customHeight="1" outlineLevel="1" x14ac:dyDescent="0.2">
      <c r="B151" s="119"/>
      <c r="C151" s="488"/>
      <c r="D151" s="58">
        <f>E151-1</f>
        <v>2025</v>
      </c>
      <c r="E151" s="58">
        <f>FirstYear</f>
        <v>2026</v>
      </c>
      <c r="F151" s="58">
        <f>E151+1</f>
        <v>2027</v>
      </c>
      <c r="G151" s="58">
        <f>F151+1</f>
        <v>2028</v>
      </c>
      <c r="H151" s="58">
        <f>G151+1</f>
        <v>2029</v>
      </c>
      <c r="I151" s="58">
        <f>H151+1</f>
        <v>2030</v>
      </c>
      <c r="J151" s="58">
        <f>I151+1</f>
        <v>2031</v>
      </c>
      <c r="L151" s="260"/>
    </row>
    <row r="152" spans="1:27" hidden="1" outlineLevel="1" x14ac:dyDescent="0.2">
      <c r="B152" s="119"/>
      <c r="C152" s="2" t="s">
        <v>111</v>
      </c>
      <c r="D152" s="33">
        <f>IF($I$97="",-R54,0)</f>
        <v>0</v>
      </c>
      <c r="E152" s="33">
        <f t="shared" ref="E152:J152" si="79">IF(D152="","",D152*(1+D153))</f>
        <v>0</v>
      </c>
      <c r="F152" s="33">
        <f t="shared" si="79"/>
        <v>0</v>
      </c>
      <c r="G152" s="33">
        <f t="shared" si="79"/>
        <v>0</v>
      </c>
      <c r="H152" s="33">
        <f t="shared" si="79"/>
        <v>0</v>
      </c>
      <c r="I152" s="33">
        <f t="shared" si="79"/>
        <v>0</v>
      </c>
      <c r="J152" s="33">
        <f t="shared" si="79"/>
        <v>0</v>
      </c>
      <c r="L152" s="31" t="s">
        <v>249</v>
      </c>
      <c r="N152" s="260"/>
    </row>
    <row r="153" spans="1:27" hidden="1" outlineLevel="1" x14ac:dyDescent="0.2">
      <c r="B153" s="119"/>
      <c r="C153" s="7" t="s">
        <v>26</v>
      </c>
      <c r="D153" s="49"/>
      <c r="E153" s="49"/>
      <c r="F153" s="49"/>
      <c r="G153" s="49"/>
      <c r="H153" s="49"/>
      <c r="I153" s="49"/>
      <c r="J153" s="28"/>
      <c r="L153" s="589"/>
      <c r="M153" s="590"/>
      <c r="N153" s="590"/>
      <c r="O153" s="590"/>
      <c r="P153" s="590"/>
      <c r="Q153" s="590"/>
      <c r="R153" s="590"/>
      <c r="S153" s="590"/>
      <c r="T153" s="590"/>
    </row>
    <row r="154" spans="1:27" hidden="1" outlineLevel="1" x14ac:dyDescent="0.2">
      <c r="B154" s="119"/>
      <c r="C154" s="7" t="s">
        <v>33</v>
      </c>
      <c r="D154" s="49"/>
      <c r="E154" s="49"/>
      <c r="F154" s="49"/>
      <c r="G154" s="49"/>
      <c r="H154" s="49"/>
      <c r="I154" s="49"/>
      <c r="J154" s="49"/>
      <c r="L154" s="589"/>
      <c r="M154" s="590"/>
      <c r="N154" s="590"/>
      <c r="O154" s="590"/>
      <c r="P154" s="590"/>
      <c r="Q154" s="590"/>
      <c r="R154" s="590"/>
      <c r="S154" s="590"/>
      <c r="T154" s="590"/>
    </row>
    <row r="155" spans="1:27" hidden="1" outlineLevel="1" x14ac:dyDescent="0.2">
      <c r="B155" s="119"/>
      <c r="C155" s="59" t="str">
        <f>"Proportion " &amp; IF(MarketImpact=0,"affected by","affected") &amp; " the proposed medicine"</f>
        <v>Proportion affected the proposed medicine</v>
      </c>
      <c r="D155" s="49"/>
      <c r="E155" s="49"/>
      <c r="F155" s="49"/>
      <c r="G155" s="49"/>
      <c r="H155" s="49"/>
      <c r="I155" s="49"/>
      <c r="J155" s="49"/>
      <c r="L155" s="589"/>
      <c r="M155" s="590"/>
      <c r="N155" s="590"/>
      <c r="O155" s="590"/>
      <c r="P155" s="590"/>
      <c r="Q155" s="590"/>
      <c r="R155" s="590"/>
      <c r="S155" s="590"/>
      <c r="T155" s="590"/>
    </row>
    <row r="156" spans="1:27" hidden="1" outlineLevel="1" x14ac:dyDescent="0.2">
      <c r="B156" s="119"/>
      <c r="C156" s="9" t="s">
        <v>104</v>
      </c>
      <c r="D156" s="27">
        <f t="shared" ref="D156:J156" si="80">D158-D157</f>
        <v>0</v>
      </c>
      <c r="E156" s="27">
        <f t="shared" si="80"/>
        <v>0</v>
      </c>
      <c r="F156" s="27">
        <f t="shared" si="80"/>
        <v>0</v>
      </c>
      <c r="G156" s="27">
        <f t="shared" si="80"/>
        <v>0</v>
      </c>
      <c r="H156" s="27">
        <f t="shared" si="80"/>
        <v>0</v>
      </c>
      <c r="I156" s="27">
        <f t="shared" si="80"/>
        <v>0</v>
      </c>
      <c r="J156" s="27">
        <f t="shared" si="80"/>
        <v>0</v>
      </c>
    </row>
    <row r="157" spans="1:27" hidden="1" outlineLevel="1" x14ac:dyDescent="0.2">
      <c r="B157" s="119"/>
      <c r="C157" s="9" t="s">
        <v>105</v>
      </c>
      <c r="D157" s="27">
        <f t="shared" ref="D157:J157" si="81">IF($B150&lt;&gt;0,ROUND(D158*INDEX(ServiceSplitRPBS,$B150),0),0)</f>
        <v>0</v>
      </c>
      <c r="E157" s="27">
        <f t="shared" si="81"/>
        <v>0</v>
      </c>
      <c r="F157" s="27">
        <f t="shared" si="81"/>
        <v>0</v>
      </c>
      <c r="G157" s="27">
        <f t="shared" si="81"/>
        <v>0</v>
      </c>
      <c r="H157" s="27">
        <f t="shared" si="81"/>
        <v>0</v>
      </c>
      <c r="I157" s="27">
        <f t="shared" si="81"/>
        <v>0</v>
      </c>
      <c r="J157" s="27">
        <f t="shared" si="81"/>
        <v>0</v>
      </c>
    </row>
    <row r="158" spans="1:27" hidden="1" outlineLevel="1" x14ac:dyDescent="0.2">
      <c r="B158" s="119"/>
      <c r="C158" s="78" t="s">
        <v>831</v>
      </c>
      <c r="D158" s="30">
        <f t="shared" ref="D158:J158" si="82">IF(D152="","",D155*D154*D152)</f>
        <v>0</v>
      </c>
      <c r="E158" s="30">
        <f t="shared" si="82"/>
        <v>0</v>
      </c>
      <c r="F158" s="30">
        <f t="shared" si="82"/>
        <v>0</v>
      </c>
      <c r="G158" s="30">
        <f t="shared" si="82"/>
        <v>0</v>
      </c>
      <c r="H158" s="30">
        <f t="shared" si="82"/>
        <v>0</v>
      </c>
      <c r="I158" s="30">
        <f t="shared" si="82"/>
        <v>0</v>
      </c>
      <c r="J158" s="30">
        <f t="shared" si="82"/>
        <v>0</v>
      </c>
    </row>
    <row r="159" spans="1:27" hidden="1" outlineLevel="1" x14ac:dyDescent="0.2">
      <c r="B159" s="119"/>
    </row>
    <row r="160" spans="1:27" collapsed="1" x14ac:dyDescent="0.2">
      <c r="B160" s="119"/>
    </row>
    <row r="161" spans="1:27" ht="15" x14ac:dyDescent="0.2">
      <c r="A161" s="22"/>
      <c r="B161" s="249">
        <v>6</v>
      </c>
      <c r="C161" s="129" t="str">
        <f>IF($I$97&lt;&gt;"",MsgNotUsed,INDEX(NamesOverallChanged,B161))</f>
        <v>** NOT USED **</v>
      </c>
      <c r="D161" s="123"/>
      <c r="E161" s="123"/>
      <c r="F161" s="123"/>
      <c r="G161" s="123"/>
      <c r="H161" s="117"/>
      <c r="I161" s="588" t="str">
        <f>IF(C161&lt;&gt;MsgNotUsed,"Co-payment group " &amp; INDEX(CoPayBandMS,B161),"")</f>
        <v/>
      </c>
      <c r="J161" s="588"/>
      <c r="K161" s="123"/>
      <c r="L161" s="123"/>
      <c r="M161" s="123"/>
      <c r="N161" s="123"/>
      <c r="O161" s="123"/>
      <c r="P161" s="123"/>
      <c r="Q161" s="123"/>
      <c r="R161" s="123"/>
      <c r="S161" s="123"/>
      <c r="T161" s="123"/>
      <c r="U161" s="22"/>
      <c r="V161" s="22"/>
      <c r="W161" s="22"/>
      <c r="X161" s="22"/>
      <c r="Y161" s="22"/>
      <c r="Z161" s="22"/>
      <c r="AA161" s="22"/>
    </row>
    <row r="162" spans="1:27" ht="15.75" hidden="1" outlineLevel="1" x14ac:dyDescent="0.2">
      <c r="A162" s="22"/>
      <c r="B162" s="65">
        <f>INDEX(CoPayBandMS,B161)</f>
        <v>0</v>
      </c>
      <c r="C162" s="454"/>
      <c r="D162" s="22"/>
      <c r="E162" s="22"/>
      <c r="F162" s="22"/>
      <c r="G162" s="22"/>
      <c r="H162" s="22"/>
      <c r="I162" s="22"/>
      <c r="J162" s="22"/>
      <c r="K162" s="22"/>
      <c r="L162" s="22"/>
      <c r="M162" s="22"/>
      <c r="N162" s="22"/>
      <c r="O162" s="22"/>
      <c r="P162" s="22"/>
      <c r="Q162" s="22"/>
      <c r="R162" s="22"/>
      <c r="S162" s="22"/>
      <c r="T162" s="22"/>
      <c r="U162" s="22"/>
      <c r="V162" s="22"/>
      <c r="W162" s="22"/>
      <c r="X162" s="22"/>
      <c r="Y162" s="22"/>
      <c r="Z162" s="22"/>
      <c r="AA162" s="22"/>
    </row>
    <row r="163" spans="1:27" ht="14.25" hidden="1" customHeight="1" outlineLevel="1" x14ac:dyDescent="0.2">
      <c r="B163" s="119"/>
      <c r="C163" s="488"/>
      <c r="D163" s="58">
        <f>E163-1</f>
        <v>2025</v>
      </c>
      <c r="E163" s="58">
        <f>FirstYear</f>
        <v>2026</v>
      </c>
      <c r="F163" s="58">
        <f>E163+1</f>
        <v>2027</v>
      </c>
      <c r="G163" s="58">
        <f>F163+1</f>
        <v>2028</v>
      </c>
      <c r="H163" s="58">
        <f>G163+1</f>
        <v>2029</v>
      </c>
      <c r="I163" s="58">
        <f>H163+1</f>
        <v>2030</v>
      </c>
      <c r="J163" s="58">
        <f>I163+1</f>
        <v>2031</v>
      </c>
      <c r="L163" s="260"/>
    </row>
    <row r="164" spans="1:27" hidden="1" outlineLevel="1" x14ac:dyDescent="0.2">
      <c r="B164" s="119"/>
      <c r="C164" s="2" t="s">
        <v>111</v>
      </c>
      <c r="D164" s="33">
        <f>IF($I$97="",-R55,0)</f>
        <v>0</v>
      </c>
      <c r="E164" s="33">
        <f t="shared" ref="E164:J164" si="83">IF(D164="","",D164*(1+D165))</f>
        <v>0</v>
      </c>
      <c r="F164" s="33">
        <f t="shared" si="83"/>
        <v>0</v>
      </c>
      <c r="G164" s="33">
        <f t="shared" si="83"/>
        <v>0</v>
      </c>
      <c r="H164" s="33">
        <f t="shared" si="83"/>
        <v>0</v>
      </c>
      <c r="I164" s="33">
        <f t="shared" si="83"/>
        <v>0</v>
      </c>
      <c r="J164" s="33">
        <f t="shared" si="83"/>
        <v>0</v>
      </c>
      <c r="L164" s="31" t="s">
        <v>249</v>
      </c>
      <c r="N164" s="260"/>
    </row>
    <row r="165" spans="1:27" hidden="1" outlineLevel="1" x14ac:dyDescent="0.2">
      <c r="B165" s="119"/>
      <c r="C165" s="7" t="s">
        <v>26</v>
      </c>
      <c r="D165" s="49"/>
      <c r="E165" s="49"/>
      <c r="F165" s="49"/>
      <c r="G165" s="49"/>
      <c r="H165" s="49"/>
      <c r="I165" s="49"/>
      <c r="J165" s="28"/>
      <c r="L165" s="589"/>
      <c r="M165" s="590"/>
      <c r="N165" s="590"/>
      <c r="O165" s="590"/>
      <c r="P165" s="590"/>
      <c r="Q165" s="590"/>
      <c r="R165" s="590"/>
      <c r="S165" s="590"/>
      <c r="T165" s="590"/>
    </row>
    <row r="166" spans="1:27" hidden="1" outlineLevel="1" x14ac:dyDescent="0.2">
      <c r="B166" s="119"/>
      <c r="C166" s="7" t="s">
        <v>33</v>
      </c>
      <c r="D166" s="49"/>
      <c r="E166" s="49"/>
      <c r="F166" s="49"/>
      <c r="G166" s="49"/>
      <c r="H166" s="49"/>
      <c r="I166" s="49"/>
      <c r="J166" s="49"/>
      <c r="L166" s="589"/>
      <c r="M166" s="590"/>
      <c r="N166" s="590"/>
      <c r="O166" s="590"/>
      <c r="P166" s="590"/>
      <c r="Q166" s="590"/>
      <c r="R166" s="590"/>
      <c r="S166" s="590"/>
      <c r="T166" s="590"/>
    </row>
    <row r="167" spans="1:27" hidden="1" outlineLevel="1" x14ac:dyDescent="0.2">
      <c r="B167" s="119"/>
      <c r="C167" s="59" t="str">
        <f>"Proportion " &amp; IF(MarketImpact=0,"affected by","affected") &amp; " the proposed medicine"</f>
        <v>Proportion affected the proposed medicine</v>
      </c>
      <c r="D167" s="49"/>
      <c r="E167" s="49"/>
      <c r="F167" s="49"/>
      <c r="G167" s="49"/>
      <c r="H167" s="49"/>
      <c r="I167" s="49"/>
      <c r="J167" s="49"/>
      <c r="L167" s="589"/>
      <c r="M167" s="590"/>
      <c r="N167" s="590"/>
      <c r="O167" s="590"/>
      <c r="P167" s="590"/>
      <c r="Q167" s="590"/>
      <c r="R167" s="590"/>
      <c r="S167" s="590"/>
      <c r="T167" s="590"/>
    </row>
    <row r="168" spans="1:27" hidden="1" outlineLevel="1" x14ac:dyDescent="0.2">
      <c r="B168" s="119"/>
      <c r="C168" s="9" t="s">
        <v>104</v>
      </c>
      <c r="D168" s="27">
        <f t="shared" ref="D168:J168" si="84">D170-D169</f>
        <v>0</v>
      </c>
      <c r="E168" s="27">
        <f t="shared" si="84"/>
        <v>0</v>
      </c>
      <c r="F168" s="27">
        <f t="shared" si="84"/>
        <v>0</v>
      </c>
      <c r="G168" s="27">
        <f t="shared" si="84"/>
        <v>0</v>
      </c>
      <c r="H168" s="27">
        <f t="shared" si="84"/>
        <v>0</v>
      </c>
      <c r="I168" s="27">
        <f t="shared" si="84"/>
        <v>0</v>
      </c>
      <c r="J168" s="27">
        <f t="shared" si="84"/>
        <v>0</v>
      </c>
    </row>
    <row r="169" spans="1:27" hidden="1" outlineLevel="1" x14ac:dyDescent="0.2">
      <c r="B169" s="119"/>
      <c r="C169" s="9" t="s">
        <v>105</v>
      </c>
      <c r="D169" s="27">
        <f t="shared" ref="D169:J169" si="85">IF($B162&lt;&gt;0,ROUND(D170*INDEX(ServiceSplitRPBS,$B162),0),0)</f>
        <v>0</v>
      </c>
      <c r="E169" s="27">
        <f t="shared" si="85"/>
        <v>0</v>
      </c>
      <c r="F169" s="27">
        <f t="shared" si="85"/>
        <v>0</v>
      </c>
      <c r="G169" s="27">
        <f t="shared" si="85"/>
        <v>0</v>
      </c>
      <c r="H169" s="27">
        <f t="shared" si="85"/>
        <v>0</v>
      </c>
      <c r="I169" s="27">
        <f t="shared" si="85"/>
        <v>0</v>
      </c>
      <c r="J169" s="27">
        <f t="shared" si="85"/>
        <v>0</v>
      </c>
    </row>
    <row r="170" spans="1:27" hidden="1" outlineLevel="1" x14ac:dyDescent="0.2">
      <c r="B170" s="119"/>
      <c r="C170" s="78" t="s">
        <v>831</v>
      </c>
      <c r="D170" s="30">
        <f t="shared" ref="D170:J170" si="86">IF(D164="","",D167*D166*D164)</f>
        <v>0</v>
      </c>
      <c r="E170" s="30">
        <f t="shared" si="86"/>
        <v>0</v>
      </c>
      <c r="F170" s="30">
        <f t="shared" si="86"/>
        <v>0</v>
      </c>
      <c r="G170" s="30">
        <f t="shared" si="86"/>
        <v>0</v>
      </c>
      <c r="H170" s="30">
        <f t="shared" si="86"/>
        <v>0</v>
      </c>
      <c r="I170" s="30">
        <f t="shared" si="86"/>
        <v>0</v>
      </c>
      <c r="J170" s="30">
        <f t="shared" si="86"/>
        <v>0</v>
      </c>
    </row>
    <row r="171" spans="1:27" hidden="1" outlineLevel="1" x14ac:dyDescent="0.2">
      <c r="B171" s="119"/>
    </row>
    <row r="172" spans="1:27" collapsed="1" x14ac:dyDescent="0.2">
      <c r="B172" s="119"/>
    </row>
    <row r="173" spans="1:27" ht="15" x14ac:dyDescent="0.2">
      <c r="A173" s="22"/>
      <c r="B173" s="249">
        <v>7</v>
      </c>
      <c r="C173" s="129" t="str">
        <f>IF($I$97&lt;&gt;"",MsgNotUsed,INDEX(NamesOverallChanged,B173))</f>
        <v>** NOT USED **</v>
      </c>
      <c r="D173" s="123"/>
      <c r="E173" s="123"/>
      <c r="F173" s="123"/>
      <c r="G173" s="123"/>
      <c r="H173" s="117"/>
      <c r="I173" s="588" t="str">
        <f>IF(C173&lt;&gt;MsgNotUsed,"Co-payment group " &amp; INDEX(CoPayBandMS,B173),"")</f>
        <v/>
      </c>
      <c r="J173" s="588"/>
      <c r="K173" s="123"/>
      <c r="L173" s="123"/>
      <c r="M173" s="123"/>
      <c r="N173" s="123"/>
      <c r="O173" s="123"/>
      <c r="P173" s="123"/>
      <c r="Q173" s="123"/>
      <c r="R173" s="123"/>
      <c r="S173" s="123"/>
      <c r="T173" s="123"/>
      <c r="U173" s="22"/>
      <c r="V173" s="22"/>
      <c r="W173" s="22"/>
      <c r="X173" s="22"/>
      <c r="Y173" s="22"/>
      <c r="Z173" s="22"/>
      <c r="AA173" s="22"/>
    </row>
    <row r="174" spans="1:27" ht="15.75" hidden="1" outlineLevel="1" x14ac:dyDescent="0.2">
      <c r="A174" s="22"/>
      <c r="B174" s="65">
        <f>INDEX(CoPayBandMS,B173)</f>
        <v>0</v>
      </c>
      <c r="C174" s="454"/>
      <c r="D174" s="22"/>
      <c r="E174" s="22"/>
      <c r="F174" s="22"/>
      <c r="G174" s="22"/>
      <c r="H174" s="22"/>
      <c r="I174" s="22"/>
      <c r="J174" s="22"/>
      <c r="K174" s="22"/>
      <c r="L174" s="22"/>
      <c r="M174" s="22"/>
      <c r="N174" s="22"/>
      <c r="O174" s="22"/>
      <c r="P174" s="22"/>
      <c r="Q174" s="22"/>
      <c r="R174" s="22"/>
      <c r="S174" s="22"/>
      <c r="T174" s="22"/>
      <c r="U174" s="22"/>
      <c r="V174" s="22"/>
      <c r="W174" s="22"/>
      <c r="X174" s="22"/>
      <c r="Y174" s="22"/>
      <c r="Z174" s="22"/>
      <c r="AA174" s="22"/>
    </row>
    <row r="175" spans="1:27" ht="14.25" hidden="1" customHeight="1" outlineLevel="1" x14ac:dyDescent="0.2">
      <c r="B175" s="119"/>
      <c r="C175" s="488"/>
      <c r="D175" s="58">
        <f>E175-1</f>
        <v>2025</v>
      </c>
      <c r="E175" s="58">
        <f>FirstYear</f>
        <v>2026</v>
      </c>
      <c r="F175" s="58">
        <f>E175+1</f>
        <v>2027</v>
      </c>
      <c r="G175" s="58">
        <f>F175+1</f>
        <v>2028</v>
      </c>
      <c r="H175" s="58">
        <f>G175+1</f>
        <v>2029</v>
      </c>
      <c r="I175" s="58">
        <f>H175+1</f>
        <v>2030</v>
      </c>
      <c r="J175" s="58">
        <f>I175+1</f>
        <v>2031</v>
      </c>
      <c r="L175" s="260"/>
    </row>
    <row r="176" spans="1:27" hidden="1" outlineLevel="1" x14ac:dyDescent="0.2">
      <c r="B176" s="119"/>
      <c r="C176" s="2" t="s">
        <v>111</v>
      </c>
      <c r="D176" s="33">
        <f>IF($I$97="",-R56,0)</f>
        <v>0</v>
      </c>
      <c r="E176" s="33">
        <f t="shared" ref="E176:J176" si="87">IF(D176="","",D176*(1+D177))</f>
        <v>0</v>
      </c>
      <c r="F176" s="33">
        <f t="shared" si="87"/>
        <v>0</v>
      </c>
      <c r="G176" s="33">
        <f t="shared" si="87"/>
        <v>0</v>
      </c>
      <c r="H176" s="33">
        <f t="shared" si="87"/>
        <v>0</v>
      </c>
      <c r="I176" s="33">
        <f t="shared" si="87"/>
        <v>0</v>
      </c>
      <c r="J176" s="33">
        <f t="shared" si="87"/>
        <v>0</v>
      </c>
      <c r="L176" s="31" t="s">
        <v>249</v>
      </c>
      <c r="N176" s="260"/>
    </row>
    <row r="177" spans="1:27" hidden="1" outlineLevel="1" x14ac:dyDescent="0.2">
      <c r="B177" s="119"/>
      <c r="C177" s="7" t="s">
        <v>26</v>
      </c>
      <c r="D177" s="49"/>
      <c r="E177" s="49"/>
      <c r="F177" s="49"/>
      <c r="G177" s="49"/>
      <c r="H177" s="49"/>
      <c r="I177" s="49"/>
      <c r="J177" s="28"/>
      <c r="L177" s="589"/>
      <c r="M177" s="590"/>
      <c r="N177" s="590"/>
      <c r="O177" s="590"/>
      <c r="P177" s="590"/>
      <c r="Q177" s="590"/>
      <c r="R177" s="590"/>
      <c r="S177" s="590"/>
      <c r="T177" s="590"/>
    </row>
    <row r="178" spans="1:27" hidden="1" outlineLevel="1" x14ac:dyDescent="0.2">
      <c r="B178" s="119"/>
      <c r="C178" s="7" t="s">
        <v>33</v>
      </c>
      <c r="D178" s="49"/>
      <c r="E178" s="49"/>
      <c r="F178" s="49"/>
      <c r="G178" s="49"/>
      <c r="H178" s="49"/>
      <c r="I178" s="49"/>
      <c r="J178" s="49"/>
      <c r="L178" s="589"/>
      <c r="M178" s="590"/>
      <c r="N178" s="590"/>
      <c r="O178" s="590"/>
      <c r="P178" s="590"/>
      <c r="Q178" s="590"/>
      <c r="R178" s="590"/>
      <c r="S178" s="590"/>
      <c r="T178" s="590"/>
    </row>
    <row r="179" spans="1:27" hidden="1" outlineLevel="1" x14ac:dyDescent="0.2">
      <c r="B179" s="119"/>
      <c r="C179" s="59" t="str">
        <f>"Proportion " &amp; IF(MarketImpact=0,"affected by","affected") &amp; " the proposed medicine"</f>
        <v>Proportion affected the proposed medicine</v>
      </c>
      <c r="D179" s="49"/>
      <c r="E179" s="49"/>
      <c r="F179" s="49"/>
      <c r="G179" s="49"/>
      <c r="H179" s="49"/>
      <c r="I179" s="49"/>
      <c r="J179" s="49"/>
      <c r="L179" s="589"/>
      <c r="M179" s="590"/>
      <c r="N179" s="590"/>
      <c r="O179" s="590"/>
      <c r="P179" s="590"/>
      <c r="Q179" s="590"/>
      <c r="R179" s="590"/>
      <c r="S179" s="590"/>
      <c r="T179" s="590"/>
    </row>
    <row r="180" spans="1:27" hidden="1" outlineLevel="1" x14ac:dyDescent="0.2">
      <c r="B180" s="119"/>
      <c r="C180" s="9" t="s">
        <v>104</v>
      </c>
      <c r="D180" s="27">
        <f t="shared" ref="D180:J180" si="88">D182-D181</f>
        <v>0</v>
      </c>
      <c r="E180" s="27">
        <f t="shared" si="88"/>
        <v>0</v>
      </c>
      <c r="F180" s="27">
        <f t="shared" si="88"/>
        <v>0</v>
      </c>
      <c r="G180" s="27">
        <f t="shared" si="88"/>
        <v>0</v>
      </c>
      <c r="H180" s="27">
        <f t="shared" si="88"/>
        <v>0</v>
      </c>
      <c r="I180" s="27">
        <f t="shared" si="88"/>
        <v>0</v>
      </c>
      <c r="J180" s="27">
        <f t="shared" si="88"/>
        <v>0</v>
      </c>
    </row>
    <row r="181" spans="1:27" hidden="1" outlineLevel="1" x14ac:dyDescent="0.2">
      <c r="B181" s="119"/>
      <c r="C181" s="9" t="s">
        <v>105</v>
      </c>
      <c r="D181" s="27">
        <f t="shared" ref="D181:J181" si="89">IF($B174&lt;&gt;0,ROUND(D182*INDEX(ServiceSplitRPBS,$B174),0),0)</f>
        <v>0</v>
      </c>
      <c r="E181" s="27">
        <f t="shared" si="89"/>
        <v>0</v>
      </c>
      <c r="F181" s="27">
        <f t="shared" si="89"/>
        <v>0</v>
      </c>
      <c r="G181" s="27">
        <f t="shared" si="89"/>
        <v>0</v>
      </c>
      <c r="H181" s="27">
        <f t="shared" si="89"/>
        <v>0</v>
      </c>
      <c r="I181" s="27">
        <f t="shared" si="89"/>
        <v>0</v>
      </c>
      <c r="J181" s="27">
        <f t="shared" si="89"/>
        <v>0</v>
      </c>
    </row>
    <row r="182" spans="1:27" hidden="1" outlineLevel="1" x14ac:dyDescent="0.2">
      <c r="B182" s="119"/>
      <c r="C182" s="78" t="s">
        <v>831</v>
      </c>
      <c r="D182" s="30">
        <f t="shared" ref="D182:J182" si="90">IF(D176="","",D179*D178*D176)</f>
        <v>0</v>
      </c>
      <c r="E182" s="30">
        <f t="shared" si="90"/>
        <v>0</v>
      </c>
      <c r="F182" s="30">
        <f t="shared" si="90"/>
        <v>0</v>
      </c>
      <c r="G182" s="30">
        <f t="shared" si="90"/>
        <v>0</v>
      </c>
      <c r="H182" s="30">
        <f t="shared" si="90"/>
        <v>0</v>
      </c>
      <c r="I182" s="30">
        <f t="shared" si="90"/>
        <v>0</v>
      </c>
      <c r="J182" s="30">
        <f t="shared" si="90"/>
        <v>0</v>
      </c>
    </row>
    <row r="183" spans="1:27" hidden="1" outlineLevel="1" x14ac:dyDescent="0.2">
      <c r="B183" s="119"/>
    </row>
    <row r="184" spans="1:27" collapsed="1" x14ac:dyDescent="0.2">
      <c r="B184" s="119"/>
    </row>
    <row r="185" spans="1:27" ht="15" x14ac:dyDescent="0.2">
      <c r="A185" s="22"/>
      <c r="B185" s="249">
        <v>8</v>
      </c>
      <c r="C185" s="129" t="str">
        <f>IF($I$97&lt;&gt;"",MsgNotUsed,INDEX(NamesOverallChanged,B185))</f>
        <v>** NOT USED **</v>
      </c>
      <c r="D185" s="123"/>
      <c r="E185" s="123"/>
      <c r="F185" s="123"/>
      <c r="G185" s="123"/>
      <c r="H185" s="117"/>
      <c r="I185" s="588" t="str">
        <f>IF(C185&lt;&gt;MsgNotUsed,"Co-payment group " &amp; INDEX(CoPayBandMS,B185),"")</f>
        <v/>
      </c>
      <c r="J185" s="588"/>
      <c r="K185" s="123"/>
      <c r="L185" s="123"/>
      <c r="M185" s="123"/>
      <c r="N185" s="123"/>
      <c r="O185" s="123"/>
      <c r="P185" s="123"/>
      <c r="Q185" s="123"/>
      <c r="R185" s="123"/>
      <c r="S185" s="123"/>
      <c r="T185" s="123"/>
      <c r="U185" s="22"/>
      <c r="V185" s="22"/>
      <c r="W185" s="22"/>
      <c r="X185" s="22"/>
      <c r="Y185" s="22"/>
      <c r="Z185" s="22"/>
      <c r="AA185" s="22"/>
    </row>
    <row r="186" spans="1:27" ht="15.75" hidden="1" outlineLevel="1" x14ac:dyDescent="0.2">
      <c r="A186" s="22"/>
      <c r="B186" s="65">
        <f>INDEX(CoPayBandMS,B185)</f>
        <v>0</v>
      </c>
      <c r="C186" s="454"/>
      <c r="D186" s="22"/>
      <c r="E186" s="22"/>
      <c r="F186" s="22"/>
      <c r="G186" s="22"/>
      <c r="H186" s="22"/>
      <c r="I186" s="22"/>
      <c r="J186" s="22"/>
      <c r="K186" s="22"/>
      <c r="L186" s="22"/>
      <c r="M186" s="22"/>
      <c r="N186" s="22"/>
      <c r="O186" s="22"/>
      <c r="P186" s="22"/>
      <c r="Q186" s="22"/>
      <c r="R186" s="22"/>
      <c r="S186" s="22"/>
      <c r="T186" s="22"/>
      <c r="U186" s="22"/>
      <c r="V186" s="22"/>
      <c r="W186" s="22"/>
      <c r="X186" s="22"/>
      <c r="Y186" s="22"/>
      <c r="Z186" s="22"/>
      <c r="AA186" s="22"/>
    </row>
    <row r="187" spans="1:27" ht="14.25" hidden="1" customHeight="1" outlineLevel="1" x14ac:dyDescent="0.2">
      <c r="B187" s="119"/>
      <c r="C187" s="488"/>
      <c r="D187" s="58">
        <f>E187-1</f>
        <v>2025</v>
      </c>
      <c r="E187" s="58">
        <f>FirstYear</f>
        <v>2026</v>
      </c>
      <c r="F187" s="58">
        <f>E187+1</f>
        <v>2027</v>
      </c>
      <c r="G187" s="58">
        <f>F187+1</f>
        <v>2028</v>
      </c>
      <c r="H187" s="58">
        <f>G187+1</f>
        <v>2029</v>
      </c>
      <c r="I187" s="58">
        <f>H187+1</f>
        <v>2030</v>
      </c>
      <c r="J187" s="58">
        <f>I187+1</f>
        <v>2031</v>
      </c>
      <c r="L187" s="260"/>
    </row>
    <row r="188" spans="1:27" hidden="1" outlineLevel="1" x14ac:dyDescent="0.2">
      <c r="B188" s="119"/>
      <c r="C188" s="2" t="s">
        <v>111</v>
      </c>
      <c r="D188" s="33">
        <f>IF($I$97="",-R57,0)</f>
        <v>0</v>
      </c>
      <c r="E188" s="33">
        <f t="shared" ref="E188:J188" si="91">IF(D188="","",D188*(1+D189))</f>
        <v>0</v>
      </c>
      <c r="F188" s="33">
        <f t="shared" si="91"/>
        <v>0</v>
      </c>
      <c r="G188" s="33">
        <f t="shared" si="91"/>
        <v>0</v>
      </c>
      <c r="H188" s="33">
        <f t="shared" si="91"/>
        <v>0</v>
      </c>
      <c r="I188" s="33">
        <f t="shared" si="91"/>
        <v>0</v>
      </c>
      <c r="J188" s="33">
        <f t="shared" si="91"/>
        <v>0</v>
      </c>
      <c r="L188" s="31" t="s">
        <v>249</v>
      </c>
      <c r="N188" s="260"/>
    </row>
    <row r="189" spans="1:27" hidden="1" outlineLevel="1" x14ac:dyDescent="0.2">
      <c r="B189" s="119"/>
      <c r="C189" s="7" t="s">
        <v>26</v>
      </c>
      <c r="D189" s="49"/>
      <c r="E189" s="49"/>
      <c r="F189" s="49"/>
      <c r="G189" s="49"/>
      <c r="H189" s="49"/>
      <c r="I189" s="49"/>
      <c r="J189" s="28"/>
      <c r="L189" s="589"/>
      <c r="M189" s="590"/>
      <c r="N189" s="590"/>
      <c r="O189" s="590"/>
      <c r="P189" s="590"/>
      <c r="Q189" s="590"/>
      <c r="R189" s="590"/>
      <c r="S189" s="590"/>
      <c r="T189" s="590"/>
    </row>
    <row r="190" spans="1:27" hidden="1" outlineLevel="1" x14ac:dyDescent="0.2">
      <c r="B190" s="119"/>
      <c r="C190" s="7" t="s">
        <v>33</v>
      </c>
      <c r="D190" s="49"/>
      <c r="E190" s="49"/>
      <c r="F190" s="49"/>
      <c r="G190" s="49"/>
      <c r="H190" s="49"/>
      <c r="I190" s="49"/>
      <c r="J190" s="49"/>
      <c r="L190" s="589"/>
      <c r="M190" s="590"/>
      <c r="N190" s="590"/>
      <c r="O190" s="590"/>
      <c r="P190" s="590"/>
      <c r="Q190" s="590"/>
      <c r="R190" s="590"/>
      <c r="S190" s="590"/>
      <c r="T190" s="590"/>
    </row>
    <row r="191" spans="1:27" hidden="1" outlineLevel="1" x14ac:dyDescent="0.2">
      <c r="B191" s="119"/>
      <c r="C191" s="59" t="str">
        <f>"Proportion " &amp; IF(MarketImpact=0,"affected by","affected") &amp; " the proposed medicine"</f>
        <v>Proportion affected the proposed medicine</v>
      </c>
      <c r="D191" s="49"/>
      <c r="E191" s="49"/>
      <c r="F191" s="49"/>
      <c r="G191" s="49"/>
      <c r="H191" s="49"/>
      <c r="I191" s="49"/>
      <c r="J191" s="49"/>
      <c r="L191" s="589"/>
      <c r="M191" s="590"/>
      <c r="N191" s="590"/>
      <c r="O191" s="590"/>
      <c r="P191" s="590"/>
      <c r="Q191" s="590"/>
      <c r="R191" s="590"/>
      <c r="S191" s="590"/>
      <c r="T191" s="590"/>
    </row>
    <row r="192" spans="1:27" hidden="1" outlineLevel="1" x14ac:dyDescent="0.2">
      <c r="B192" s="119"/>
      <c r="C192" s="9" t="s">
        <v>104</v>
      </c>
      <c r="D192" s="27">
        <f t="shared" ref="D192:J192" si="92">D194-D193</f>
        <v>0</v>
      </c>
      <c r="E192" s="27">
        <f t="shared" si="92"/>
        <v>0</v>
      </c>
      <c r="F192" s="27">
        <f t="shared" si="92"/>
        <v>0</v>
      </c>
      <c r="G192" s="27">
        <f t="shared" si="92"/>
        <v>0</v>
      </c>
      <c r="H192" s="27">
        <f t="shared" si="92"/>
        <v>0</v>
      </c>
      <c r="I192" s="27">
        <f t="shared" si="92"/>
        <v>0</v>
      </c>
      <c r="J192" s="27">
        <f t="shared" si="92"/>
        <v>0</v>
      </c>
    </row>
    <row r="193" spans="1:27" hidden="1" outlineLevel="1" x14ac:dyDescent="0.2">
      <c r="B193" s="119"/>
      <c r="C193" s="9" t="s">
        <v>105</v>
      </c>
      <c r="D193" s="27">
        <f t="shared" ref="D193:J193" si="93">IF($B186&lt;&gt;0,ROUND(D194*INDEX(ServiceSplitRPBS,$B186),0),0)</f>
        <v>0</v>
      </c>
      <c r="E193" s="27">
        <f t="shared" si="93"/>
        <v>0</v>
      </c>
      <c r="F193" s="27">
        <f t="shared" si="93"/>
        <v>0</v>
      </c>
      <c r="G193" s="27">
        <f t="shared" si="93"/>
        <v>0</v>
      </c>
      <c r="H193" s="27">
        <f t="shared" si="93"/>
        <v>0</v>
      </c>
      <c r="I193" s="27">
        <f t="shared" si="93"/>
        <v>0</v>
      </c>
      <c r="J193" s="27">
        <f t="shared" si="93"/>
        <v>0</v>
      </c>
    </row>
    <row r="194" spans="1:27" hidden="1" outlineLevel="1" x14ac:dyDescent="0.2">
      <c r="B194" s="119"/>
      <c r="C194" s="78" t="s">
        <v>831</v>
      </c>
      <c r="D194" s="30">
        <f t="shared" ref="D194:J194" si="94">IF(D188="","",D191*D190*D188)</f>
        <v>0</v>
      </c>
      <c r="E194" s="30">
        <f t="shared" si="94"/>
        <v>0</v>
      </c>
      <c r="F194" s="30">
        <f t="shared" si="94"/>
        <v>0</v>
      </c>
      <c r="G194" s="30">
        <f t="shared" si="94"/>
        <v>0</v>
      </c>
      <c r="H194" s="30">
        <f t="shared" si="94"/>
        <v>0</v>
      </c>
      <c r="I194" s="30">
        <f t="shared" si="94"/>
        <v>0</v>
      </c>
      <c r="J194" s="30">
        <f t="shared" si="94"/>
        <v>0</v>
      </c>
    </row>
    <row r="195" spans="1:27" hidden="1" outlineLevel="1" x14ac:dyDescent="0.2">
      <c r="B195" s="119"/>
    </row>
    <row r="196" spans="1:27" collapsed="1" x14ac:dyDescent="0.2">
      <c r="B196" s="119"/>
    </row>
    <row r="197" spans="1:27" ht="15" x14ac:dyDescent="0.2">
      <c r="A197" s="22"/>
      <c r="B197" s="249">
        <v>9</v>
      </c>
      <c r="C197" s="129" t="str">
        <f>IF($I$97&lt;&gt;"",MsgNotUsed,INDEX(NamesOverallChanged,B197))</f>
        <v>** NOT USED **</v>
      </c>
      <c r="D197" s="123"/>
      <c r="E197" s="123"/>
      <c r="F197" s="123"/>
      <c r="G197" s="123"/>
      <c r="H197" s="117"/>
      <c r="I197" s="588" t="str">
        <f>IF(C197&lt;&gt;MsgNotUsed,"Co-payment group " &amp; INDEX(CoPayBandMS,B197),"")</f>
        <v/>
      </c>
      <c r="J197" s="588"/>
      <c r="K197" s="123"/>
      <c r="L197" s="123"/>
      <c r="M197" s="123"/>
      <c r="N197" s="123"/>
      <c r="O197" s="123"/>
      <c r="P197" s="123"/>
      <c r="Q197" s="123"/>
      <c r="R197" s="123"/>
      <c r="S197" s="123"/>
      <c r="T197" s="123"/>
      <c r="U197" s="22"/>
      <c r="V197" s="22"/>
      <c r="W197" s="22"/>
      <c r="X197" s="22"/>
      <c r="Y197" s="22"/>
      <c r="Z197" s="22"/>
      <c r="AA197" s="22"/>
    </row>
    <row r="198" spans="1:27" ht="15.75" hidden="1" outlineLevel="1" x14ac:dyDescent="0.2">
      <c r="A198" s="22"/>
      <c r="B198" s="65">
        <f>INDEX(CoPayBandMS,B197)</f>
        <v>0</v>
      </c>
      <c r="C198" s="454"/>
      <c r="D198" s="22"/>
      <c r="E198" s="22"/>
      <c r="F198" s="22"/>
      <c r="G198" s="22"/>
      <c r="H198" s="22"/>
      <c r="I198" s="22"/>
      <c r="J198" s="22"/>
      <c r="K198" s="22"/>
      <c r="L198" s="22"/>
      <c r="M198" s="22"/>
      <c r="N198" s="22"/>
      <c r="O198" s="22"/>
      <c r="P198" s="22"/>
      <c r="Q198" s="22"/>
      <c r="R198" s="22"/>
      <c r="S198" s="22"/>
      <c r="T198" s="22"/>
      <c r="U198" s="22"/>
      <c r="V198" s="22"/>
      <c r="W198" s="22"/>
      <c r="X198" s="22"/>
      <c r="Y198" s="22"/>
      <c r="Z198" s="22"/>
      <c r="AA198" s="22"/>
    </row>
    <row r="199" spans="1:27" ht="14.25" hidden="1" customHeight="1" outlineLevel="1" x14ac:dyDescent="0.2">
      <c r="B199" s="119"/>
      <c r="C199" s="488"/>
      <c r="D199" s="58">
        <f>E199-1</f>
        <v>2025</v>
      </c>
      <c r="E199" s="58">
        <f>FirstYear</f>
        <v>2026</v>
      </c>
      <c r="F199" s="58">
        <f>E199+1</f>
        <v>2027</v>
      </c>
      <c r="G199" s="58">
        <f>F199+1</f>
        <v>2028</v>
      </c>
      <c r="H199" s="58">
        <f>G199+1</f>
        <v>2029</v>
      </c>
      <c r="I199" s="58">
        <f>H199+1</f>
        <v>2030</v>
      </c>
      <c r="J199" s="58">
        <f>I199+1</f>
        <v>2031</v>
      </c>
      <c r="L199" s="260"/>
    </row>
    <row r="200" spans="1:27" hidden="1" outlineLevel="1" x14ac:dyDescent="0.2">
      <c r="B200" s="119"/>
      <c r="C200" s="2" t="s">
        <v>111</v>
      </c>
      <c r="D200" s="33">
        <f>IF($I$97="",-R58,0)</f>
        <v>0</v>
      </c>
      <c r="E200" s="33">
        <f t="shared" ref="E200:J200" si="95">IF(D200="","",D200*(1+D201))</f>
        <v>0</v>
      </c>
      <c r="F200" s="33">
        <f t="shared" si="95"/>
        <v>0</v>
      </c>
      <c r="G200" s="33">
        <f t="shared" si="95"/>
        <v>0</v>
      </c>
      <c r="H200" s="33">
        <f t="shared" si="95"/>
        <v>0</v>
      </c>
      <c r="I200" s="33">
        <f t="shared" si="95"/>
        <v>0</v>
      </c>
      <c r="J200" s="33">
        <f t="shared" si="95"/>
        <v>0</v>
      </c>
      <c r="L200" s="31" t="s">
        <v>249</v>
      </c>
      <c r="N200" s="260"/>
    </row>
    <row r="201" spans="1:27" hidden="1" outlineLevel="1" x14ac:dyDescent="0.2">
      <c r="B201" s="119"/>
      <c r="C201" s="7" t="s">
        <v>26</v>
      </c>
      <c r="D201" s="49"/>
      <c r="E201" s="49"/>
      <c r="F201" s="49"/>
      <c r="G201" s="49"/>
      <c r="H201" s="49"/>
      <c r="I201" s="49"/>
      <c r="J201" s="28"/>
      <c r="L201" s="589"/>
      <c r="M201" s="590"/>
      <c r="N201" s="590"/>
      <c r="O201" s="590"/>
      <c r="P201" s="590"/>
      <c r="Q201" s="590"/>
      <c r="R201" s="590"/>
      <c r="S201" s="590"/>
      <c r="T201" s="590"/>
    </row>
    <row r="202" spans="1:27" hidden="1" outlineLevel="1" x14ac:dyDescent="0.2">
      <c r="B202" s="119"/>
      <c r="C202" s="7" t="s">
        <v>33</v>
      </c>
      <c r="D202" s="49"/>
      <c r="E202" s="49"/>
      <c r="F202" s="49"/>
      <c r="G202" s="49"/>
      <c r="H202" s="49"/>
      <c r="I202" s="49"/>
      <c r="J202" s="49"/>
      <c r="L202" s="589"/>
      <c r="M202" s="590"/>
      <c r="N202" s="590"/>
      <c r="O202" s="590"/>
      <c r="P202" s="590"/>
      <c r="Q202" s="590"/>
      <c r="R202" s="590"/>
      <c r="S202" s="590"/>
      <c r="T202" s="590"/>
    </row>
    <row r="203" spans="1:27" hidden="1" outlineLevel="1" x14ac:dyDescent="0.2">
      <c r="B203" s="119"/>
      <c r="C203" s="59" t="str">
        <f>"Proportion " &amp; IF(MarketImpact=0,"affected by","affected") &amp; " the proposed medicine"</f>
        <v>Proportion affected the proposed medicine</v>
      </c>
      <c r="D203" s="49"/>
      <c r="E203" s="49"/>
      <c r="F203" s="49"/>
      <c r="G203" s="49"/>
      <c r="H203" s="49"/>
      <c r="I203" s="49"/>
      <c r="J203" s="49"/>
      <c r="L203" s="589"/>
      <c r="M203" s="590"/>
      <c r="N203" s="590"/>
      <c r="O203" s="590"/>
      <c r="P203" s="590"/>
      <c r="Q203" s="590"/>
      <c r="R203" s="590"/>
      <c r="S203" s="590"/>
      <c r="T203" s="590"/>
    </row>
    <row r="204" spans="1:27" hidden="1" outlineLevel="1" x14ac:dyDescent="0.2">
      <c r="B204" s="119"/>
      <c r="C204" s="9" t="s">
        <v>104</v>
      </c>
      <c r="D204" s="27">
        <f t="shared" ref="D204:J204" si="96">D206-D205</f>
        <v>0</v>
      </c>
      <c r="E204" s="27">
        <f t="shared" si="96"/>
        <v>0</v>
      </c>
      <c r="F204" s="27">
        <f t="shared" si="96"/>
        <v>0</v>
      </c>
      <c r="G204" s="27">
        <f t="shared" si="96"/>
        <v>0</v>
      </c>
      <c r="H204" s="27">
        <f t="shared" si="96"/>
        <v>0</v>
      </c>
      <c r="I204" s="27">
        <f t="shared" si="96"/>
        <v>0</v>
      </c>
      <c r="J204" s="27">
        <f t="shared" si="96"/>
        <v>0</v>
      </c>
    </row>
    <row r="205" spans="1:27" hidden="1" outlineLevel="1" x14ac:dyDescent="0.2">
      <c r="B205" s="119"/>
      <c r="C205" s="9" t="s">
        <v>105</v>
      </c>
      <c r="D205" s="27">
        <f t="shared" ref="D205:J205" si="97">IF($B198&lt;&gt;0,ROUND(D206*INDEX(ServiceSplitRPBS,$B198),0),0)</f>
        <v>0</v>
      </c>
      <c r="E205" s="27">
        <f t="shared" si="97"/>
        <v>0</v>
      </c>
      <c r="F205" s="27">
        <f t="shared" si="97"/>
        <v>0</v>
      </c>
      <c r="G205" s="27">
        <f t="shared" si="97"/>
        <v>0</v>
      </c>
      <c r="H205" s="27">
        <f t="shared" si="97"/>
        <v>0</v>
      </c>
      <c r="I205" s="27">
        <f t="shared" si="97"/>
        <v>0</v>
      </c>
      <c r="J205" s="27">
        <f t="shared" si="97"/>
        <v>0</v>
      </c>
    </row>
    <row r="206" spans="1:27" hidden="1" outlineLevel="1" x14ac:dyDescent="0.2">
      <c r="B206" s="119"/>
      <c r="C206" s="78" t="s">
        <v>831</v>
      </c>
      <c r="D206" s="30">
        <f t="shared" ref="D206:J206" si="98">IF(D200="","",D203*D202*D200)</f>
        <v>0</v>
      </c>
      <c r="E206" s="30">
        <f t="shared" si="98"/>
        <v>0</v>
      </c>
      <c r="F206" s="30">
        <f t="shared" si="98"/>
        <v>0</v>
      </c>
      <c r="G206" s="30">
        <f t="shared" si="98"/>
        <v>0</v>
      </c>
      <c r="H206" s="30">
        <f t="shared" si="98"/>
        <v>0</v>
      </c>
      <c r="I206" s="30">
        <f t="shared" si="98"/>
        <v>0</v>
      </c>
      <c r="J206" s="30">
        <f t="shared" si="98"/>
        <v>0</v>
      </c>
    </row>
    <row r="207" spans="1:27" hidden="1" outlineLevel="1" x14ac:dyDescent="0.2">
      <c r="B207" s="119"/>
    </row>
    <row r="208" spans="1:27" collapsed="1" x14ac:dyDescent="0.2">
      <c r="B208" s="119"/>
    </row>
    <row r="209" spans="1:27" ht="15" x14ac:dyDescent="0.2">
      <c r="A209" s="22"/>
      <c r="B209" s="249">
        <v>10</v>
      </c>
      <c r="C209" s="129" t="str">
        <f>IF($I$97&lt;&gt;"",MsgNotUsed,INDEX(NamesOverallChanged,B209))</f>
        <v>** NOT USED **</v>
      </c>
      <c r="D209" s="123"/>
      <c r="E209" s="123"/>
      <c r="F209" s="123"/>
      <c r="G209" s="123"/>
      <c r="H209" s="117"/>
      <c r="I209" s="588" t="str">
        <f>IF(C209&lt;&gt;MsgNotUsed,"Co-payment group " &amp; INDEX(CoPayBandMS,B209),"")</f>
        <v/>
      </c>
      <c r="J209" s="588"/>
      <c r="K209" s="123"/>
      <c r="L209" s="123"/>
      <c r="M209" s="123"/>
      <c r="N209" s="123"/>
      <c r="O209" s="123"/>
      <c r="P209" s="123"/>
      <c r="Q209" s="123"/>
      <c r="R209" s="123"/>
      <c r="S209" s="123"/>
      <c r="T209" s="123"/>
      <c r="U209" s="22"/>
      <c r="V209" s="22"/>
      <c r="W209" s="22"/>
      <c r="X209" s="22"/>
      <c r="Y209" s="22"/>
      <c r="Z209" s="22"/>
      <c r="AA209" s="22"/>
    </row>
    <row r="210" spans="1:27" ht="15.75" hidden="1" outlineLevel="1" x14ac:dyDescent="0.2">
      <c r="A210" s="22"/>
      <c r="B210" s="65">
        <f>INDEX(CoPayBandMS,B209)</f>
        <v>0</v>
      </c>
      <c r="C210" s="454"/>
      <c r="D210" s="22"/>
      <c r="E210" s="22"/>
      <c r="F210" s="22"/>
      <c r="G210" s="22"/>
      <c r="H210" s="22"/>
      <c r="I210" s="22"/>
      <c r="J210" s="22"/>
      <c r="K210" s="22"/>
      <c r="L210" s="22"/>
      <c r="M210" s="22"/>
      <c r="N210" s="22"/>
      <c r="O210" s="22"/>
      <c r="P210" s="22"/>
      <c r="Q210" s="22"/>
      <c r="R210" s="22"/>
      <c r="S210" s="22"/>
      <c r="T210" s="22"/>
      <c r="U210" s="22"/>
      <c r="V210" s="22"/>
      <c r="W210" s="22"/>
      <c r="X210" s="22"/>
      <c r="Y210" s="22"/>
      <c r="Z210" s="22"/>
      <c r="AA210" s="22"/>
    </row>
    <row r="211" spans="1:27" ht="14.25" hidden="1" customHeight="1" outlineLevel="1" x14ac:dyDescent="0.2">
      <c r="B211" s="119"/>
      <c r="C211" s="488"/>
      <c r="D211" s="58">
        <f>E211-1</f>
        <v>2025</v>
      </c>
      <c r="E211" s="58">
        <f>FirstYear</f>
        <v>2026</v>
      </c>
      <c r="F211" s="58">
        <f>E211+1</f>
        <v>2027</v>
      </c>
      <c r="G211" s="58">
        <f>F211+1</f>
        <v>2028</v>
      </c>
      <c r="H211" s="58">
        <f>G211+1</f>
        <v>2029</v>
      </c>
      <c r="I211" s="58">
        <f>H211+1</f>
        <v>2030</v>
      </c>
      <c r="J211" s="58">
        <f>I211+1</f>
        <v>2031</v>
      </c>
      <c r="L211" s="260"/>
    </row>
    <row r="212" spans="1:27" hidden="1" outlineLevel="1" x14ac:dyDescent="0.2">
      <c r="B212" s="119"/>
      <c r="C212" s="2" t="s">
        <v>111</v>
      </c>
      <c r="D212" s="33">
        <f>IF($I$97="",-R59,0)</f>
        <v>0</v>
      </c>
      <c r="E212" s="33">
        <f t="shared" ref="E212:J212" si="99">IF(D212="","",D212*(1+D213))</f>
        <v>0</v>
      </c>
      <c r="F212" s="33">
        <f t="shared" si="99"/>
        <v>0</v>
      </c>
      <c r="G212" s="33">
        <f t="shared" si="99"/>
        <v>0</v>
      </c>
      <c r="H212" s="33">
        <f t="shared" si="99"/>
        <v>0</v>
      </c>
      <c r="I212" s="33">
        <f t="shared" si="99"/>
        <v>0</v>
      </c>
      <c r="J212" s="33">
        <f t="shared" si="99"/>
        <v>0</v>
      </c>
      <c r="L212" s="31" t="s">
        <v>249</v>
      </c>
      <c r="N212" s="260"/>
    </row>
    <row r="213" spans="1:27" hidden="1" outlineLevel="1" x14ac:dyDescent="0.2">
      <c r="B213" s="119"/>
      <c r="C213" s="7" t="s">
        <v>26</v>
      </c>
      <c r="D213" s="49"/>
      <c r="E213" s="49"/>
      <c r="F213" s="49"/>
      <c r="G213" s="49"/>
      <c r="H213" s="49"/>
      <c r="I213" s="49"/>
      <c r="J213" s="28"/>
      <c r="L213" s="589"/>
      <c r="M213" s="590"/>
      <c r="N213" s="590"/>
      <c r="O213" s="590"/>
      <c r="P213" s="590"/>
      <c r="Q213" s="590"/>
      <c r="R213" s="590"/>
      <c r="S213" s="590"/>
      <c r="T213" s="590"/>
    </row>
    <row r="214" spans="1:27" hidden="1" outlineLevel="1" x14ac:dyDescent="0.2">
      <c r="B214" s="119"/>
      <c r="C214" s="7" t="s">
        <v>33</v>
      </c>
      <c r="D214" s="49"/>
      <c r="E214" s="49"/>
      <c r="F214" s="49"/>
      <c r="G214" s="49"/>
      <c r="H214" s="49"/>
      <c r="I214" s="49"/>
      <c r="J214" s="49"/>
      <c r="L214" s="589"/>
      <c r="M214" s="590"/>
      <c r="N214" s="590"/>
      <c r="O214" s="590"/>
      <c r="P214" s="590"/>
      <c r="Q214" s="590"/>
      <c r="R214" s="590"/>
      <c r="S214" s="590"/>
      <c r="T214" s="590"/>
    </row>
    <row r="215" spans="1:27" hidden="1" outlineLevel="1" x14ac:dyDescent="0.2">
      <c r="B215" s="119"/>
      <c r="C215" s="59" t="str">
        <f>"Proportion " &amp; IF(MarketImpact=0,"affected by","affected") &amp; " the proposed medicine"</f>
        <v>Proportion affected the proposed medicine</v>
      </c>
      <c r="D215" s="49"/>
      <c r="E215" s="49"/>
      <c r="F215" s="49"/>
      <c r="G215" s="49"/>
      <c r="H215" s="49"/>
      <c r="I215" s="49"/>
      <c r="J215" s="49"/>
      <c r="L215" s="589"/>
      <c r="M215" s="590"/>
      <c r="N215" s="590"/>
      <c r="O215" s="590"/>
      <c r="P215" s="590"/>
      <c r="Q215" s="590"/>
      <c r="R215" s="590"/>
      <c r="S215" s="590"/>
      <c r="T215" s="590"/>
    </row>
    <row r="216" spans="1:27" hidden="1" outlineLevel="1" x14ac:dyDescent="0.2">
      <c r="B216" s="119"/>
      <c r="C216" s="9" t="s">
        <v>104</v>
      </c>
      <c r="D216" s="27">
        <f t="shared" ref="D216:J216" si="100">D218-D217</f>
        <v>0</v>
      </c>
      <c r="E216" s="27">
        <f t="shared" si="100"/>
        <v>0</v>
      </c>
      <c r="F216" s="27">
        <f t="shared" si="100"/>
        <v>0</v>
      </c>
      <c r="G216" s="27">
        <f t="shared" si="100"/>
        <v>0</v>
      </c>
      <c r="H216" s="27">
        <f t="shared" si="100"/>
        <v>0</v>
      </c>
      <c r="I216" s="27">
        <f t="shared" si="100"/>
        <v>0</v>
      </c>
      <c r="J216" s="27">
        <f t="shared" si="100"/>
        <v>0</v>
      </c>
    </row>
    <row r="217" spans="1:27" hidden="1" outlineLevel="1" x14ac:dyDescent="0.2">
      <c r="B217" s="119"/>
      <c r="C217" s="9" t="s">
        <v>105</v>
      </c>
      <c r="D217" s="27">
        <f t="shared" ref="D217:J217" si="101">IF($B210&lt;&gt;0,ROUND(D218*INDEX(ServiceSplitRPBS,$B210),0),0)</f>
        <v>0</v>
      </c>
      <c r="E217" s="27">
        <f t="shared" si="101"/>
        <v>0</v>
      </c>
      <c r="F217" s="27">
        <f t="shared" si="101"/>
        <v>0</v>
      </c>
      <c r="G217" s="27">
        <f t="shared" si="101"/>
        <v>0</v>
      </c>
      <c r="H217" s="27">
        <f t="shared" si="101"/>
        <v>0</v>
      </c>
      <c r="I217" s="27">
        <f t="shared" si="101"/>
        <v>0</v>
      </c>
      <c r="J217" s="27">
        <f t="shared" si="101"/>
        <v>0</v>
      </c>
    </row>
    <row r="218" spans="1:27" hidden="1" outlineLevel="1" x14ac:dyDescent="0.2">
      <c r="B218" s="119"/>
      <c r="C218" s="78" t="s">
        <v>831</v>
      </c>
      <c r="D218" s="30">
        <f t="shared" ref="D218:J218" si="102">IF(D212="","",D215*D214*D212)</f>
        <v>0</v>
      </c>
      <c r="E218" s="30">
        <f t="shared" si="102"/>
        <v>0</v>
      </c>
      <c r="F218" s="30">
        <f t="shared" si="102"/>
        <v>0</v>
      </c>
      <c r="G218" s="30">
        <f t="shared" si="102"/>
        <v>0</v>
      </c>
      <c r="H218" s="30">
        <f t="shared" si="102"/>
        <v>0</v>
      </c>
      <c r="I218" s="30">
        <f t="shared" si="102"/>
        <v>0</v>
      </c>
      <c r="J218" s="30">
        <f t="shared" si="102"/>
        <v>0</v>
      </c>
    </row>
    <row r="219" spans="1:27" hidden="1" outlineLevel="1" x14ac:dyDescent="0.2">
      <c r="B219" s="119"/>
    </row>
    <row r="220" spans="1:27" collapsed="1" x14ac:dyDescent="0.2">
      <c r="B220" s="119"/>
    </row>
    <row r="221" spans="1:27" ht="15" x14ac:dyDescent="0.2">
      <c r="A221" s="22"/>
      <c r="B221" s="249">
        <v>11</v>
      </c>
      <c r="C221" s="129" t="str">
        <f>IF($I$97&lt;&gt;"",MsgNotUsed,INDEX(NamesOverallChanged,B221))</f>
        <v>** NOT USED **</v>
      </c>
      <c r="D221" s="123"/>
      <c r="E221" s="123"/>
      <c r="F221" s="123"/>
      <c r="G221" s="123"/>
      <c r="H221" s="117"/>
      <c r="I221" s="588" t="str">
        <f>IF(C221&lt;&gt;MsgNotUsed,"Co-payment group " &amp; INDEX(CoPayBandMS,B221),"")</f>
        <v/>
      </c>
      <c r="J221" s="588"/>
      <c r="K221" s="123"/>
      <c r="L221" s="123"/>
      <c r="M221" s="123"/>
      <c r="N221" s="123"/>
      <c r="O221" s="123"/>
      <c r="P221" s="123"/>
      <c r="Q221" s="123"/>
      <c r="R221" s="123"/>
      <c r="S221" s="123"/>
      <c r="T221" s="123"/>
      <c r="U221" s="22"/>
      <c r="V221" s="22"/>
      <c r="W221" s="22"/>
      <c r="X221" s="22"/>
      <c r="Y221" s="22"/>
      <c r="Z221" s="22"/>
      <c r="AA221" s="22"/>
    </row>
    <row r="222" spans="1:27" ht="15.75" hidden="1" outlineLevel="1" x14ac:dyDescent="0.2">
      <c r="A222" s="22"/>
      <c r="B222" s="65">
        <f>INDEX(CoPayBandMS,B221)</f>
        <v>0</v>
      </c>
      <c r="C222" s="454"/>
      <c r="D222" s="22"/>
      <c r="E222" s="22"/>
      <c r="F222" s="22"/>
      <c r="G222" s="22"/>
      <c r="H222" s="22"/>
      <c r="I222" s="22"/>
      <c r="J222" s="22"/>
      <c r="K222" s="22"/>
      <c r="L222" s="22"/>
      <c r="M222" s="22"/>
      <c r="N222" s="22"/>
      <c r="O222" s="22"/>
      <c r="P222" s="22"/>
      <c r="Q222" s="22"/>
      <c r="R222" s="22"/>
      <c r="S222" s="22"/>
      <c r="T222" s="22"/>
      <c r="U222" s="22"/>
      <c r="V222" s="22"/>
      <c r="W222" s="22"/>
      <c r="X222" s="22"/>
      <c r="Y222" s="22"/>
      <c r="Z222" s="22"/>
      <c r="AA222" s="22"/>
    </row>
    <row r="223" spans="1:27" ht="14.25" hidden="1" customHeight="1" outlineLevel="1" x14ac:dyDescent="0.2">
      <c r="B223" s="119"/>
      <c r="C223" s="488"/>
      <c r="D223" s="58">
        <f>E223-1</f>
        <v>2025</v>
      </c>
      <c r="E223" s="58">
        <f>FirstYear</f>
        <v>2026</v>
      </c>
      <c r="F223" s="58">
        <f>E223+1</f>
        <v>2027</v>
      </c>
      <c r="G223" s="58">
        <f>F223+1</f>
        <v>2028</v>
      </c>
      <c r="H223" s="58">
        <f>G223+1</f>
        <v>2029</v>
      </c>
      <c r="I223" s="58">
        <f>H223+1</f>
        <v>2030</v>
      </c>
      <c r="J223" s="58">
        <f>I223+1</f>
        <v>2031</v>
      </c>
      <c r="L223" s="260"/>
    </row>
    <row r="224" spans="1:27" hidden="1" outlineLevel="1" x14ac:dyDescent="0.2">
      <c r="B224" s="119"/>
      <c r="C224" s="2" t="s">
        <v>111</v>
      </c>
      <c r="D224" s="33">
        <f>IF($I$97="",-R60,0)</f>
        <v>0</v>
      </c>
      <c r="E224" s="33">
        <f t="shared" ref="E224:J224" si="103">IF(D224="","",D224*(1+D225))</f>
        <v>0</v>
      </c>
      <c r="F224" s="33">
        <f t="shared" si="103"/>
        <v>0</v>
      </c>
      <c r="G224" s="33">
        <f t="shared" si="103"/>
        <v>0</v>
      </c>
      <c r="H224" s="33">
        <f t="shared" si="103"/>
        <v>0</v>
      </c>
      <c r="I224" s="33">
        <f t="shared" si="103"/>
        <v>0</v>
      </c>
      <c r="J224" s="33">
        <f t="shared" si="103"/>
        <v>0</v>
      </c>
      <c r="L224" s="31" t="s">
        <v>249</v>
      </c>
      <c r="N224" s="260"/>
    </row>
    <row r="225" spans="1:27" hidden="1" outlineLevel="1" x14ac:dyDescent="0.2">
      <c r="B225" s="119"/>
      <c r="C225" s="7" t="s">
        <v>26</v>
      </c>
      <c r="D225" s="49"/>
      <c r="E225" s="49"/>
      <c r="F225" s="49"/>
      <c r="G225" s="49"/>
      <c r="H225" s="49"/>
      <c r="I225" s="49"/>
      <c r="J225" s="28"/>
      <c r="L225" s="589"/>
      <c r="M225" s="590"/>
      <c r="N225" s="590"/>
      <c r="O225" s="590"/>
      <c r="P225" s="590"/>
      <c r="Q225" s="590"/>
      <c r="R225" s="590"/>
      <c r="S225" s="590"/>
      <c r="T225" s="590"/>
    </row>
    <row r="226" spans="1:27" hidden="1" outlineLevel="1" x14ac:dyDescent="0.2">
      <c r="B226" s="119"/>
      <c r="C226" s="7" t="s">
        <v>33</v>
      </c>
      <c r="D226" s="49"/>
      <c r="E226" s="49"/>
      <c r="F226" s="49"/>
      <c r="G226" s="49"/>
      <c r="H226" s="49"/>
      <c r="I226" s="49"/>
      <c r="J226" s="49"/>
      <c r="L226" s="589"/>
      <c r="M226" s="590"/>
      <c r="N226" s="590"/>
      <c r="O226" s="590"/>
      <c r="P226" s="590"/>
      <c r="Q226" s="590"/>
      <c r="R226" s="590"/>
      <c r="S226" s="590"/>
      <c r="T226" s="590"/>
    </row>
    <row r="227" spans="1:27" hidden="1" outlineLevel="1" x14ac:dyDescent="0.2">
      <c r="B227" s="119"/>
      <c r="C227" s="59" t="str">
        <f>"Proportion " &amp; IF(MarketImpact=0,"affected by","affected") &amp; " the proposed medicine"</f>
        <v>Proportion affected the proposed medicine</v>
      </c>
      <c r="D227" s="49"/>
      <c r="E227" s="49"/>
      <c r="F227" s="49"/>
      <c r="G227" s="49"/>
      <c r="H227" s="49"/>
      <c r="I227" s="49"/>
      <c r="J227" s="49"/>
      <c r="L227" s="589"/>
      <c r="M227" s="590"/>
      <c r="N227" s="590"/>
      <c r="O227" s="590"/>
      <c r="P227" s="590"/>
      <c r="Q227" s="590"/>
      <c r="R227" s="590"/>
      <c r="S227" s="590"/>
      <c r="T227" s="590"/>
    </row>
    <row r="228" spans="1:27" hidden="1" outlineLevel="1" x14ac:dyDescent="0.2">
      <c r="B228" s="119"/>
      <c r="C228" s="9" t="s">
        <v>104</v>
      </c>
      <c r="D228" s="27">
        <f t="shared" ref="D228:J228" si="104">D230-D229</f>
        <v>0</v>
      </c>
      <c r="E228" s="27">
        <f t="shared" si="104"/>
        <v>0</v>
      </c>
      <c r="F228" s="27">
        <f t="shared" si="104"/>
        <v>0</v>
      </c>
      <c r="G228" s="27">
        <f t="shared" si="104"/>
        <v>0</v>
      </c>
      <c r="H228" s="27">
        <f t="shared" si="104"/>
        <v>0</v>
      </c>
      <c r="I228" s="27">
        <f t="shared" si="104"/>
        <v>0</v>
      </c>
      <c r="J228" s="27">
        <f t="shared" si="104"/>
        <v>0</v>
      </c>
    </row>
    <row r="229" spans="1:27" hidden="1" outlineLevel="1" x14ac:dyDescent="0.2">
      <c r="B229" s="119"/>
      <c r="C229" s="9" t="s">
        <v>105</v>
      </c>
      <c r="D229" s="27">
        <f t="shared" ref="D229:J229" si="105">IF($B222&lt;&gt;0,ROUND(D230*INDEX(ServiceSplitRPBS,$B222),0),0)</f>
        <v>0</v>
      </c>
      <c r="E229" s="27">
        <f t="shared" si="105"/>
        <v>0</v>
      </c>
      <c r="F229" s="27">
        <f t="shared" si="105"/>
        <v>0</v>
      </c>
      <c r="G229" s="27">
        <f t="shared" si="105"/>
        <v>0</v>
      </c>
      <c r="H229" s="27">
        <f t="shared" si="105"/>
        <v>0</v>
      </c>
      <c r="I229" s="27">
        <f t="shared" si="105"/>
        <v>0</v>
      </c>
      <c r="J229" s="27">
        <f t="shared" si="105"/>
        <v>0</v>
      </c>
    </row>
    <row r="230" spans="1:27" hidden="1" outlineLevel="1" x14ac:dyDescent="0.2">
      <c r="B230" s="119"/>
      <c r="C230" s="78" t="s">
        <v>831</v>
      </c>
      <c r="D230" s="30">
        <f t="shared" ref="D230:J230" si="106">IF(D224="","",D227*D226*D224)</f>
        <v>0</v>
      </c>
      <c r="E230" s="30">
        <f t="shared" si="106"/>
        <v>0</v>
      </c>
      <c r="F230" s="30">
        <f t="shared" si="106"/>
        <v>0</v>
      </c>
      <c r="G230" s="30">
        <f t="shared" si="106"/>
        <v>0</v>
      </c>
      <c r="H230" s="30">
        <f t="shared" si="106"/>
        <v>0</v>
      </c>
      <c r="I230" s="30">
        <f t="shared" si="106"/>
        <v>0</v>
      </c>
      <c r="J230" s="30">
        <f t="shared" si="106"/>
        <v>0</v>
      </c>
    </row>
    <row r="231" spans="1:27" hidden="1" outlineLevel="1" x14ac:dyDescent="0.2">
      <c r="B231" s="119"/>
    </row>
    <row r="232" spans="1:27" collapsed="1" x14ac:dyDescent="0.2">
      <c r="B232" s="119"/>
    </row>
    <row r="233" spans="1:27" ht="15" x14ac:dyDescent="0.2">
      <c r="A233" s="22"/>
      <c r="B233" s="249">
        <v>12</v>
      </c>
      <c r="C233" s="129" t="str">
        <f>IF($I$97&lt;&gt;"",MsgNotUsed,INDEX(NamesOverallChanged,B233))</f>
        <v>** NOT USED **</v>
      </c>
      <c r="D233" s="123"/>
      <c r="E233" s="123"/>
      <c r="F233" s="123"/>
      <c r="G233" s="123"/>
      <c r="H233" s="117"/>
      <c r="I233" s="588" t="str">
        <f>IF(C233&lt;&gt;MsgNotUsed,"Co-payment group " &amp; INDEX(CoPayBandMS,B233),"")</f>
        <v/>
      </c>
      <c r="J233" s="588"/>
      <c r="K233" s="123"/>
      <c r="L233" s="123"/>
      <c r="M233" s="123"/>
      <c r="N233" s="123"/>
      <c r="O233" s="123"/>
      <c r="P233" s="123"/>
      <c r="Q233" s="123"/>
      <c r="R233" s="123"/>
      <c r="S233" s="123"/>
      <c r="T233" s="123"/>
      <c r="U233" s="22"/>
      <c r="V233" s="22"/>
      <c r="W233" s="22"/>
      <c r="X233" s="22"/>
      <c r="Y233" s="22"/>
      <c r="Z233" s="22"/>
      <c r="AA233" s="22"/>
    </row>
    <row r="234" spans="1:27" ht="15.75" hidden="1" outlineLevel="1" x14ac:dyDescent="0.2">
      <c r="A234" s="22"/>
      <c r="B234" s="65">
        <f>INDEX(CoPayBandMS,B233)</f>
        <v>0</v>
      </c>
      <c r="C234" s="454"/>
      <c r="D234" s="22"/>
      <c r="E234" s="22"/>
      <c r="F234" s="22"/>
      <c r="G234" s="22"/>
      <c r="H234" s="22"/>
      <c r="I234" s="22"/>
      <c r="J234" s="22"/>
      <c r="K234" s="22"/>
      <c r="L234" s="22"/>
      <c r="M234" s="22"/>
      <c r="N234" s="22"/>
      <c r="O234" s="22"/>
      <c r="P234" s="22"/>
      <c r="Q234" s="22"/>
      <c r="R234" s="22"/>
      <c r="S234" s="22"/>
      <c r="T234" s="22"/>
      <c r="U234" s="22"/>
      <c r="V234" s="22"/>
      <c r="W234" s="22"/>
      <c r="X234" s="22"/>
      <c r="Y234" s="22"/>
      <c r="Z234" s="22"/>
      <c r="AA234" s="22"/>
    </row>
    <row r="235" spans="1:27" ht="14.25" hidden="1" customHeight="1" outlineLevel="1" x14ac:dyDescent="0.2">
      <c r="B235" s="119"/>
      <c r="C235" s="488"/>
      <c r="D235" s="58">
        <f>E235-1</f>
        <v>2025</v>
      </c>
      <c r="E235" s="58">
        <f>FirstYear</f>
        <v>2026</v>
      </c>
      <c r="F235" s="58">
        <f>E235+1</f>
        <v>2027</v>
      </c>
      <c r="G235" s="58">
        <f>F235+1</f>
        <v>2028</v>
      </c>
      <c r="H235" s="58">
        <f>G235+1</f>
        <v>2029</v>
      </c>
      <c r="I235" s="58">
        <f>H235+1</f>
        <v>2030</v>
      </c>
      <c r="J235" s="58">
        <f>I235+1</f>
        <v>2031</v>
      </c>
      <c r="L235" s="260"/>
    </row>
    <row r="236" spans="1:27" hidden="1" outlineLevel="1" x14ac:dyDescent="0.2">
      <c r="B236" s="119"/>
      <c r="C236" s="2" t="s">
        <v>111</v>
      </c>
      <c r="D236" s="33">
        <f>IF($I$97="",-R61,0)</f>
        <v>0</v>
      </c>
      <c r="E236" s="33">
        <f t="shared" ref="E236:J236" si="107">IF(D236="","",D236*(1+D237))</f>
        <v>0</v>
      </c>
      <c r="F236" s="33">
        <f t="shared" si="107"/>
        <v>0</v>
      </c>
      <c r="G236" s="33">
        <f t="shared" si="107"/>
        <v>0</v>
      </c>
      <c r="H236" s="33">
        <f t="shared" si="107"/>
        <v>0</v>
      </c>
      <c r="I236" s="33">
        <f t="shared" si="107"/>
        <v>0</v>
      </c>
      <c r="J236" s="33">
        <f t="shared" si="107"/>
        <v>0</v>
      </c>
      <c r="L236" s="31" t="s">
        <v>249</v>
      </c>
      <c r="N236" s="260"/>
    </row>
    <row r="237" spans="1:27" hidden="1" outlineLevel="1" x14ac:dyDescent="0.2">
      <c r="B237" s="119"/>
      <c r="C237" s="7" t="s">
        <v>26</v>
      </c>
      <c r="D237" s="49"/>
      <c r="E237" s="49"/>
      <c r="F237" s="49"/>
      <c r="G237" s="49"/>
      <c r="H237" s="49"/>
      <c r="I237" s="49"/>
      <c r="J237" s="28"/>
      <c r="L237" s="589"/>
      <c r="M237" s="590"/>
      <c r="N237" s="590"/>
      <c r="O237" s="590"/>
      <c r="P237" s="590"/>
      <c r="Q237" s="590"/>
      <c r="R237" s="590"/>
      <c r="S237" s="590"/>
      <c r="T237" s="590"/>
    </row>
    <row r="238" spans="1:27" hidden="1" outlineLevel="1" x14ac:dyDescent="0.2">
      <c r="B238" s="119"/>
      <c r="C238" s="7" t="s">
        <v>33</v>
      </c>
      <c r="D238" s="49"/>
      <c r="E238" s="49"/>
      <c r="F238" s="49"/>
      <c r="G238" s="49"/>
      <c r="H238" s="49"/>
      <c r="I238" s="49"/>
      <c r="J238" s="49"/>
      <c r="L238" s="589"/>
      <c r="M238" s="590"/>
      <c r="N238" s="590"/>
      <c r="O238" s="590"/>
      <c r="P238" s="590"/>
      <c r="Q238" s="590"/>
      <c r="R238" s="590"/>
      <c r="S238" s="590"/>
      <c r="T238" s="590"/>
    </row>
    <row r="239" spans="1:27" hidden="1" outlineLevel="1" x14ac:dyDescent="0.2">
      <c r="B239" s="119"/>
      <c r="C239" s="59" t="str">
        <f>"Proportion " &amp; IF(MarketImpact=0,"affected by","affected") &amp; " the proposed medicine"</f>
        <v>Proportion affected the proposed medicine</v>
      </c>
      <c r="D239" s="49"/>
      <c r="E239" s="49"/>
      <c r="F239" s="49"/>
      <c r="G239" s="49"/>
      <c r="H239" s="49"/>
      <c r="I239" s="49"/>
      <c r="J239" s="49"/>
      <c r="L239" s="589"/>
      <c r="M239" s="590"/>
      <c r="N239" s="590"/>
      <c r="O239" s="590"/>
      <c r="P239" s="590"/>
      <c r="Q239" s="590"/>
      <c r="R239" s="590"/>
      <c r="S239" s="590"/>
      <c r="T239" s="590"/>
    </row>
    <row r="240" spans="1:27" hidden="1" outlineLevel="1" x14ac:dyDescent="0.2">
      <c r="B240" s="119"/>
      <c r="C240" s="9" t="s">
        <v>104</v>
      </c>
      <c r="D240" s="27">
        <f t="shared" ref="D240:J240" si="108">D242-D241</f>
        <v>0</v>
      </c>
      <c r="E240" s="27">
        <f t="shared" si="108"/>
        <v>0</v>
      </c>
      <c r="F240" s="27">
        <f t="shared" si="108"/>
        <v>0</v>
      </c>
      <c r="G240" s="27">
        <f t="shared" si="108"/>
        <v>0</v>
      </c>
      <c r="H240" s="27">
        <f t="shared" si="108"/>
        <v>0</v>
      </c>
      <c r="I240" s="27">
        <f t="shared" si="108"/>
        <v>0</v>
      </c>
      <c r="J240" s="27">
        <f t="shared" si="108"/>
        <v>0</v>
      </c>
    </row>
    <row r="241" spans="1:27" hidden="1" outlineLevel="1" x14ac:dyDescent="0.2">
      <c r="B241" s="119"/>
      <c r="C241" s="9" t="s">
        <v>105</v>
      </c>
      <c r="D241" s="27">
        <f t="shared" ref="D241:J241" si="109">IF($B234&lt;&gt;0,ROUND(D242*INDEX(ServiceSplitRPBS,$B234),0),0)</f>
        <v>0</v>
      </c>
      <c r="E241" s="27">
        <f t="shared" si="109"/>
        <v>0</v>
      </c>
      <c r="F241" s="27">
        <f t="shared" si="109"/>
        <v>0</v>
      </c>
      <c r="G241" s="27">
        <f t="shared" si="109"/>
        <v>0</v>
      </c>
      <c r="H241" s="27">
        <f t="shared" si="109"/>
        <v>0</v>
      </c>
      <c r="I241" s="27">
        <f t="shared" si="109"/>
        <v>0</v>
      </c>
      <c r="J241" s="27">
        <f t="shared" si="109"/>
        <v>0</v>
      </c>
    </row>
    <row r="242" spans="1:27" hidden="1" outlineLevel="1" x14ac:dyDescent="0.2">
      <c r="B242" s="119"/>
      <c r="C242" s="78" t="s">
        <v>831</v>
      </c>
      <c r="D242" s="30">
        <f t="shared" ref="D242:J242" si="110">IF(D236="","",D239*D238*D236)</f>
        <v>0</v>
      </c>
      <c r="E242" s="30">
        <f t="shared" si="110"/>
        <v>0</v>
      </c>
      <c r="F242" s="30">
        <f t="shared" si="110"/>
        <v>0</v>
      </c>
      <c r="G242" s="30">
        <f t="shared" si="110"/>
        <v>0</v>
      </c>
      <c r="H242" s="30">
        <f t="shared" si="110"/>
        <v>0</v>
      </c>
      <c r="I242" s="30">
        <f t="shared" si="110"/>
        <v>0</v>
      </c>
      <c r="J242" s="30">
        <f t="shared" si="110"/>
        <v>0</v>
      </c>
    </row>
    <row r="243" spans="1:27" hidden="1" outlineLevel="1" x14ac:dyDescent="0.2">
      <c r="B243" s="119"/>
    </row>
    <row r="244" spans="1:27" collapsed="1" x14ac:dyDescent="0.2">
      <c r="B244" s="119"/>
    </row>
    <row r="245" spans="1:27" ht="15" x14ac:dyDescent="0.2">
      <c r="A245" s="22"/>
      <c r="B245" s="249">
        <v>13</v>
      </c>
      <c r="C245" s="129" t="str">
        <f>IF($I$97&lt;&gt;"",MsgNotUsed,INDEX(NamesOverallChanged,B245))</f>
        <v>** NOT USED **</v>
      </c>
      <c r="D245" s="123"/>
      <c r="E245" s="123"/>
      <c r="F245" s="123"/>
      <c r="G245" s="123"/>
      <c r="H245" s="117"/>
      <c r="I245" s="588" t="str">
        <f>IF(C245&lt;&gt;MsgNotUsed,"Co-payment group " &amp; INDEX(CoPayBandMS,B245),"")</f>
        <v/>
      </c>
      <c r="J245" s="588"/>
      <c r="K245" s="123"/>
      <c r="L245" s="123"/>
      <c r="M245" s="123"/>
      <c r="N245" s="123"/>
      <c r="O245" s="123"/>
      <c r="P245" s="123"/>
      <c r="Q245" s="123"/>
      <c r="R245" s="123"/>
      <c r="S245" s="123"/>
      <c r="T245" s="123"/>
      <c r="U245" s="22"/>
      <c r="V245" s="22"/>
      <c r="W245" s="22"/>
      <c r="X245" s="22"/>
      <c r="Y245" s="22"/>
      <c r="Z245" s="22"/>
      <c r="AA245" s="22"/>
    </row>
    <row r="246" spans="1:27" ht="15.75" hidden="1" outlineLevel="1" x14ac:dyDescent="0.2">
      <c r="A246" s="22"/>
      <c r="B246" s="65">
        <f>INDEX(CoPayBandMS,B245)</f>
        <v>0</v>
      </c>
      <c r="C246" s="454"/>
      <c r="D246" s="22"/>
      <c r="E246" s="22"/>
      <c r="F246" s="22"/>
      <c r="G246" s="22"/>
      <c r="H246" s="22"/>
      <c r="I246" s="22"/>
      <c r="J246" s="22"/>
      <c r="K246" s="22"/>
      <c r="L246" s="22"/>
      <c r="M246" s="22"/>
      <c r="N246" s="22"/>
      <c r="O246" s="22"/>
      <c r="P246" s="22"/>
      <c r="Q246" s="22"/>
      <c r="R246" s="22"/>
      <c r="S246" s="22"/>
      <c r="T246" s="22"/>
      <c r="U246" s="22"/>
      <c r="V246" s="22"/>
      <c r="W246" s="22"/>
      <c r="X246" s="22"/>
      <c r="Y246" s="22"/>
      <c r="Z246" s="22"/>
      <c r="AA246" s="22"/>
    </row>
    <row r="247" spans="1:27" ht="14.25" hidden="1" customHeight="1" outlineLevel="1" x14ac:dyDescent="0.2">
      <c r="B247" s="119"/>
      <c r="C247" s="488"/>
      <c r="D247" s="58">
        <f>E247-1</f>
        <v>2025</v>
      </c>
      <c r="E247" s="58">
        <f>FirstYear</f>
        <v>2026</v>
      </c>
      <c r="F247" s="58">
        <f>E247+1</f>
        <v>2027</v>
      </c>
      <c r="G247" s="58">
        <f>F247+1</f>
        <v>2028</v>
      </c>
      <c r="H247" s="58">
        <f>G247+1</f>
        <v>2029</v>
      </c>
      <c r="I247" s="58">
        <f>H247+1</f>
        <v>2030</v>
      </c>
      <c r="J247" s="58">
        <f>I247+1</f>
        <v>2031</v>
      </c>
      <c r="L247" s="260"/>
    </row>
    <row r="248" spans="1:27" hidden="1" outlineLevel="1" x14ac:dyDescent="0.2">
      <c r="B248" s="119"/>
      <c r="C248" s="2" t="s">
        <v>111</v>
      </c>
      <c r="D248" s="33">
        <f>IF($I$97="",-R62,0)</f>
        <v>0</v>
      </c>
      <c r="E248" s="33">
        <f t="shared" ref="E248:J248" si="111">IF(D248="","",D248*(1+D249))</f>
        <v>0</v>
      </c>
      <c r="F248" s="33">
        <f t="shared" si="111"/>
        <v>0</v>
      </c>
      <c r="G248" s="33">
        <f t="shared" si="111"/>
        <v>0</v>
      </c>
      <c r="H248" s="33">
        <f t="shared" si="111"/>
        <v>0</v>
      </c>
      <c r="I248" s="33">
        <f t="shared" si="111"/>
        <v>0</v>
      </c>
      <c r="J248" s="33">
        <f t="shared" si="111"/>
        <v>0</v>
      </c>
      <c r="L248" s="31" t="s">
        <v>249</v>
      </c>
      <c r="N248" s="260"/>
    </row>
    <row r="249" spans="1:27" hidden="1" outlineLevel="1" x14ac:dyDescent="0.2">
      <c r="B249" s="119"/>
      <c r="C249" s="7" t="s">
        <v>26</v>
      </c>
      <c r="D249" s="49"/>
      <c r="E249" s="49"/>
      <c r="F249" s="49"/>
      <c r="G249" s="49"/>
      <c r="H249" s="49"/>
      <c r="I249" s="49"/>
      <c r="J249" s="28"/>
      <c r="L249" s="589"/>
      <c r="M249" s="590"/>
      <c r="N249" s="590"/>
      <c r="O249" s="590"/>
      <c r="P249" s="590"/>
      <c r="Q249" s="590"/>
      <c r="R249" s="590"/>
      <c r="S249" s="590"/>
      <c r="T249" s="590"/>
    </row>
    <row r="250" spans="1:27" hidden="1" outlineLevel="1" x14ac:dyDescent="0.2">
      <c r="B250" s="119"/>
      <c r="C250" s="7" t="s">
        <v>33</v>
      </c>
      <c r="D250" s="49"/>
      <c r="E250" s="49"/>
      <c r="F250" s="49"/>
      <c r="G250" s="49"/>
      <c r="H250" s="49"/>
      <c r="I250" s="49"/>
      <c r="J250" s="49"/>
      <c r="L250" s="589"/>
      <c r="M250" s="590"/>
      <c r="N250" s="590"/>
      <c r="O250" s="590"/>
      <c r="P250" s="590"/>
      <c r="Q250" s="590"/>
      <c r="R250" s="590"/>
      <c r="S250" s="590"/>
      <c r="T250" s="590"/>
    </row>
    <row r="251" spans="1:27" hidden="1" outlineLevel="1" x14ac:dyDescent="0.2">
      <c r="B251" s="119"/>
      <c r="C251" s="59" t="str">
        <f>"Proportion " &amp; IF(MarketImpact=0,"affected by","affected") &amp; " the proposed medicine"</f>
        <v>Proportion affected the proposed medicine</v>
      </c>
      <c r="D251" s="49"/>
      <c r="E251" s="49"/>
      <c r="F251" s="49"/>
      <c r="G251" s="49"/>
      <c r="H251" s="49"/>
      <c r="I251" s="49"/>
      <c r="J251" s="49"/>
      <c r="L251" s="589"/>
      <c r="M251" s="590"/>
      <c r="N251" s="590"/>
      <c r="O251" s="590"/>
      <c r="P251" s="590"/>
      <c r="Q251" s="590"/>
      <c r="R251" s="590"/>
      <c r="S251" s="590"/>
      <c r="T251" s="590"/>
    </row>
    <row r="252" spans="1:27" hidden="1" outlineLevel="1" x14ac:dyDescent="0.2">
      <c r="B252" s="119"/>
      <c r="C252" s="9" t="s">
        <v>104</v>
      </c>
      <c r="D252" s="27">
        <f t="shared" ref="D252:J252" si="112">D254-D253</f>
        <v>0</v>
      </c>
      <c r="E252" s="27">
        <f t="shared" si="112"/>
        <v>0</v>
      </c>
      <c r="F252" s="27">
        <f t="shared" si="112"/>
        <v>0</v>
      </c>
      <c r="G252" s="27">
        <f t="shared" si="112"/>
        <v>0</v>
      </c>
      <c r="H252" s="27">
        <f t="shared" si="112"/>
        <v>0</v>
      </c>
      <c r="I252" s="27">
        <f t="shared" si="112"/>
        <v>0</v>
      </c>
      <c r="J252" s="27">
        <f t="shared" si="112"/>
        <v>0</v>
      </c>
    </row>
    <row r="253" spans="1:27" hidden="1" outlineLevel="1" x14ac:dyDescent="0.2">
      <c r="B253" s="119"/>
      <c r="C253" s="9" t="s">
        <v>105</v>
      </c>
      <c r="D253" s="27">
        <f t="shared" ref="D253:J253" si="113">IF($B246&lt;&gt;0,ROUND(D254*INDEX(ServiceSplitRPBS,$B246),0),0)</f>
        <v>0</v>
      </c>
      <c r="E253" s="27">
        <f t="shared" si="113"/>
        <v>0</v>
      </c>
      <c r="F253" s="27">
        <f t="shared" si="113"/>
        <v>0</v>
      </c>
      <c r="G253" s="27">
        <f t="shared" si="113"/>
        <v>0</v>
      </c>
      <c r="H253" s="27">
        <f t="shared" si="113"/>
        <v>0</v>
      </c>
      <c r="I253" s="27">
        <f t="shared" si="113"/>
        <v>0</v>
      </c>
      <c r="J253" s="27">
        <f t="shared" si="113"/>
        <v>0</v>
      </c>
    </row>
    <row r="254" spans="1:27" hidden="1" outlineLevel="1" x14ac:dyDescent="0.2">
      <c r="B254" s="119"/>
      <c r="C254" s="78" t="s">
        <v>831</v>
      </c>
      <c r="D254" s="30">
        <f t="shared" ref="D254:J254" si="114">IF(D248="","",D251*D250*D248)</f>
        <v>0</v>
      </c>
      <c r="E254" s="30">
        <f t="shared" si="114"/>
        <v>0</v>
      </c>
      <c r="F254" s="30">
        <f t="shared" si="114"/>
        <v>0</v>
      </c>
      <c r="G254" s="30">
        <f t="shared" si="114"/>
        <v>0</v>
      </c>
      <c r="H254" s="30">
        <f t="shared" si="114"/>
        <v>0</v>
      </c>
      <c r="I254" s="30">
        <f t="shared" si="114"/>
        <v>0</v>
      </c>
      <c r="J254" s="30">
        <f t="shared" si="114"/>
        <v>0</v>
      </c>
    </row>
    <row r="255" spans="1:27" hidden="1" outlineLevel="1" x14ac:dyDescent="0.2">
      <c r="B255" s="119"/>
    </row>
    <row r="256" spans="1:27" collapsed="1" x14ac:dyDescent="0.2">
      <c r="B256" s="119"/>
    </row>
    <row r="257" spans="1:27" ht="15" x14ac:dyDescent="0.2">
      <c r="A257" s="22"/>
      <c r="B257" s="249">
        <v>14</v>
      </c>
      <c r="C257" s="129" t="str">
        <f>IF($I$97&lt;&gt;"",MsgNotUsed,INDEX(NamesOverallChanged,B257))</f>
        <v>** NOT USED **</v>
      </c>
      <c r="D257" s="123"/>
      <c r="E257" s="123"/>
      <c r="F257" s="123"/>
      <c r="G257" s="123"/>
      <c r="H257" s="117"/>
      <c r="I257" s="588" t="str">
        <f>IF(C257&lt;&gt;MsgNotUsed,"Co-payment group " &amp; INDEX(CoPayBandMS,B257),"")</f>
        <v/>
      </c>
      <c r="J257" s="588"/>
      <c r="K257" s="123"/>
      <c r="L257" s="123"/>
      <c r="M257" s="123"/>
      <c r="N257" s="123"/>
      <c r="O257" s="123"/>
      <c r="P257" s="123"/>
      <c r="Q257" s="123"/>
      <c r="R257" s="123"/>
      <c r="S257" s="123"/>
      <c r="T257" s="123"/>
      <c r="U257" s="22"/>
      <c r="V257" s="22"/>
      <c r="W257" s="22"/>
      <c r="X257" s="22"/>
      <c r="Y257" s="22"/>
      <c r="Z257" s="22"/>
      <c r="AA257" s="22"/>
    </row>
    <row r="258" spans="1:27" ht="15.75" hidden="1" outlineLevel="1" x14ac:dyDescent="0.2">
      <c r="A258" s="22"/>
      <c r="B258" s="65">
        <f>INDEX(CoPayBandMS,B257)</f>
        <v>0</v>
      </c>
      <c r="C258" s="454"/>
      <c r="D258" s="22"/>
      <c r="E258" s="22"/>
      <c r="F258" s="22"/>
      <c r="G258" s="22"/>
      <c r="H258" s="22"/>
      <c r="I258" s="22"/>
      <c r="J258" s="22"/>
      <c r="K258" s="22"/>
      <c r="L258" s="22"/>
      <c r="M258" s="22"/>
      <c r="N258" s="22"/>
      <c r="O258" s="22"/>
      <c r="P258" s="22"/>
      <c r="Q258" s="22"/>
      <c r="R258" s="22"/>
      <c r="S258" s="22"/>
      <c r="T258" s="22"/>
      <c r="U258" s="22"/>
      <c r="V258" s="22"/>
      <c r="W258" s="22"/>
      <c r="X258" s="22"/>
      <c r="Y258" s="22"/>
      <c r="Z258" s="22"/>
      <c r="AA258" s="22"/>
    </row>
    <row r="259" spans="1:27" ht="14.25" hidden="1" customHeight="1" outlineLevel="1" x14ac:dyDescent="0.2">
      <c r="B259" s="119"/>
      <c r="C259" s="488"/>
      <c r="D259" s="58">
        <f>E259-1</f>
        <v>2025</v>
      </c>
      <c r="E259" s="58">
        <f>FirstYear</f>
        <v>2026</v>
      </c>
      <c r="F259" s="58">
        <f>E259+1</f>
        <v>2027</v>
      </c>
      <c r="G259" s="58">
        <f>F259+1</f>
        <v>2028</v>
      </c>
      <c r="H259" s="58">
        <f>G259+1</f>
        <v>2029</v>
      </c>
      <c r="I259" s="58">
        <f>H259+1</f>
        <v>2030</v>
      </c>
      <c r="J259" s="58">
        <f>I259+1</f>
        <v>2031</v>
      </c>
      <c r="L259" s="260"/>
    </row>
    <row r="260" spans="1:27" hidden="1" outlineLevel="1" x14ac:dyDescent="0.2">
      <c r="B260" s="119"/>
      <c r="C260" s="2" t="s">
        <v>111</v>
      </c>
      <c r="D260" s="33">
        <f>IF($I$97="",-R63,0)</f>
        <v>0</v>
      </c>
      <c r="E260" s="33">
        <f t="shared" ref="E260:J260" si="115">IF(D260="","",D260*(1+D261))</f>
        <v>0</v>
      </c>
      <c r="F260" s="33">
        <f t="shared" si="115"/>
        <v>0</v>
      </c>
      <c r="G260" s="33">
        <f t="shared" si="115"/>
        <v>0</v>
      </c>
      <c r="H260" s="33">
        <f t="shared" si="115"/>
        <v>0</v>
      </c>
      <c r="I260" s="33">
        <f t="shared" si="115"/>
        <v>0</v>
      </c>
      <c r="J260" s="33">
        <f t="shared" si="115"/>
        <v>0</v>
      </c>
      <c r="L260" s="31" t="s">
        <v>249</v>
      </c>
      <c r="N260" s="260"/>
    </row>
    <row r="261" spans="1:27" hidden="1" outlineLevel="1" x14ac:dyDescent="0.2">
      <c r="B261" s="119"/>
      <c r="C261" s="7" t="s">
        <v>26</v>
      </c>
      <c r="D261" s="49"/>
      <c r="E261" s="49"/>
      <c r="F261" s="49"/>
      <c r="G261" s="49"/>
      <c r="H261" s="49"/>
      <c r="I261" s="49"/>
      <c r="J261" s="28"/>
      <c r="L261" s="589"/>
      <c r="M261" s="590"/>
      <c r="N261" s="590"/>
      <c r="O261" s="590"/>
      <c r="P261" s="590"/>
      <c r="Q261" s="590"/>
      <c r="R261" s="590"/>
      <c r="S261" s="590"/>
      <c r="T261" s="590"/>
    </row>
    <row r="262" spans="1:27" hidden="1" outlineLevel="1" x14ac:dyDescent="0.2">
      <c r="B262" s="119"/>
      <c r="C262" s="7" t="s">
        <v>33</v>
      </c>
      <c r="D262" s="49"/>
      <c r="E262" s="49"/>
      <c r="F262" s="49"/>
      <c r="G262" s="49"/>
      <c r="H262" s="49"/>
      <c r="I262" s="49"/>
      <c r="J262" s="49"/>
      <c r="L262" s="589"/>
      <c r="M262" s="590"/>
      <c r="N262" s="590"/>
      <c r="O262" s="590"/>
      <c r="P262" s="590"/>
      <c r="Q262" s="590"/>
      <c r="R262" s="590"/>
      <c r="S262" s="590"/>
      <c r="T262" s="590"/>
    </row>
    <row r="263" spans="1:27" hidden="1" outlineLevel="1" x14ac:dyDescent="0.2">
      <c r="B263" s="119"/>
      <c r="C263" s="59" t="str">
        <f>"Proportion " &amp; IF(MarketImpact=0,"affected by","affected") &amp; " the proposed medicine"</f>
        <v>Proportion affected the proposed medicine</v>
      </c>
      <c r="D263" s="49"/>
      <c r="E263" s="49"/>
      <c r="F263" s="49"/>
      <c r="G263" s="49"/>
      <c r="H263" s="49"/>
      <c r="I263" s="49"/>
      <c r="J263" s="49"/>
      <c r="L263" s="589"/>
      <c r="M263" s="590"/>
      <c r="N263" s="590"/>
      <c r="O263" s="590"/>
      <c r="P263" s="590"/>
      <c r="Q263" s="590"/>
      <c r="R263" s="590"/>
      <c r="S263" s="590"/>
      <c r="T263" s="590"/>
    </row>
    <row r="264" spans="1:27" hidden="1" outlineLevel="1" x14ac:dyDescent="0.2">
      <c r="B264" s="119"/>
      <c r="C264" s="9" t="s">
        <v>104</v>
      </c>
      <c r="D264" s="27">
        <f t="shared" ref="D264:J264" si="116">D266-D265</f>
        <v>0</v>
      </c>
      <c r="E264" s="27">
        <f t="shared" si="116"/>
        <v>0</v>
      </c>
      <c r="F264" s="27">
        <f t="shared" si="116"/>
        <v>0</v>
      </c>
      <c r="G264" s="27">
        <f t="shared" si="116"/>
        <v>0</v>
      </c>
      <c r="H264" s="27">
        <f t="shared" si="116"/>
        <v>0</v>
      </c>
      <c r="I264" s="27">
        <f t="shared" si="116"/>
        <v>0</v>
      </c>
      <c r="J264" s="27">
        <f t="shared" si="116"/>
        <v>0</v>
      </c>
    </row>
    <row r="265" spans="1:27" hidden="1" outlineLevel="1" x14ac:dyDescent="0.2">
      <c r="B265" s="119"/>
      <c r="C265" s="9" t="s">
        <v>105</v>
      </c>
      <c r="D265" s="27">
        <f t="shared" ref="D265:J265" si="117">IF($B258&lt;&gt;0,ROUND(D266*INDEX(ServiceSplitRPBS,$B258),0),0)</f>
        <v>0</v>
      </c>
      <c r="E265" s="27">
        <f t="shared" si="117"/>
        <v>0</v>
      </c>
      <c r="F265" s="27">
        <f t="shared" si="117"/>
        <v>0</v>
      </c>
      <c r="G265" s="27">
        <f t="shared" si="117"/>
        <v>0</v>
      </c>
      <c r="H265" s="27">
        <f t="shared" si="117"/>
        <v>0</v>
      </c>
      <c r="I265" s="27">
        <f t="shared" si="117"/>
        <v>0</v>
      </c>
      <c r="J265" s="27">
        <f t="shared" si="117"/>
        <v>0</v>
      </c>
    </row>
    <row r="266" spans="1:27" hidden="1" outlineLevel="1" x14ac:dyDescent="0.2">
      <c r="B266" s="119"/>
      <c r="C266" s="78" t="s">
        <v>831</v>
      </c>
      <c r="D266" s="30">
        <f t="shared" ref="D266:J266" si="118">IF(D260="","",D263*D262*D260)</f>
        <v>0</v>
      </c>
      <c r="E266" s="30">
        <f t="shared" si="118"/>
        <v>0</v>
      </c>
      <c r="F266" s="30">
        <f t="shared" si="118"/>
        <v>0</v>
      </c>
      <c r="G266" s="30">
        <f t="shared" si="118"/>
        <v>0</v>
      </c>
      <c r="H266" s="30">
        <f t="shared" si="118"/>
        <v>0</v>
      </c>
      <c r="I266" s="30">
        <f t="shared" si="118"/>
        <v>0</v>
      </c>
      <c r="J266" s="30">
        <f t="shared" si="118"/>
        <v>0</v>
      </c>
    </row>
    <row r="267" spans="1:27" hidden="1" outlineLevel="1" x14ac:dyDescent="0.2">
      <c r="B267" s="119"/>
    </row>
    <row r="268" spans="1:27" collapsed="1" x14ac:dyDescent="0.2">
      <c r="B268" s="119"/>
    </row>
    <row r="269" spans="1:27" ht="15" x14ac:dyDescent="0.2">
      <c r="A269" s="22"/>
      <c r="B269" s="249">
        <v>15</v>
      </c>
      <c r="C269" s="129" t="str">
        <f>IF($I$97&lt;&gt;"",MsgNotUsed,INDEX(NamesOverallChanged,B269))</f>
        <v>** NOT USED **</v>
      </c>
      <c r="D269" s="123"/>
      <c r="E269" s="123"/>
      <c r="F269" s="123"/>
      <c r="G269" s="123"/>
      <c r="H269" s="117"/>
      <c r="I269" s="588" t="str">
        <f>IF(C269&lt;&gt;MsgNotUsed,"Co-payment group " &amp; INDEX(CoPayBandMS,B269),"")</f>
        <v/>
      </c>
      <c r="J269" s="588"/>
      <c r="K269" s="123"/>
      <c r="L269" s="123"/>
      <c r="M269" s="123"/>
      <c r="N269" s="123"/>
      <c r="O269" s="123"/>
      <c r="P269" s="123"/>
      <c r="Q269" s="123"/>
      <c r="R269" s="123"/>
      <c r="S269" s="123"/>
      <c r="T269" s="123"/>
      <c r="U269" s="22"/>
      <c r="V269" s="22"/>
      <c r="W269" s="22"/>
      <c r="X269" s="22"/>
      <c r="Y269" s="22"/>
      <c r="Z269" s="22"/>
      <c r="AA269" s="22"/>
    </row>
    <row r="270" spans="1:27" ht="15.75" hidden="1" outlineLevel="1" x14ac:dyDescent="0.2">
      <c r="A270" s="22"/>
      <c r="B270" s="65">
        <f>INDEX(CoPayBandMS,B269)</f>
        <v>0</v>
      </c>
      <c r="C270" s="454"/>
      <c r="D270" s="22"/>
      <c r="E270" s="22"/>
      <c r="F270" s="22"/>
      <c r="G270" s="22"/>
      <c r="H270" s="22"/>
      <c r="I270" s="22"/>
      <c r="J270" s="22"/>
      <c r="K270" s="22"/>
      <c r="L270" s="22"/>
      <c r="M270" s="22"/>
      <c r="N270" s="22"/>
      <c r="O270" s="22"/>
      <c r="P270" s="22"/>
      <c r="Q270" s="22"/>
      <c r="R270" s="22"/>
      <c r="S270" s="22"/>
      <c r="T270" s="22"/>
      <c r="U270" s="22"/>
      <c r="V270" s="22"/>
      <c r="W270" s="22"/>
      <c r="X270" s="22"/>
      <c r="Y270" s="22"/>
      <c r="Z270" s="22"/>
      <c r="AA270" s="22"/>
    </row>
    <row r="271" spans="1:27" ht="14.25" hidden="1" customHeight="1" outlineLevel="1" x14ac:dyDescent="0.2">
      <c r="B271" s="119"/>
      <c r="C271" s="488"/>
      <c r="D271" s="58">
        <f>E271-1</f>
        <v>2025</v>
      </c>
      <c r="E271" s="58">
        <f>FirstYear</f>
        <v>2026</v>
      </c>
      <c r="F271" s="58">
        <f>E271+1</f>
        <v>2027</v>
      </c>
      <c r="G271" s="58">
        <f>F271+1</f>
        <v>2028</v>
      </c>
      <c r="H271" s="58">
        <f>G271+1</f>
        <v>2029</v>
      </c>
      <c r="I271" s="58">
        <f>H271+1</f>
        <v>2030</v>
      </c>
      <c r="J271" s="58">
        <f>I271+1</f>
        <v>2031</v>
      </c>
      <c r="L271" s="260"/>
    </row>
    <row r="272" spans="1:27" hidden="1" outlineLevel="1" x14ac:dyDescent="0.2">
      <c r="B272" s="119"/>
      <c r="C272" s="2" t="s">
        <v>111</v>
      </c>
      <c r="D272" s="33">
        <f>IF($I$97="",-R64,0)</f>
        <v>0</v>
      </c>
      <c r="E272" s="33">
        <f t="shared" ref="E272:J272" si="119">IF(D272="","",D272*(1+D273))</f>
        <v>0</v>
      </c>
      <c r="F272" s="33">
        <f t="shared" si="119"/>
        <v>0</v>
      </c>
      <c r="G272" s="33">
        <f t="shared" si="119"/>
        <v>0</v>
      </c>
      <c r="H272" s="33">
        <f t="shared" si="119"/>
        <v>0</v>
      </c>
      <c r="I272" s="33">
        <f t="shared" si="119"/>
        <v>0</v>
      </c>
      <c r="J272" s="33">
        <f t="shared" si="119"/>
        <v>0</v>
      </c>
      <c r="L272" s="31" t="s">
        <v>249</v>
      </c>
      <c r="N272" s="260"/>
    </row>
    <row r="273" spans="1:27" hidden="1" outlineLevel="1" x14ac:dyDescent="0.2">
      <c r="B273" s="119"/>
      <c r="C273" s="7" t="s">
        <v>26</v>
      </c>
      <c r="D273" s="49"/>
      <c r="E273" s="49"/>
      <c r="F273" s="49"/>
      <c r="G273" s="49"/>
      <c r="H273" s="49"/>
      <c r="I273" s="49"/>
      <c r="J273" s="28"/>
      <c r="L273" s="589"/>
      <c r="M273" s="590"/>
      <c r="N273" s="590"/>
      <c r="O273" s="590"/>
      <c r="P273" s="590"/>
      <c r="Q273" s="590"/>
      <c r="R273" s="590"/>
      <c r="S273" s="590"/>
      <c r="T273" s="590"/>
    </row>
    <row r="274" spans="1:27" hidden="1" outlineLevel="1" x14ac:dyDescent="0.2">
      <c r="B274" s="119"/>
      <c r="C274" s="7" t="s">
        <v>33</v>
      </c>
      <c r="D274" s="49"/>
      <c r="E274" s="49"/>
      <c r="F274" s="49"/>
      <c r="G274" s="49"/>
      <c r="H274" s="49"/>
      <c r="I274" s="49"/>
      <c r="J274" s="49"/>
      <c r="L274" s="589"/>
      <c r="M274" s="590"/>
      <c r="N274" s="590"/>
      <c r="O274" s="590"/>
      <c r="P274" s="590"/>
      <c r="Q274" s="590"/>
      <c r="R274" s="590"/>
      <c r="S274" s="590"/>
      <c r="T274" s="590"/>
    </row>
    <row r="275" spans="1:27" hidden="1" outlineLevel="1" x14ac:dyDescent="0.2">
      <c r="B275" s="119"/>
      <c r="C275" s="59" t="str">
        <f>"Proportion " &amp; IF(MarketImpact=0,"affected by","affected") &amp; " the proposed medicine"</f>
        <v>Proportion affected the proposed medicine</v>
      </c>
      <c r="D275" s="49"/>
      <c r="E275" s="49"/>
      <c r="F275" s="49"/>
      <c r="G275" s="49"/>
      <c r="H275" s="49"/>
      <c r="I275" s="49"/>
      <c r="J275" s="49"/>
      <c r="L275" s="589"/>
      <c r="M275" s="590"/>
      <c r="N275" s="590"/>
      <c r="O275" s="590"/>
      <c r="P275" s="590"/>
      <c r="Q275" s="590"/>
      <c r="R275" s="590"/>
      <c r="S275" s="590"/>
      <c r="T275" s="590"/>
    </row>
    <row r="276" spans="1:27" hidden="1" outlineLevel="1" x14ac:dyDescent="0.2">
      <c r="B276" s="119"/>
      <c r="C276" s="9" t="s">
        <v>104</v>
      </c>
      <c r="D276" s="27">
        <f t="shared" ref="D276:J276" si="120">D278-D277</f>
        <v>0</v>
      </c>
      <c r="E276" s="27">
        <f t="shared" si="120"/>
        <v>0</v>
      </c>
      <c r="F276" s="27">
        <f t="shared" si="120"/>
        <v>0</v>
      </c>
      <c r="G276" s="27">
        <f t="shared" si="120"/>
        <v>0</v>
      </c>
      <c r="H276" s="27">
        <f t="shared" si="120"/>
        <v>0</v>
      </c>
      <c r="I276" s="27">
        <f t="shared" si="120"/>
        <v>0</v>
      </c>
      <c r="J276" s="27">
        <f t="shared" si="120"/>
        <v>0</v>
      </c>
    </row>
    <row r="277" spans="1:27" hidden="1" outlineLevel="1" x14ac:dyDescent="0.2">
      <c r="B277" s="119"/>
      <c r="C277" s="9" t="s">
        <v>105</v>
      </c>
      <c r="D277" s="27">
        <f t="shared" ref="D277:J277" si="121">IF($B270&lt;&gt;0,ROUND(D278*INDEX(ServiceSplitRPBS,$B270),0),0)</f>
        <v>0</v>
      </c>
      <c r="E277" s="27">
        <f t="shared" si="121"/>
        <v>0</v>
      </c>
      <c r="F277" s="27">
        <f t="shared" si="121"/>
        <v>0</v>
      </c>
      <c r="G277" s="27">
        <f t="shared" si="121"/>
        <v>0</v>
      </c>
      <c r="H277" s="27">
        <f t="shared" si="121"/>
        <v>0</v>
      </c>
      <c r="I277" s="27">
        <f t="shared" si="121"/>
        <v>0</v>
      </c>
      <c r="J277" s="27">
        <f t="shared" si="121"/>
        <v>0</v>
      </c>
    </row>
    <row r="278" spans="1:27" hidden="1" outlineLevel="1" x14ac:dyDescent="0.2">
      <c r="B278" s="119"/>
      <c r="C278" s="78" t="s">
        <v>831</v>
      </c>
      <c r="D278" s="30">
        <f t="shared" ref="D278:J278" si="122">IF(D272="","",D275*D274*D272)</f>
        <v>0</v>
      </c>
      <c r="E278" s="30">
        <f t="shared" si="122"/>
        <v>0</v>
      </c>
      <c r="F278" s="30">
        <f t="shared" si="122"/>
        <v>0</v>
      </c>
      <c r="G278" s="30">
        <f t="shared" si="122"/>
        <v>0</v>
      </c>
      <c r="H278" s="30">
        <f t="shared" si="122"/>
        <v>0</v>
      </c>
      <c r="I278" s="30">
        <f t="shared" si="122"/>
        <v>0</v>
      </c>
      <c r="J278" s="30">
        <f t="shared" si="122"/>
        <v>0</v>
      </c>
    </row>
    <row r="279" spans="1:27" hidden="1" outlineLevel="1" x14ac:dyDescent="0.2">
      <c r="B279" s="119"/>
    </row>
    <row r="280" spans="1:27" collapsed="1" x14ac:dyDescent="0.2">
      <c r="B280" s="119"/>
    </row>
    <row r="281" spans="1:27" ht="15" x14ac:dyDescent="0.2">
      <c r="A281" s="22"/>
      <c r="B281" s="249">
        <v>16</v>
      </c>
      <c r="C281" s="129" t="str">
        <f>IF($I$97&lt;&gt;"",MsgNotUsed,INDEX(NamesOverallChanged,B281))</f>
        <v>** NOT USED **</v>
      </c>
      <c r="D281" s="123"/>
      <c r="E281" s="123"/>
      <c r="F281" s="123"/>
      <c r="G281" s="123"/>
      <c r="H281" s="117"/>
      <c r="I281" s="588" t="str">
        <f>IF(C281&lt;&gt;MsgNotUsed,"Co-payment group " &amp; INDEX(CoPayBandMS,B281),"")</f>
        <v/>
      </c>
      <c r="J281" s="588"/>
      <c r="K281" s="123"/>
      <c r="L281" s="123"/>
      <c r="M281" s="123"/>
      <c r="N281" s="123"/>
      <c r="O281" s="123"/>
      <c r="P281" s="123"/>
      <c r="Q281" s="123"/>
      <c r="R281" s="123"/>
      <c r="S281" s="123"/>
      <c r="T281" s="123"/>
      <c r="U281" s="22"/>
      <c r="V281" s="22"/>
      <c r="W281" s="22"/>
      <c r="X281" s="22"/>
      <c r="Y281" s="22"/>
      <c r="Z281" s="22"/>
      <c r="AA281" s="22"/>
    </row>
    <row r="282" spans="1:27" ht="15.75" hidden="1" outlineLevel="1" x14ac:dyDescent="0.2">
      <c r="A282" s="22"/>
      <c r="B282" s="65">
        <f>INDEX(CoPayBandMS,B281)</f>
        <v>0</v>
      </c>
      <c r="C282" s="454"/>
      <c r="D282" s="22"/>
      <c r="E282" s="22"/>
      <c r="F282" s="22"/>
      <c r="G282" s="22"/>
      <c r="H282" s="22"/>
      <c r="I282" s="22"/>
      <c r="J282" s="22"/>
      <c r="K282" s="22"/>
      <c r="L282" s="22"/>
      <c r="M282" s="22"/>
      <c r="N282" s="22"/>
      <c r="O282" s="22"/>
      <c r="P282" s="22"/>
      <c r="Q282" s="22"/>
      <c r="R282" s="22"/>
      <c r="S282" s="22"/>
      <c r="T282" s="22"/>
      <c r="U282" s="22"/>
      <c r="V282" s="22"/>
      <c r="W282" s="22"/>
      <c r="X282" s="22"/>
      <c r="Y282" s="22"/>
      <c r="Z282" s="22"/>
      <c r="AA282" s="22"/>
    </row>
    <row r="283" spans="1:27" ht="14.25" hidden="1" customHeight="1" outlineLevel="1" x14ac:dyDescent="0.2">
      <c r="B283" s="119"/>
      <c r="C283" s="488"/>
      <c r="D283" s="58">
        <f>E283-1</f>
        <v>2025</v>
      </c>
      <c r="E283" s="58">
        <f>FirstYear</f>
        <v>2026</v>
      </c>
      <c r="F283" s="58">
        <f>E283+1</f>
        <v>2027</v>
      </c>
      <c r="G283" s="58">
        <f>F283+1</f>
        <v>2028</v>
      </c>
      <c r="H283" s="58">
        <f>G283+1</f>
        <v>2029</v>
      </c>
      <c r="I283" s="58">
        <f>H283+1</f>
        <v>2030</v>
      </c>
      <c r="J283" s="58">
        <f>I283+1</f>
        <v>2031</v>
      </c>
      <c r="L283" s="260"/>
    </row>
    <row r="284" spans="1:27" hidden="1" outlineLevel="1" x14ac:dyDescent="0.2">
      <c r="B284" s="119"/>
      <c r="C284" s="2" t="s">
        <v>111</v>
      </c>
      <c r="D284" s="33">
        <f>IF($I$97="",-R65,0)</f>
        <v>0</v>
      </c>
      <c r="E284" s="33">
        <f t="shared" ref="E284:J284" si="123">IF(D284="","",D284*(1+D285))</f>
        <v>0</v>
      </c>
      <c r="F284" s="33">
        <f t="shared" si="123"/>
        <v>0</v>
      </c>
      <c r="G284" s="33">
        <f t="shared" si="123"/>
        <v>0</v>
      </c>
      <c r="H284" s="33">
        <f t="shared" si="123"/>
        <v>0</v>
      </c>
      <c r="I284" s="33">
        <f t="shared" si="123"/>
        <v>0</v>
      </c>
      <c r="J284" s="33">
        <f t="shared" si="123"/>
        <v>0</v>
      </c>
      <c r="L284" s="31" t="s">
        <v>249</v>
      </c>
      <c r="N284" s="260"/>
    </row>
    <row r="285" spans="1:27" hidden="1" outlineLevel="1" x14ac:dyDescent="0.2">
      <c r="B285" s="119"/>
      <c r="C285" s="7" t="s">
        <v>26</v>
      </c>
      <c r="D285" s="49"/>
      <c r="E285" s="49"/>
      <c r="F285" s="49"/>
      <c r="G285" s="49"/>
      <c r="H285" s="49"/>
      <c r="I285" s="49"/>
      <c r="J285" s="28"/>
      <c r="L285" s="589"/>
      <c r="M285" s="590"/>
      <c r="N285" s="590"/>
      <c r="O285" s="590"/>
      <c r="P285" s="590"/>
      <c r="Q285" s="590"/>
      <c r="R285" s="590"/>
      <c r="S285" s="590"/>
      <c r="T285" s="590"/>
    </row>
    <row r="286" spans="1:27" hidden="1" outlineLevel="1" x14ac:dyDescent="0.2">
      <c r="B286" s="119"/>
      <c r="C286" s="7" t="s">
        <v>33</v>
      </c>
      <c r="D286" s="49"/>
      <c r="E286" s="49"/>
      <c r="F286" s="49"/>
      <c r="G286" s="49"/>
      <c r="H286" s="49"/>
      <c r="I286" s="49"/>
      <c r="J286" s="49"/>
      <c r="L286" s="589"/>
      <c r="M286" s="590"/>
      <c r="N286" s="590"/>
      <c r="O286" s="590"/>
      <c r="P286" s="590"/>
      <c r="Q286" s="590"/>
      <c r="R286" s="590"/>
      <c r="S286" s="590"/>
      <c r="T286" s="590"/>
    </row>
    <row r="287" spans="1:27" hidden="1" outlineLevel="1" x14ac:dyDescent="0.2">
      <c r="B287" s="119"/>
      <c r="C287" s="59" t="str">
        <f>"Proportion " &amp; IF(MarketImpact=0,"affected by","affected") &amp; " the proposed medicine"</f>
        <v>Proportion affected the proposed medicine</v>
      </c>
      <c r="D287" s="49"/>
      <c r="E287" s="49"/>
      <c r="F287" s="49"/>
      <c r="G287" s="49"/>
      <c r="H287" s="49"/>
      <c r="I287" s="49"/>
      <c r="J287" s="49"/>
      <c r="L287" s="589"/>
      <c r="M287" s="590"/>
      <c r="N287" s="590"/>
      <c r="O287" s="590"/>
      <c r="P287" s="590"/>
      <c r="Q287" s="590"/>
      <c r="R287" s="590"/>
      <c r="S287" s="590"/>
      <c r="T287" s="590"/>
    </row>
    <row r="288" spans="1:27" hidden="1" outlineLevel="1" x14ac:dyDescent="0.2">
      <c r="B288" s="119"/>
      <c r="C288" s="9" t="s">
        <v>104</v>
      </c>
      <c r="D288" s="27">
        <f t="shared" ref="D288:J288" si="124">D290-D289</f>
        <v>0</v>
      </c>
      <c r="E288" s="27">
        <f t="shared" si="124"/>
        <v>0</v>
      </c>
      <c r="F288" s="27">
        <f t="shared" si="124"/>
        <v>0</v>
      </c>
      <c r="G288" s="27">
        <f t="shared" si="124"/>
        <v>0</v>
      </c>
      <c r="H288" s="27">
        <f t="shared" si="124"/>
        <v>0</v>
      </c>
      <c r="I288" s="27">
        <f t="shared" si="124"/>
        <v>0</v>
      </c>
      <c r="J288" s="27">
        <f t="shared" si="124"/>
        <v>0</v>
      </c>
    </row>
    <row r="289" spans="1:27" hidden="1" outlineLevel="1" x14ac:dyDescent="0.2">
      <c r="B289" s="119"/>
      <c r="C289" s="9" t="s">
        <v>105</v>
      </c>
      <c r="D289" s="27">
        <f t="shared" ref="D289:J289" si="125">IF($B282&lt;&gt;0,ROUND(D290*INDEX(ServiceSplitRPBS,$B282),0),0)</f>
        <v>0</v>
      </c>
      <c r="E289" s="27">
        <f t="shared" si="125"/>
        <v>0</v>
      </c>
      <c r="F289" s="27">
        <f t="shared" si="125"/>
        <v>0</v>
      </c>
      <c r="G289" s="27">
        <f t="shared" si="125"/>
        <v>0</v>
      </c>
      <c r="H289" s="27">
        <f t="shared" si="125"/>
        <v>0</v>
      </c>
      <c r="I289" s="27">
        <f t="shared" si="125"/>
        <v>0</v>
      </c>
      <c r="J289" s="27">
        <f t="shared" si="125"/>
        <v>0</v>
      </c>
    </row>
    <row r="290" spans="1:27" hidden="1" outlineLevel="1" x14ac:dyDescent="0.2">
      <c r="B290" s="119"/>
      <c r="C290" s="78" t="s">
        <v>831</v>
      </c>
      <c r="D290" s="30">
        <f t="shared" ref="D290:J290" si="126">IF(D284="","",D287*D286*D284)</f>
        <v>0</v>
      </c>
      <c r="E290" s="30">
        <f t="shared" si="126"/>
        <v>0</v>
      </c>
      <c r="F290" s="30">
        <f t="shared" si="126"/>
        <v>0</v>
      </c>
      <c r="G290" s="30">
        <f t="shared" si="126"/>
        <v>0</v>
      </c>
      <c r="H290" s="30">
        <f t="shared" si="126"/>
        <v>0</v>
      </c>
      <c r="I290" s="30">
        <f t="shared" si="126"/>
        <v>0</v>
      </c>
      <c r="J290" s="30">
        <f t="shared" si="126"/>
        <v>0</v>
      </c>
    </row>
    <row r="291" spans="1:27" hidden="1" outlineLevel="1" x14ac:dyDescent="0.2">
      <c r="B291" s="119"/>
    </row>
    <row r="292" spans="1:27" collapsed="1" x14ac:dyDescent="0.2">
      <c r="B292" s="119"/>
    </row>
    <row r="293" spans="1:27" ht="15" x14ac:dyDescent="0.2">
      <c r="A293" s="22"/>
      <c r="B293" s="249">
        <v>17</v>
      </c>
      <c r="C293" s="129" t="str">
        <f>IF($I$97&lt;&gt;"",MsgNotUsed,INDEX(NamesOverallChanged,B293))</f>
        <v>** NOT USED **</v>
      </c>
      <c r="D293" s="123"/>
      <c r="E293" s="123"/>
      <c r="F293" s="123"/>
      <c r="G293" s="123"/>
      <c r="H293" s="117"/>
      <c r="I293" s="588" t="str">
        <f>IF(C293&lt;&gt;MsgNotUsed,"Co-payment group " &amp; INDEX(CoPayBandMS,B293),"")</f>
        <v/>
      </c>
      <c r="J293" s="588"/>
      <c r="K293" s="123"/>
      <c r="L293" s="123"/>
      <c r="M293" s="123"/>
      <c r="N293" s="123"/>
      <c r="O293" s="123"/>
      <c r="P293" s="123"/>
      <c r="Q293" s="123"/>
      <c r="R293" s="123"/>
      <c r="S293" s="123"/>
      <c r="T293" s="123"/>
      <c r="U293" s="22"/>
      <c r="V293" s="22"/>
      <c r="W293" s="22"/>
      <c r="X293" s="22"/>
      <c r="Y293" s="22"/>
      <c r="Z293" s="22"/>
      <c r="AA293" s="22"/>
    </row>
    <row r="294" spans="1:27" ht="15.75" hidden="1" outlineLevel="1" x14ac:dyDescent="0.2">
      <c r="A294" s="22"/>
      <c r="B294" s="65">
        <f>INDEX(CoPayBandMS,B293)</f>
        <v>0</v>
      </c>
      <c r="C294" s="454"/>
      <c r="D294" s="22"/>
      <c r="E294" s="22"/>
      <c r="F294" s="22"/>
      <c r="G294" s="22"/>
      <c r="H294" s="22"/>
      <c r="I294" s="22"/>
      <c r="J294" s="22"/>
      <c r="K294" s="22"/>
      <c r="L294" s="22"/>
      <c r="M294" s="22"/>
      <c r="N294" s="22"/>
      <c r="O294" s="22"/>
      <c r="P294" s="22"/>
      <c r="Q294" s="22"/>
      <c r="R294" s="22"/>
      <c r="S294" s="22"/>
      <c r="T294" s="22"/>
      <c r="U294" s="22"/>
      <c r="V294" s="22"/>
      <c r="W294" s="22"/>
      <c r="X294" s="22"/>
      <c r="Y294" s="22"/>
      <c r="Z294" s="22"/>
      <c r="AA294" s="22"/>
    </row>
    <row r="295" spans="1:27" ht="14.25" hidden="1" customHeight="1" outlineLevel="1" x14ac:dyDescent="0.2">
      <c r="B295" s="119"/>
      <c r="C295" s="488"/>
      <c r="D295" s="58">
        <f>E295-1</f>
        <v>2025</v>
      </c>
      <c r="E295" s="58">
        <f>FirstYear</f>
        <v>2026</v>
      </c>
      <c r="F295" s="58">
        <f>E295+1</f>
        <v>2027</v>
      </c>
      <c r="G295" s="58">
        <f>F295+1</f>
        <v>2028</v>
      </c>
      <c r="H295" s="58">
        <f>G295+1</f>
        <v>2029</v>
      </c>
      <c r="I295" s="58">
        <f>H295+1</f>
        <v>2030</v>
      </c>
      <c r="J295" s="58">
        <f>I295+1</f>
        <v>2031</v>
      </c>
      <c r="L295" s="260"/>
    </row>
    <row r="296" spans="1:27" hidden="1" outlineLevel="1" x14ac:dyDescent="0.2">
      <c r="B296" s="119"/>
      <c r="C296" s="2" t="s">
        <v>111</v>
      </c>
      <c r="D296" s="33">
        <f>IF($I$97="",-R66,0)</f>
        <v>0</v>
      </c>
      <c r="E296" s="33">
        <f t="shared" ref="E296:J296" si="127">IF(D296="","",D296*(1+D297))</f>
        <v>0</v>
      </c>
      <c r="F296" s="33">
        <f t="shared" si="127"/>
        <v>0</v>
      </c>
      <c r="G296" s="33">
        <f t="shared" si="127"/>
        <v>0</v>
      </c>
      <c r="H296" s="33">
        <f t="shared" si="127"/>
        <v>0</v>
      </c>
      <c r="I296" s="33">
        <f t="shared" si="127"/>
        <v>0</v>
      </c>
      <c r="J296" s="33">
        <f t="shared" si="127"/>
        <v>0</v>
      </c>
      <c r="L296" s="31" t="s">
        <v>249</v>
      </c>
      <c r="N296" s="260"/>
    </row>
    <row r="297" spans="1:27" hidden="1" outlineLevel="1" x14ac:dyDescent="0.2">
      <c r="B297" s="119"/>
      <c r="C297" s="7" t="s">
        <v>26</v>
      </c>
      <c r="D297" s="49"/>
      <c r="E297" s="49"/>
      <c r="F297" s="49"/>
      <c r="G297" s="49"/>
      <c r="H297" s="49"/>
      <c r="I297" s="49"/>
      <c r="J297" s="28"/>
      <c r="L297" s="589"/>
      <c r="M297" s="590"/>
      <c r="N297" s="590"/>
      <c r="O297" s="590"/>
      <c r="P297" s="590"/>
      <c r="Q297" s="590"/>
      <c r="R297" s="590"/>
      <c r="S297" s="590"/>
      <c r="T297" s="590"/>
    </row>
    <row r="298" spans="1:27" hidden="1" outlineLevel="1" x14ac:dyDescent="0.2">
      <c r="B298" s="119"/>
      <c r="C298" s="7" t="s">
        <v>33</v>
      </c>
      <c r="D298" s="49"/>
      <c r="E298" s="49"/>
      <c r="F298" s="49"/>
      <c r="G298" s="49"/>
      <c r="H298" s="49"/>
      <c r="I298" s="49"/>
      <c r="J298" s="49"/>
      <c r="L298" s="589"/>
      <c r="M298" s="590"/>
      <c r="N298" s="590"/>
      <c r="O298" s="590"/>
      <c r="P298" s="590"/>
      <c r="Q298" s="590"/>
      <c r="R298" s="590"/>
      <c r="S298" s="590"/>
      <c r="T298" s="590"/>
    </row>
    <row r="299" spans="1:27" hidden="1" outlineLevel="1" x14ac:dyDescent="0.2">
      <c r="B299" s="119"/>
      <c r="C299" s="59" t="str">
        <f>"Proportion " &amp; IF(MarketImpact=0,"affected by","affected") &amp; " the proposed medicine"</f>
        <v>Proportion affected the proposed medicine</v>
      </c>
      <c r="D299" s="49"/>
      <c r="E299" s="49"/>
      <c r="F299" s="49"/>
      <c r="G299" s="49"/>
      <c r="H299" s="49"/>
      <c r="I299" s="49"/>
      <c r="J299" s="49"/>
      <c r="L299" s="589"/>
      <c r="M299" s="590"/>
      <c r="N299" s="590"/>
      <c r="O299" s="590"/>
      <c r="P299" s="590"/>
      <c r="Q299" s="590"/>
      <c r="R299" s="590"/>
      <c r="S299" s="590"/>
      <c r="T299" s="590"/>
    </row>
    <row r="300" spans="1:27" hidden="1" outlineLevel="1" x14ac:dyDescent="0.2">
      <c r="B300" s="119"/>
      <c r="C300" s="9" t="s">
        <v>104</v>
      </c>
      <c r="D300" s="27">
        <f t="shared" ref="D300:J300" si="128">D302-D301</f>
        <v>0</v>
      </c>
      <c r="E300" s="27">
        <f t="shared" si="128"/>
        <v>0</v>
      </c>
      <c r="F300" s="27">
        <f t="shared" si="128"/>
        <v>0</v>
      </c>
      <c r="G300" s="27">
        <f t="shared" si="128"/>
        <v>0</v>
      </c>
      <c r="H300" s="27">
        <f t="shared" si="128"/>
        <v>0</v>
      </c>
      <c r="I300" s="27">
        <f t="shared" si="128"/>
        <v>0</v>
      </c>
      <c r="J300" s="27">
        <f t="shared" si="128"/>
        <v>0</v>
      </c>
    </row>
    <row r="301" spans="1:27" hidden="1" outlineLevel="1" x14ac:dyDescent="0.2">
      <c r="B301" s="119"/>
      <c r="C301" s="9" t="s">
        <v>105</v>
      </c>
      <c r="D301" s="27">
        <f t="shared" ref="D301:J301" si="129">IF($B294&lt;&gt;0,ROUND(D302*INDEX(ServiceSplitRPBS,$B294),0),0)</f>
        <v>0</v>
      </c>
      <c r="E301" s="27">
        <f t="shared" si="129"/>
        <v>0</v>
      </c>
      <c r="F301" s="27">
        <f t="shared" si="129"/>
        <v>0</v>
      </c>
      <c r="G301" s="27">
        <f t="shared" si="129"/>
        <v>0</v>
      </c>
      <c r="H301" s="27">
        <f t="shared" si="129"/>
        <v>0</v>
      </c>
      <c r="I301" s="27">
        <f t="shared" si="129"/>
        <v>0</v>
      </c>
      <c r="J301" s="27">
        <f t="shared" si="129"/>
        <v>0</v>
      </c>
    </row>
    <row r="302" spans="1:27" hidden="1" outlineLevel="1" x14ac:dyDescent="0.2">
      <c r="B302" s="119"/>
      <c r="C302" s="78" t="s">
        <v>831</v>
      </c>
      <c r="D302" s="30">
        <f t="shared" ref="D302:J302" si="130">IF(D296="","",D299*D298*D296)</f>
        <v>0</v>
      </c>
      <c r="E302" s="30">
        <f t="shared" si="130"/>
        <v>0</v>
      </c>
      <c r="F302" s="30">
        <f t="shared" si="130"/>
        <v>0</v>
      </c>
      <c r="G302" s="30">
        <f t="shared" si="130"/>
        <v>0</v>
      </c>
      <c r="H302" s="30">
        <f t="shared" si="130"/>
        <v>0</v>
      </c>
      <c r="I302" s="30">
        <f t="shared" si="130"/>
        <v>0</v>
      </c>
      <c r="J302" s="30">
        <f t="shared" si="130"/>
        <v>0</v>
      </c>
    </row>
    <row r="303" spans="1:27" hidden="1" outlineLevel="1" x14ac:dyDescent="0.2">
      <c r="B303" s="119"/>
    </row>
    <row r="304" spans="1:27" collapsed="1" x14ac:dyDescent="0.2">
      <c r="B304" s="119"/>
    </row>
    <row r="305" spans="1:27" ht="15" x14ac:dyDescent="0.2">
      <c r="A305" s="22"/>
      <c r="B305" s="249">
        <v>18</v>
      </c>
      <c r="C305" s="129" t="str">
        <f>IF($I$97&lt;&gt;"",MsgNotUsed,INDEX(NamesOverallChanged,B305))</f>
        <v>** NOT USED **</v>
      </c>
      <c r="D305" s="123"/>
      <c r="E305" s="123"/>
      <c r="F305" s="123"/>
      <c r="G305" s="123"/>
      <c r="H305" s="117"/>
      <c r="I305" s="588" t="str">
        <f>IF(C305&lt;&gt;MsgNotUsed,"Co-payment group " &amp; INDEX(CoPayBandMS,B305),"")</f>
        <v/>
      </c>
      <c r="J305" s="588"/>
      <c r="K305" s="123"/>
      <c r="L305" s="123"/>
      <c r="M305" s="123"/>
      <c r="N305" s="123"/>
      <c r="O305" s="123"/>
      <c r="P305" s="123"/>
      <c r="Q305" s="123"/>
      <c r="R305" s="123"/>
      <c r="S305" s="123"/>
      <c r="T305" s="123"/>
      <c r="U305" s="22"/>
      <c r="V305" s="22"/>
      <c r="W305" s="22"/>
      <c r="X305" s="22"/>
      <c r="Y305" s="22"/>
      <c r="Z305" s="22"/>
      <c r="AA305" s="22"/>
    </row>
    <row r="306" spans="1:27" ht="15.75" hidden="1" outlineLevel="1" x14ac:dyDescent="0.2">
      <c r="A306" s="22"/>
      <c r="B306" s="65">
        <f>INDEX(CoPayBandMS,B305)</f>
        <v>0</v>
      </c>
      <c r="C306" s="454"/>
      <c r="D306" s="22"/>
      <c r="E306" s="22"/>
      <c r="F306" s="22"/>
      <c r="G306" s="22"/>
      <c r="H306" s="22"/>
      <c r="I306" s="22"/>
      <c r="J306" s="22"/>
      <c r="K306" s="22"/>
      <c r="L306" s="22"/>
      <c r="M306" s="22"/>
      <c r="N306" s="22"/>
      <c r="O306" s="22"/>
      <c r="P306" s="22"/>
      <c r="Q306" s="22"/>
      <c r="R306" s="22"/>
      <c r="S306" s="22"/>
      <c r="T306" s="22"/>
      <c r="U306" s="22"/>
      <c r="V306" s="22"/>
      <c r="W306" s="22"/>
      <c r="X306" s="22"/>
      <c r="Y306" s="22"/>
      <c r="Z306" s="22"/>
      <c r="AA306" s="22"/>
    </row>
    <row r="307" spans="1:27" ht="14.25" hidden="1" customHeight="1" outlineLevel="1" x14ac:dyDescent="0.2">
      <c r="B307" s="119"/>
      <c r="C307" s="488"/>
      <c r="D307" s="58">
        <f>E307-1</f>
        <v>2025</v>
      </c>
      <c r="E307" s="58">
        <f>FirstYear</f>
        <v>2026</v>
      </c>
      <c r="F307" s="58">
        <f>E307+1</f>
        <v>2027</v>
      </c>
      <c r="G307" s="58">
        <f>F307+1</f>
        <v>2028</v>
      </c>
      <c r="H307" s="58">
        <f>G307+1</f>
        <v>2029</v>
      </c>
      <c r="I307" s="58">
        <f>H307+1</f>
        <v>2030</v>
      </c>
      <c r="J307" s="58">
        <f>I307+1</f>
        <v>2031</v>
      </c>
      <c r="L307" s="260"/>
    </row>
    <row r="308" spans="1:27" hidden="1" outlineLevel="1" x14ac:dyDescent="0.2">
      <c r="B308" s="119"/>
      <c r="C308" s="2" t="s">
        <v>111</v>
      </c>
      <c r="D308" s="33">
        <f>IF($I$97="",-R67,0)</f>
        <v>0</v>
      </c>
      <c r="E308" s="33">
        <f t="shared" ref="E308:J308" si="131">IF(D308="","",D308*(1+D309))</f>
        <v>0</v>
      </c>
      <c r="F308" s="33">
        <f t="shared" si="131"/>
        <v>0</v>
      </c>
      <c r="G308" s="33">
        <f t="shared" si="131"/>
        <v>0</v>
      </c>
      <c r="H308" s="33">
        <f t="shared" si="131"/>
        <v>0</v>
      </c>
      <c r="I308" s="33">
        <f t="shared" si="131"/>
        <v>0</v>
      </c>
      <c r="J308" s="33">
        <f t="shared" si="131"/>
        <v>0</v>
      </c>
      <c r="L308" s="31" t="s">
        <v>249</v>
      </c>
      <c r="N308" s="260"/>
    </row>
    <row r="309" spans="1:27" hidden="1" outlineLevel="1" x14ac:dyDescent="0.2">
      <c r="B309" s="119"/>
      <c r="C309" s="7" t="s">
        <v>26</v>
      </c>
      <c r="D309" s="49"/>
      <c r="E309" s="49"/>
      <c r="F309" s="49"/>
      <c r="G309" s="49"/>
      <c r="H309" s="49"/>
      <c r="I309" s="49"/>
      <c r="J309" s="28"/>
      <c r="L309" s="589"/>
      <c r="M309" s="590"/>
      <c r="N309" s="590"/>
      <c r="O309" s="590"/>
      <c r="P309" s="590"/>
      <c r="Q309" s="590"/>
      <c r="R309" s="590"/>
      <c r="S309" s="590"/>
      <c r="T309" s="590"/>
    </row>
    <row r="310" spans="1:27" hidden="1" outlineLevel="1" x14ac:dyDescent="0.2">
      <c r="B310" s="119"/>
      <c r="C310" s="7" t="s">
        <v>33</v>
      </c>
      <c r="D310" s="49"/>
      <c r="E310" s="49"/>
      <c r="F310" s="49"/>
      <c r="G310" s="49"/>
      <c r="H310" s="49"/>
      <c r="I310" s="49"/>
      <c r="J310" s="49"/>
      <c r="L310" s="589"/>
      <c r="M310" s="590"/>
      <c r="N310" s="590"/>
      <c r="O310" s="590"/>
      <c r="P310" s="590"/>
      <c r="Q310" s="590"/>
      <c r="R310" s="590"/>
      <c r="S310" s="590"/>
      <c r="T310" s="590"/>
    </row>
    <row r="311" spans="1:27" hidden="1" outlineLevel="1" x14ac:dyDescent="0.2">
      <c r="B311" s="119"/>
      <c r="C311" s="59" t="str">
        <f>"Proportion " &amp; IF(MarketImpact=0,"affected by","affected") &amp; " the proposed medicine"</f>
        <v>Proportion affected the proposed medicine</v>
      </c>
      <c r="D311" s="49"/>
      <c r="E311" s="49"/>
      <c r="F311" s="49"/>
      <c r="G311" s="49"/>
      <c r="H311" s="49"/>
      <c r="I311" s="49"/>
      <c r="J311" s="49"/>
      <c r="L311" s="589"/>
      <c r="M311" s="590"/>
      <c r="N311" s="590"/>
      <c r="O311" s="590"/>
      <c r="P311" s="590"/>
      <c r="Q311" s="590"/>
      <c r="R311" s="590"/>
      <c r="S311" s="590"/>
      <c r="T311" s="590"/>
    </row>
    <row r="312" spans="1:27" hidden="1" outlineLevel="1" x14ac:dyDescent="0.2">
      <c r="B312" s="119"/>
      <c r="C312" s="9" t="s">
        <v>104</v>
      </c>
      <c r="D312" s="27">
        <f t="shared" ref="D312:J312" si="132">D314-D313</f>
        <v>0</v>
      </c>
      <c r="E312" s="27">
        <f t="shared" si="132"/>
        <v>0</v>
      </c>
      <c r="F312" s="27">
        <f t="shared" si="132"/>
        <v>0</v>
      </c>
      <c r="G312" s="27">
        <f t="shared" si="132"/>
        <v>0</v>
      </c>
      <c r="H312" s="27">
        <f t="shared" si="132"/>
        <v>0</v>
      </c>
      <c r="I312" s="27">
        <f t="shared" si="132"/>
        <v>0</v>
      </c>
      <c r="J312" s="27">
        <f t="shared" si="132"/>
        <v>0</v>
      </c>
    </row>
    <row r="313" spans="1:27" hidden="1" outlineLevel="1" x14ac:dyDescent="0.2">
      <c r="B313" s="119"/>
      <c r="C313" s="9" t="s">
        <v>105</v>
      </c>
      <c r="D313" s="27">
        <f t="shared" ref="D313:J313" si="133">IF($B306&lt;&gt;0,ROUND(D314*INDEX(ServiceSplitRPBS,$B306),0),0)</f>
        <v>0</v>
      </c>
      <c r="E313" s="27">
        <f t="shared" si="133"/>
        <v>0</v>
      </c>
      <c r="F313" s="27">
        <f t="shared" si="133"/>
        <v>0</v>
      </c>
      <c r="G313" s="27">
        <f t="shared" si="133"/>
        <v>0</v>
      </c>
      <c r="H313" s="27">
        <f t="shared" si="133"/>
        <v>0</v>
      </c>
      <c r="I313" s="27">
        <f t="shared" si="133"/>
        <v>0</v>
      </c>
      <c r="J313" s="27">
        <f t="shared" si="133"/>
        <v>0</v>
      </c>
    </row>
    <row r="314" spans="1:27" hidden="1" outlineLevel="1" x14ac:dyDescent="0.2">
      <c r="B314" s="119"/>
      <c r="C314" s="78" t="s">
        <v>831</v>
      </c>
      <c r="D314" s="30">
        <f t="shared" ref="D314:J314" si="134">IF(D308="","",D311*D310*D308)</f>
        <v>0</v>
      </c>
      <c r="E314" s="30">
        <f t="shared" si="134"/>
        <v>0</v>
      </c>
      <c r="F314" s="30">
        <f t="shared" si="134"/>
        <v>0</v>
      </c>
      <c r="G314" s="30">
        <f t="shared" si="134"/>
        <v>0</v>
      </c>
      <c r="H314" s="30">
        <f t="shared" si="134"/>
        <v>0</v>
      </c>
      <c r="I314" s="30">
        <f t="shared" si="134"/>
        <v>0</v>
      </c>
      <c r="J314" s="30">
        <f t="shared" si="134"/>
        <v>0</v>
      </c>
    </row>
    <row r="315" spans="1:27" hidden="1" outlineLevel="1" x14ac:dyDescent="0.2">
      <c r="B315" s="119"/>
    </row>
    <row r="316" spans="1:27" collapsed="1" x14ac:dyDescent="0.2">
      <c r="B316" s="119"/>
    </row>
    <row r="317" spans="1:27" ht="15" x14ac:dyDescent="0.2">
      <c r="A317" s="22"/>
      <c r="B317" s="249">
        <v>19</v>
      </c>
      <c r="C317" s="129" t="str">
        <f>IF($I$97&lt;&gt;"",MsgNotUsed,INDEX(NamesOverallChanged,B317))</f>
        <v>** NOT USED **</v>
      </c>
      <c r="D317" s="123"/>
      <c r="E317" s="123"/>
      <c r="F317" s="123"/>
      <c r="G317" s="123"/>
      <c r="H317" s="117"/>
      <c r="I317" s="588" t="str">
        <f>IF(C317&lt;&gt;MsgNotUsed,"Co-payment group " &amp; INDEX(CoPayBandMS,B317),"")</f>
        <v/>
      </c>
      <c r="J317" s="588"/>
      <c r="K317" s="123"/>
      <c r="L317" s="123"/>
      <c r="M317" s="123"/>
      <c r="N317" s="123"/>
      <c r="O317" s="123"/>
      <c r="P317" s="123"/>
      <c r="Q317" s="123"/>
      <c r="R317" s="123"/>
      <c r="S317" s="123"/>
      <c r="T317" s="123"/>
      <c r="U317" s="22"/>
      <c r="V317" s="22"/>
      <c r="W317" s="22"/>
      <c r="X317" s="22"/>
      <c r="Y317" s="22"/>
      <c r="Z317" s="22"/>
      <c r="AA317" s="22"/>
    </row>
    <row r="318" spans="1:27" ht="15.75" hidden="1" outlineLevel="1" x14ac:dyDescent="0.2">
      <c r="A318" s="22"/>
      <c r="B318" s="65">
        <f>INDEX(CoPayBandMS,B317)</f>
        <v>0</v>
      </c>
      <c r="C318" s="454"/>
      <c r="D318" s="22"/>
      <c r="E318" s="22"/>
      <c r="F318" s="22"/>
      <c r="G318" s="22"/>
      <c r="H318" s="22"/>
      <c r="I318" s="22"/>
      <c r="J318" s="22"/>
      <c r="K318" s="22"/>
      <c r="L318" s="22"/>
      <c r="M318" s="22"/>
      <c r="N318" s="22"/>
      <c r="O318" s="22"/>
      <c r="P318" s="22"/>
      <c r="Q318" s="22"/>
      <c r="R318" s="22"/>
      <c r="S318" s="22"/>
      <c r="T318" s="22"/>
      <c r="U318" s="22"/>
      <c r="V318" s="22"/>
      <c r="W318" s="22"/>
      <c r="X318" s="22"/>
      <c r="Y318" s="22"/>
      <c r="Z318" s="22"/>
      <c r="AA318" s="22"/>
    </row>
    <row r="319" spans="1:27" ht="14.25" hidden="1" customHeight="1" outlineLevel="1" x14ac:dyDescent="0.2">
      <c r="B319" s="119"/>
      <c r="C319" s="488"/>
      <c r="D319" s="58">
        <f>E319-1</f>
        <v>2025</v>
      </c>
      <c r="E319" s="58">
        <f>FirstYear</f>
        <v>2026</v>
      </c>
      <c r="F319" s="58">
        <f>E319+1</f>
        <v>2027</v>
      </c>
      <c r="G319" s="58">
        <f>F319+1</f>
        <v>2028</v>
      </c>
      <c r="H319" s="58">
        <f>G319+1</f>
        <v>2029</v>
      </c>
      <c r="I319" s="58">
        <f>H319+1</f>
        <v>2030</v>
      </c>
      <c r="J319" s="58">
        <f>I319+1</f>
        <v>2031</v>
      </c>
      <c r="L319" s="260"/>
    </row>
    <row r="320" spans="1:27" hidden="1" outlineLevel="1" x14ac:dyDescent="0.2">
      <c r="B320" s="119"/>
      <c r="C320" s="2" t="s">
        <v>111</v>
      </c>
      <c r="D320" s="33">
        <f>IF($I$97="",-R68,0)</f>
        <v>0</v>
      </c>
      <c r="E320" s="33">
        <f t="shared" ref="E320:J320" si="135">IF(D320="","",D320*(1+D321))</f>
        <v>0</v>
      </c>
      <c r="F320" s="33">
        <f t="shared" si="135"/>
        <v>0</v>
      </c>
      <c r="G320" s="33">
        <f t="shared" si="135"/>
        <v>0</v>
      </c>
      <c r="H320" s="33">
        <f t="shared" si="135"/>
        <v>0</v>
      </c>
      <c r="I320" s="33">
        <f t="shared" si="135"/>
        <v>0</v>
      </c>
      <c r="J320" s="33">
        <f t="shared" si="135"/>
        <v>0</v>
      </c>
      <c r="L320" s="31" t="s">
        <v>249</v>
      </c>
      <c r="N320" s="260"/>
    </row>
    <row r="321" spans="1:27" hidden="1" outlineLevel="1" x14ac:dyDescent="0.2">
      <c r="B321" s="119"/>
      <c r="C321" s="7" t="s">
        <v>26</v>
      </c>
      <c r="D321" s="49"/>
      <c r="E321" s="49"/>
      <c r="F321" s="49"/>
      <c r="G321" s="49"/>
      <c r="H321" s="49"/>
      <c r="I321" s="49"/>
      <c r="J321" s="28"/>
      <c r="L321" s="589"/>
      <c r="M321" s="590"/>
      <c r="N321" s="590"/>
      <c r="O321" s="590"/>
      <c r="P321" s="590"/>
      <c r="Q321" s="590"/>
      <c r="R321" s="590"/>
      <c r="S321" s="590"/>
      <c r="T321" s="590"/>
    </row>
    <row r="322" spans="1:27" hidden="1" outlineLevel="1" x14ac:dyDescent="0.2">
      <c r="B322" s="119"/>
      <c r="C322" s="7" t="s">
        <v>33</v>
      </c>
      <c r="D322" s="49"/>
      <c r="E322" s="49"/>
      <c r="F322" s="49"/>
      <c r="G322" s="49"/>
      <c r="H322" s="49"/>
      <c r="I322" s="49"/>
      <c r="J322" s="49"/>
      <c r="L322" s="589"/>
      <c r="M322" s="590"/>
      <c r="N322" s="590"/>
      <c r="O322" s="590"/>
      <c r="P322" s="590"/>
      <c r="Q322" s="590"/>
      <c r="R322" s="590"/>
      <c r="S322" s="590"/>
      <c r="T322" s="590"/>
    </row>
    <row r="323" spans="1:27" hidden="1" outlineLevel="1" x14ac:dyDescent="0.2">
      <c r="B323" s="119"/>
      <c r="C323" s="59" t="str">
        <f>"Proportion " &amp; IF(MarketImpact=0,"affected by","affected") &amp; " the proposed medicine"</f>
        <v>Proportion affected the proposed medicine</v>
      </c>
      <c r="D323" s="49"/>
      <c r="E323" s="49"/>
      <c r="F323" s="49"/>
      <c r="G323" s="49"/>
      <c r="H323" s="49"/>
      <c r="I323" s="49"/>
      <c r="J323" s="49"/>
      <c r="L323" s="589"/>
      <c r="M323" s="590"/>
      <c r="N323" s="590"/>
      <c r="O323" s="590"/>
      <c r="P323" s="590"/>
      <c r="Q323" s="590"/>
      <c r="R323" s="590"/>
      <c r="S323" s="590"/>
      <c r="T323" s="590"/>
    </row>
    <row r="324" spans="1:27" hidden="1" outlineLevel="1" x14ac:dyDescent="0.2">
      <c r="B324" s="119"/>
      <c r="C324" s="9" t="s">
        <v>104</v>
      </c>
      <c r="D324" s="27">
        <f t="shared" ref="D324:J324" si="136">D326-D325</f>
        <v>0</v>
      </c>
      <c r="E324" s="27">
        <f t="shared" si="136"/>
        <v>0</v>
      </c>
      <c r="F324" s="27">
        <f t="shared" si="136"/>
        <v>0</v>
      </c>
      <c r="G324" s="27">
        <f t="shared" si="136"/>
        <v>0</v>
      </c>
      <c r="H324" s="27">
        <f t="shared" si="136"/>
        <v>0</v>
      </c>
      <c r="I324" s="27">
        <f t="shared" si="136"/>
        <v>0</v>
      </c>
      <c r="J324" s="27">
        <f t="shared" si="136"/>
        <v>0</v>
      </c>
    </row>
    <row r="325" spans="1:27" hidden="1" outlineLevel="1" x14ac:dyDescent="0.2">
      <c r="B325" s="119"/>
      <c r="C325" s="9" t="s">
        <v>105</v>
      </c>
      <c r="D325" s="27">
        <f t="shared" ref="D325:J325" si="137">IF($B318&lt;&gt;0,ROUND(D326*INDEX(ServiceSplitRPBS,$B318),0),0)</f>
        <v>0</v>
      </c>
      <c r="E325" s="27">
        <f t="shared" si="137"/>
        <v>0</v>
      </c>
      <c r="F325" s="27">
        <f t="shared" si="137"/>
        <v>0</v>
      </c>
      <c r="G325" s="27">
        <f t="shared" si="137"/>
        <v>0</v>
      </c>
      <c r="H325" s="27">
        <f t="shared" si="137"/>
        <v>0</v>
      </c>
      <c r="I325" s="27">
        <f t="shared" si="137"/>
        <v>0</v>
      </c>
      <c r="J325" s="27">
        <f t="shared" si="137"/>
        <v>0</v>
      </c>
    </row>
    <row r="326" spans="1:27" hidden="1" outlineLevel="1" x14ac:dyDescent="0.2">
      <c r="B326" s="119"/>
      <c r="C326" s="78" t="s">
        <v>831</v>
      </c>
      <c r="D326" s="30">
        <f t="shared" ref="D326:J326" si="138">IF(D320="","",D323*D322*D320)</f>
        <v>0</v>
      </c>
      <c r="E326" s="30">
        <f t="shared" si="138"/>
        <v>0</v>
      </c>
      <c r="F326" s="30">
        <f t="shared" si="138"/>
        <v>0</v>
      </c>
      <c r="G326" s="30">
        <f t="shared" si="138"/>
        <v>0</v>
      </c>
      <c r="H326" s="30">
        <f t="shared" si="138"/>
        <v>0</v>
      </c>
      <c r="I326" s="30">
        <f t="shared" si="138"/>
        <v>0</v>
      </c>
      <c r="J326" s="30">
        <f t="shared" si="138"/>
        <v>0</v>
      </c>
    </row>
    <row r="327" spans="1:27" hidden="1" outlineLevel="1" x14ac:dyDescent="0.2">
      <c r="B327" s="119"/>
    </row>
    <row r="328" spans="1:27" collapsed="1" x14ac:dyDescent="0.2">
      <c r="B328" s="119"/>
    </row>
    <row r="329" spans="1:27" ht="15" x14ac:dyDescent="0.2">
      <c r="A329" s="22"/>
      <c r="B329" s="249">
        <v>20</v>
      </c>
      <c r="C329" s="129" t="str">
        <f>IF($I$97&lt;&gt;"",MsgNotUsed,INDEX(NamesOverallChanged,B329))</f>
        <v>** NOT USED **</v>
      </c>
      <c r="D329" s="123"/>
      <c r="E329" s="123"/>
      <c r="F329" s="123"/>
      <c r="G329" s="123"/>
      <c r="H329" s="117"/>
      <c r="I329" s="588" t="str">
        <f>IF(C329&lt;&gt;MsgNotUsed,"Co-payment group " &amp; INDEX(CoPayBandMS,B329),"")</f>
        <v/>
      </c>
      <c r="J329" s="588"/>
      <c r="K329" s="123"/>
      <c r="L329" s="123"/>
      <c r="M329" s="123"/>
      <c r="N329" s="123"/>
      <c r="O329" s="123"/>
      <c r="P329" s="123"/>
      <c r="Q329" s="123"/>
      <c r="R329" s="123"/>
      <c r="S329" s="123"/>
      <c r="T329" s="123"/>
      <c r="U329" s="22"/>
      <c r="V329" s="22"/>
      <c r="W329" s="22"/>
      <c r="X329" s="22"/>
      <c r="Y329" s="22"/>
      <c r="Z329" s="22"/>
      <c r="AA329" s="22"/>
    </row>
    <row r="330" spans="1:27" ht="15.75" hidden="1" outlineLevel="1" x14ac:dyDescent="0.2">
      <c r="A330" s="22"/>
      <c r="B330" s="65">
        <f>INDEX(CoPayBandMS,B329)</f>
        <v>0</v>
      </c>
      <c r="C330" s="454"/>
      <c r="D330" s="22"/>
      <c r="E330" s="22"/>
      <c r="F330" s="22"/>
      <c r="G330" s="22"/>
      <c r="H330" s="22"/>
      <c r="I330" s="22"/>
      <c r="J330" s="22"/>
      <c r="K330" s="22"/>
      <c r="L330" s="22"/>
      <c r="M330" s="22"/>
      <c r="N330" s="22"/>
      <c r="O330" s="22"/>
      <c r="P330" s="22"/>
      <c r="Q330" s="22"/>
      <c r="R330" s="22"/>
      <c r="S330" s="22"/>
      <c r="T330" s="22"/>
      <c r="U330" s="22"/>
      <c r="V330" s="22"/>
      <c r="W330" s="22"/>
      <c r="X330" s="22"/>
      <c r="Y330" s="22"/>
      <c r="Z330" s="22"/>
      <c r="AA330" s="22"/>
    </row>
    <row r="331" spans="1:27" ht="14.25" hidden="1" customHeight="1" outlineLevel="1" x14ac:dyDescent="0.2">
      <c r="B331" s="119"/>
      <c r="C331" s="488"/>
      <c r="D331" s="58">
        <f>E331-1</f>
        <v>2025</v>
      </c>
      <c r="E331" s="58">
        <f>FirstYear</f>
        <v>2026</v>
      </c>
      <c r="F331" s="58">
        <f>E331+1</f>
        <v>2027</v>
      </c>
      <c r="G331" s="58">
        <f>F331+1</f>
        <v>2028</v>
      </c>
      <c r="H331" s="58">
        <f>G331+1</f>
        <v>2029</v>
      </c>
      <c r="I331" s="58">
        <f>H331+1</f>
        <v>2030</v>
      </c>
      <c r="J331" s="58">
        <f>I331+1</f>
        <v>2031</v>
      </c>
      <c r="L331" s="260"/>
    </row>
    <row r="332" spans="1:27" hidden="1" outlineLevel="1" x14ac:dyDescent="0.2">
      <c r="B332" s="119"/>
      <c r="C332" s="2" t="s">
        <v>111</v>
      </c>
      <c r="D332" s="33">
        <f>IF($I$97="",-R69,0)</f>
        <v>0</v>
      </c>
      <c r="E332" s="33">
        <f t="shared" ref="E332:J332" si="139">IF(D332="","",D332*(1+D333))</f>
        <v>0</v>
      </c>
      <c r="F332" s="33">
        <f t="shared" si="139"/>
        <v>0</v>
      </c>
      <c r="G332" s="33">
        <f t="shared" si="139"/>
        <v>0</v>
      </c>
      <c r="H332" s="33">
        <f t="shared" si="139"/>
        <v>0</v>
      </c>
      <c r="I332" s="33">
        <f t="shared" si="139"/>
        <v>0</v>
      </c>
      <c r="J332" s="33">
        <f t="shared" si="139"/>
        <v>0</v>
      </c>
      <c r="L332" s="31" t="s">
        <v>249</v>
      </c>
      <c r="N332" s="260"/>
    </row>
    <row r="333" spans="1:27" hidden="1" outlineLevel="1" x14ac:dyDescent="0.2">
      <c r="B333" s="119"/>
      <c r="C333" s="7" t="s">
        <v>26</v>
      </c>
      <c r="D333" s="49"/>
      <c r="E333" s="49"/>
      <c r="F333" s="49"/>
      <c r="G333" s="49"/>
      <c r="H333" s="49"/>
      <c r="I333" s="49"/>
      <c r="J333" s="28"/>
      <c r="L333" s="589"/>
      <c r="M333" s="590"/>
      <c r="N333" s="590"/>
      <c r="O333" s="590"/>
      <c r="P333" s="590"/>
      <c r="Q333" s="590"/>
      <c r="R333" s="590"/>
      <c r="S333" s="590"/>
      <c r="T333" s="590"/>
    </row>
    <row r="334" spans="1:27" hidden="1" outlineLevel="1" x14ac:dyDescent="0.2">
      <c r="B334" s="119"/>
      <c r="C334" s="7" t="s">
        <v>33</v>
      </c>
      <c r="D334" s="49"/>
      <c r="E334" s="49"/>
      <c r="F334" s="49"/>
      <c r="G334" s="49"/>
      <c r="H334" s="49"/>
      <c r="I334" s="49"/>
      <c r="J334" s="49"/>
      <c r="L334" s="589"/>
      <c r="M334" s="590"/>
      <c r="N334" s="590"/>
      <c r="O334" s="590"/>
      <c r="P334" s="590"/>
      <c r="Q334" s="590"/>
      <c r="R334" s="590"/>
      <c r="S334" s="590"/>
      <c r="T334" s="590"/>
    </row>
    <row r="335" spans="1:27" hidden="1" outlineLevel="1" x14ac:dyDescent="0.2">
      <c r="B335" s="119"/>
      <c r="C335" s="59" t="str">
        <f>"Proportion " &amp; IF(MarketImpact=0,"affected by","affected") &amp; " the proposed medicine"</f>
        <v>Proportion affected the proposed medicine</v>
      </c>
      <c r="D335" s="49"/>
      <c r="E335" s="49"/>
      <c r="F335" s="49"/>
      <c r="G335" s="49"/>
      <c r="H335" s="49"/>
      <c r="I335" s="49"/>
      <c r="J335" s="49"/>
      <c r="L335" s="589"/>
      <c r="M335" s="590"/>
      <c r="N335" s="590"/>
      <c r="O335" s="590"/>
      <c r="P335" s="590"/>
      <c r="Q335" s="590"/>
      <c r="R335" s="590"/>
      <c r="S335" s="590"/>
      <c r="T335" s="590"/>
    </row>
    <row r="336" spans="1:27" hidden="1" outlineLevel="1" x14ac:dyDescent="0.2">
      <c r="B336" s="119"/>
      <c r="C336" s="9" t="s">
        <v>104</v>
      </c>
      <c r="D336" s="27">
        <f t="shared" ref="D336:J336" si="140">D338-D337</f>
        <v>0</v>
      </c>
      <c r="E336" s="27">
        <f t="shared" si="140"/>
        <v>0</v>
      </c>
      <c r="F336" s="27">
        <f t="shared" si="140"/>
        <v>0</v>
      </c>
      <c r="G336" s="27">
        <f t="shared" si="140"/>
        <v>0</v>
      </c>
      <c r="H336" s="27">
        <f t="shared" si="140"/>
        <v>0</v>
      </c>
      <c r="I336" s="27">
        <f t="shared" si="140"/>
        <v>0</v>
      </c>
      <c r="J336" s="27">
        <f t="shared" si="140"/>
        <v>0</v>
      </c>
    </row>
    <row r="337" spans="2:27" hidden="1" outlineLevel="1" x14ac:dyDescent="0.2">
      <c r="B337" s="119"/>
      <c r="C337" s="9" t="s">
        <v>105</v>
      </c>
      <c r="D337" s="27">
        <f t="shared" ref="D337:J337" si="141">IF($B330&lt;&gt;0,ROUND(D338*INDEX(ServiceSplitRPBS,$B330),0),0)</f>
        <v>0</v>
      </c>
      <c r="E337" s="27">
        <f t="shared" si="141"/>
        <v>0</v>
      </c>
      <c r="F337" s="27">
        <f t="shared" si="141"/>
        <v>0</v>
      </c>
      <c r="G337" s="27">
        <f t="shared" si="141"/>
        <v>0</v>
      </c>
      <c r="H337" s="27">
        <f t="shared" si="141"/>
        <v>0</v>
      </c>
      <c r="I337" s="27">
        <f t="shared" si="141"/>
        <v>0</v>
      </c>
      <c r="J337" s="27">
        <f t="shared" si="141"/>
        <v>0</v>
      </c>
    </row>
    <row r="338" spans="2:27" hidden="1" outlineLevel="1" x14ac:dyDescent="0.2">
      <c r="B338" s="119"/>
      <c r="C338" s="78" t="s">
        <v>831</v>
      </c>
      <c r="D338" s="30">
        <f t="shared" ref="D338:J338" si="142">IF(D332="","",D335*D334*D332)</f>
        <v>0</v>
      </c>
      <c r="E338" s="30">
        <f t="shared" si="142"/>
        <v>0</v>
      </c>
      <c r="F338" s="30">
        <f t="shared" si="142"/>
        <v>0</v>
      </c>
      <c r="G338" s="30">
        <f t="shared" si="142"/>
        <v>0</v>
      </c>
      <c r="H338" s="30">
        <f t="shared" si="142"/>
        <v>0</v>
      </c>
      <c r="I338" s="30">
        <f t="shared" si="142"/>
        <v>0</v>
      </c>
      <c r="J338" s="30">
        <f t="shared" si="142"/>
        <v>0</v>
      </c>
    </row>
    <row r="339" spans="2:27" hidden="1" outlineLevel="1" x14ac:dyDescent="0.2">
      <c r="B339" s="119"/>
    </row>
    <row r="340" spans="2:27" collapsed="1" x14ac:dyDescent="0.2">
      <c r="B340" s="119"/>
    </row>
    <row r="341" spans="2:27" ht="15.75" x14ac:dyDescent="0.2">
      <c r="C341" s="111" t="s">
        <v>851</v>
      </c>
      <c r="D341" s="112"/>
      <c r="E341" s="112"/>
      <c r="F341" s="112"/>
      <c r="G341" s="112"/>
      <c r="H341" s="112"/>
      <c r="I341" s="112"/>
      <c r="J341" s="112"/>
      <c r="K341" s="112"/>
      <c r="L341" s="112"/>
      <c r="M341" s="21"/>
      <c r="N341" s="21"/>
      <c r="O341" s="21"/>
      <c r="P341" s="21"/>
      <c r="Q341" s="21"/>
      <c r="R341" s="21"/>
      <c r="S341" s="21"/>
      <c r="T341" s="21"/>
      <c r="U341" s="21"/>
      <c r="V341" s="21"/>
      <c r="W341" s="21"/>
      <c r="X341" s="21"/>
      <c r="Y341" s="21"/>
      <c r="Z341" s="21"/>
      <c r="AA341" s="21"/>
    </row>
    <row r="344" spans="2:27" ht="12.75" customHeight="1" x14ac:dyDescent="0.2">
      <c r="C344" s="378"/>
      <c r="E344" s="378"/>
      <c r="F344" s="378"/>
      <c r="G344" s="378"/>
      <c r="H344" s="378"/>
      <c r="I344" s="378"/>
      <c r="J344" s="378"/>
    </row>
    <row r="345" spans="2:27" ht="12.75" customHeight="1" x14ac:dyDescent="0.2">
      <c r="C345" s="378"/>
      <c r="E345" s="378"/>
      <c r="F345" s="378"/>
      <c r="G345" s="378"/>
      <c r="H345" s="378"/>
      <c r="I345" s="378"/>
      <c r="J345" s="378"/>
    </row>
  </sheetData>
  <mergeCells count="113">
    <mergeCell ref="I1:K1"/>
    <mergeCell ref="L309:T309"/>
    <mergeCell ref="L310:T310"/>
    <mergeCell ref="L311:T311"/>
    <mergeCell ref="L321:T321"/>
    <mergeCell ref="L322:T322"/>
    <mergeCell ref="L323:T323"/>
    <mergeCell ref="L333:T333"/>
    <mergeCell ref="L334:T334"/>
    <mergeCell ref="L237:T237"/>
    <mergeCell ref="L238:T238"/>
    <mergeCell ref="L239:T239"/>
    <mergeCell ref="L249:T249"/>
    <mergeCell ref="L250:T250"/>
    <mergeCell ref="L251:T251"/>
    <mergeCell ref="L261:T261"/>
    <mergeCell ref="L262:T262"/>
    <mergeCell ref="L263:T263"/>
    <mergeCell ref="L165:T165"/>
    <mergeCell ref="L166:T166"/>
    <mergeCell ref="I97:J97"/>
    <mergeCell ref="L130:T130"/>
    <mergeCell ref="L131:T131"/>
    <mergeCell ref="D14:I14"/>
    <mergeCell ref="L335:T335"/>
    <mergeCell ref="L273:T273"/>
    <mergeCell ref="L274:T274"/>
    <mergeCell ref="L275:T275"/>
    <mergeCell ref="L285:T285"/>
    <mergeCell ref="L286:T286"/>
    <mergeCell ref="L287:T287"/>
    <mergeCell ref="L297:T297"/>
    <mergeCell ref="L298:T298"/>
    <mergeCell ref="L299:T299"/>
    <mergeCell ref="D69:F69"/>
    <mergeCell ref="L225:T225"/>
    <mergeCell ref="L226:T226"/>
    <mergeCell ref="L227:T227"/>
    <mergeCell ref="L201:T201"/>
    <mergeCell ref="P90:T90"/>
    <mergeCell ref="P91:T91"/>
    <mergeCell ref="L203:T203"/>
    <mergeCell ref="L213:T213"/>
    <mergeCell ref="L214:T214"/>
    <mergeCell ref="L215:T215"/>
    <mergeCell ref="L105:T105"/>
    <mergeCell ref="L106:T106"/>
    <mergeCell ref="L107:T107"/>
    <mergeCell ref="L117:T117"/>
    <mergeCell ref="L118:T118"/>
    <mergeCell ref="L119:T119"/>
    <mergeCell ref="L167:T167"/>
    <mergeCell ref="L177:T177"/>
    <mergeCell ref="L143:T143"/>
    <mergeCell ref="L153:T153"/>
    <mergeCell ref="L154:T154"/>
    <mergeCell ref="L155:T155"/>
    <mergeCell ref="L191:T191"/>
    <mergeCell ref="D60:F60"/>
    <mergeCell ref="D61:F61"/>
    <mergeCell ref="D62:F62"/>
    <mergeCell ref="D63:F63"/>
    <mergeCell ref="D64:F64"/>
    <mergeCell ref="D65:F65"/>
    <mergeCell ref="D66:F66"/>
    <mergeCell ref="D67:F67"/>
    <mergeCell ref="D68:F68"/>
    <mergeCell ref="K14:P14"/>
    <mergeCell ref="D49:F49"/>
    <mergeCell ref="D50:F50"/>
    <mergeCell ref="D51:F51"/>
    <mergeCell ref="M48:N48"/>
    <mergeCell ref="I48:L48"/>
    <mergeCell ref="D52:F52"/>
    <mergeCell ref="D58:F58"/>
    <mergeCell ref="D59:F59"/>
    <mergeCell ref="D53:F53"/>
    <mergeCell ref="D54:F54"/>
    <mergeCell ref="D55:F55"/>
    <mergeCell ref="D56:F56"/>
    <mergeCell ref="D57:F57"/>
    <mergeCell ref="L142:T142"/>
    <mergeCell ref="L129:T129"/>
    <mergeCell ref="P48:Q48"/>
    <mergeCell ref="L190:T190"/>
    <mergeCell ref="P92:T92"/>
    <mergeCell ref="P93:T93"/>
    <mergeCell ref="P94:T94"/>
    <mergeCell ref="I281:J281"/>
    <mergeCell ref="I161:J161"/>
    <mergeCell ref="I173:J173"/>
    <mergeCell ref="I185:J185"/>
    <mergeCell ref="I197:J197"/>
    <mergeCell ref="I209:J209"/>
    <mergeCell ref="I101:J101"/>
    <mergeCell ref="I113:J113"/>
    <mergeCell ref="I125:J125"/>
    <mergeCell ref="I137:J137"/>
    <mergeCell ref="I149:J149"/>
    <mergeCell ref="L202:T202"/>
    <mergeCell ref="L178:T178"/>
    <mergeCell ref="L179:T179"/>
    <mergeCell ref="L189:T189"/>
    <mergeCell ref="L141:T141"/>
    <mergeCell ref="I293:J293"/>
    <mergeCell ref="I305:J305"/>
    <mergeCell ref="I317:J317"/>
    <mergeCell ref="I329:J329"/>
    <mergeCell ref="I221:J221"/>
    <mergeCell ref="I233:J233"/>
    <mergeCell ref="I245:J245"/>
    <mergeCell ref="I257:J257"/>
    <mergeCell ref="I269:J269"/>
  </mergeCells>
  <conditionalFormatting sqref="C41">
    <cfRule type="expression" dxfId="205" priority="94">
      <formula>$C$16=""</formula>
    </cfRule>
  </conditionalFormatting>
  <conditionalFormatting sqref="C37:I37 K37:P37 C41:I41">
    <cfRule type="expression" dxfId="204" priority="93">
      <formula>$C$37=""</formula>
    </cfRule>
  </conditionalFormatting>
  <conditionalFormatting sqref="D105:I105 L105:T107 D106:J107">
    <cfRule type="expression" dxfId="203" priority="81">
      <formula>$C$101=MsgNotUsed</formula>
    </cfRule>
  </conditionalFormatting>
  <conditionalFormatting sqref="D117:I117 L117:T119 D118:J119">
    <cfRule type="expression" dxfId="202" priority="20">
      <formula>$C$101=MsgNotUsed</formula>
    </cfRule>
  </conditionalFormatting>
  <conditionalFormatting sqref="D129:I129 L129:T131 D130:J131">
    <cfRule type="expression" dxfId="201" priority="19">
      <formula>$C$101=MsgNotUsed</formula>
    </cfRule>
  </conditionalFormatting>
  <conditionalFormatting sqref="D141:I141 L141:T143 D142:J143">
    <cfRule type="expression" dxfId="200" priority="18">
      <formula>$C$101=MsgNotUsed</formula>
    </cfRule>
  </conditionalFormatting>
  <conditionalFormatting sqref="D153:I153 L153:T155 D154:J155">
    <cfRule type="expression" dxfId="199" priority="17">
      <formula>$C$101=MsgNotUsed</formula>
    </cfRule>
  </conditionalFormatting>
  <conditionalFormatting sqref="D165:I165 L165:T167 D166:J167">
    <cfRule type="expression" dxfId="198" priority="16">
      <formula>$C$101=MsgNotUsed</formula>
    </cfRule>
  </conditionalFormatting>
  <conditionalFormatting sqref="D177:I177 L177:T179 D178:J179">
    <cfRule type="expression" dxfId="197" priority="15">
      <formula>$C$101=MsgNotUsed</formula>
    </cfRule>
  </conditionalFormatting>
  <conditionalFormatting sqref="D189:I189 L189:T191 D190:J191">
    <cfRule type="expression" dxfId="196" priority="14">
      <formula>$C$101=MsgNotUsed</formula>
    </cfRule>
  </conditionalFormatting>
  <conditionalFormatting sqref="D201:I201 L201:T203 D202:J203">
    <cfRule type="expression" dxfId="195" priority="13">
      <formula>$C$101=MsgNotUsed</formula>
    </cfRule>
  </conditionalFormatting>
  <conditionalFormatting sqref="D213:I213 L213:T215 D214:J215">
    <cfRule type="expression" dxfId="194" priority="12">
      <formula>$C$101=MsgNotUsed</formula>
    </cfRule>
  </conditionalFormatting>
  <conditionalFormatting sqref="D225:I225 L225:T227 D226:J227">
    <cfRule type="expression" dxfId="193" priority="11">
      <formula>$C$101=MsgNotUsed</formula>
    </cfRule>
  </conditionalFormatting>
  <conditionalFormatting sqref="D237:I237 L237:T239 D238:J239">
    <cfRule type="expression" dxfId="192" priority="10">
      <formula>$C$101=MsgNotUsed</formula>
    </cfRule>
  </conditionalFormatting>
  <conditionalFormatting sqref="D249:I249 L249:T251 D250:J251">
    <cfRule type="expression" dxfId="191" priority="9">
      <formula>$C$101=MsgNotUsed</formula>
    </cfRule>
  </conditionalFormatting>
  <conditionalFormatting sqref="D261:I261 L261:T263 D262:J263">
    <cfRule type="expression" dxfId="190" priority="8">
      <formula>$C$101=MsgNotUsed</formula>
    </cfRule>
  </conditionalFormatting>
  <conditionalFormatting sqref="D273:I273 L273:T275 D274:J275">
    <cfRule type="expression" dxfId="189" priority="7">
      <formula>$C$101=MsgNotUsed</formula>
    </cfRule>
  </conditionalFormatting>
  <conditionalFormatting sqref="D285:I285 L285:T287 D286:J287">
    <cfRule type="expression" dxfId="188" priority="6">
      <formula>$C$101=MsgNotUsed</formula>
    </cfRule>
  </conditionalFormatting>
  <conditionalFormatting sqref="D297:I297 L297:T299 D298:J299">
    <cfRule type="expression" dxfId="187" priority="5">
      <formula>$C$101=MsgNotUsed</formula>
    </cfRule>
  </conditionalFormatting>
  <conditionalFormatting sqref="D309:I309 L309:T311 D310:J311">
    <cfRule type="expression" dxfId="186" priority="4">
      <formula>$C$101=MsgNotUsed</formula>
    </cfRule>
  </conditionalFormatting>
  <conditionalFormatting sqref="D321:I321 L321:T323 D322:J323">
    <cfRule type="expression" dxfId="185" priority="3">
      <formula>$C$101=MsgNotUsed</formula>
    </cfRule>
  </conditionalFormatting>
  <conditionalFormatting sqref="D333:I333 L333:T335 D334:J335">
    <cfRule type="expression" dxfId="184" priority="2">
      <formula>$C$101=MsgNotUsed</formula>
    </cfRule>
  </conditionalFormatting>
  <conditionalFormatting sqref="D50:T69">
    <cfRule type="expression" dxfId="183" priority="1">
      <formula>$C50=""</formula>
    </cfRule>
  </conditionalFormatting>
  <conditionalFormatting sqref="I90:J94">
    <cfRule type="containsBlanks" dxfId="182" priority="626">
      <formula>LEN(TRIM(I90))=0</formula>
    </cfRule>
  </conditionalFormatting>
  <conditionalFormatting sqref="I82:L86">
    <cfRule type="cellIs" dxfId="181" priority="26" operator="equal">
      <formula>0</formula>
    </cfRule>
  </conditionalFormatting>
  <conditionalFormatting sqref="M90:N90 P90">
    <cfRule type="expression" dxfId="180" priority="617">
      <formula>AND($I$90="",$J$90="")</formula>
    </cfRule>
  </conditionalFormatting>
  <conditionalFormatting sqref="M90:N90">
    <cfRule type="expression" dxfId="179" priority="582">
      <formula>$U$90=1</formula>
    </cfRule>
  </conditionalFormatting>
  <conditionalFormatting sqref="M91:N91 P91">
    <cfRule type="expression" dxfId="178" priority="619">
      <formula>AND($I$91="",$J$91="")</formula>
    </cfRule>
  </conditionalFormatting>
  <conditionalFormatting sqref="M91:N91">
    <cfRule type="expression" dxfId="177" priority="35">
      <formula>$U$91=1</formula>
    </cfRule>
  </conditionalFormatting>
  <conditionalFormatting sqref="M92:N92 P92">
    <cfRule type="expression" dxfId="176" priority="621">
      <formula>AND($I$92="",$J$92="")</formula>
    </cfRule>
  </conditionalFormatting>
  <conditionalFormatting sqref="M92:N92">
    <cfRule type="expression" dxfId="175" priority="34">
      <formula>$U$92=1</formula>
    </cfRule>
  </conditionalFormatting>
  <conditionalFormatting sqref="M93:N93 P93">
    <cfRule type="expression" dxfId="174" priority="623">
      <formula>AND($I$93="",$J$93="")</formula>
    </cfRule>
  </conditionalFormatting>
  <conditionalFormatting sqref="M93:N93">
    <cfRule type="expression" dxfId="173" priority="33">
      <formula>$U$93=1</formula>
    </cfRule>
  </conditionalFormatting>
  <conditionalFormatting sqref="M94:N94 P94">
    <cfRule type="expression" dxfId="172" priority="625">
      <formula>AND($I$94="",$J$94="")</formula>
    </cfRule>
  </conditionalFormatting>
  <conditionalFormatting sqref="M94:N94">
    <cfRule type="expression" dxfId="171" priority="32">
      <formula>$U$94=1</formula>
    </cfRule>
  </conditionalFormatting>
  <dataValidations count="3">
    <dataValidation type="list" allowBlank="1" showInputMessage="1" showErrorMessage="1" sqref="H50:H69" xr:uid="{00000000-0002-0000-0600-000000000000}">
      <formula1>TPShort</formula1>
    </dataValidation>
    <dataValidation type="list" allowBlank="1" showInputMessage="1" showErrorMessage="1" sqref="P50:Q69" xr:uid="{00000000-0002-0000-0600-000001000000}">
      <formula1>Switch</formula1>
    </dataValidation>
    <dataValidation type="list" allowBlank="1" showInputMessage="1" showErrorMessage="1" sqref="O50:O69" xr:uid="{00000000-0002-0000-0600-000002000000}">
      <formula1>CoPayBands</formula1>
    </dataValidation>
  </dataValidations>
  <pageMargins left="0.11811023622047245" right="0.11811023622047245" top="0.19685039370078741" bottom="0.15748031496062992" header="0.31496062992125984" footer="0.31496062992125984"/>
  <pageSetup paperSize="9" scale="41" orientation="landscape" horizontalDpi="300" verticalDpi="300" r:id="rId1"/>
  <headerFooter>
    <oddHeader>&amp;C&amp;"Calibri"&amp;12&amp;KFF0000 OFFICIAL&amp;1#_x000D_</oddHeader>
    <oddFooter>&amp;C_x000D_&amp;1#&amp;"Calibri"&amp;12&amp;KFF0000 OFFICIAL</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14">
    <tabColor theme="7"/>
    <pageSetUpPr fitToPage="1"/>
  </sheetPr>
  <dimension ref="A1:AT167"/>
  <sheetViews>
    <sheetView showGridLines="0" zoomScaleNormal="100" workbookViewId="0">
      <pane ySplit="3" topLeftCell="A4" activePane="bottomLeft" state="frozen"/>
      <selection activeCell="B7" sqref="B7:G7"/>
      <selection pane="bottomLeft" activeCell="A4" sqref="A4"/>
    </sheetView>
  </sheetViews>
  <sheetFormatPr defaultRowHeight="12.75" customHeight="1" outlineLevelRow="1" x14ac:dyDescent="0.2"/>
  <cols>
    <col min="1" max="1" width="3.7109375" customWidth="1"/>
    <col min="2" max="4" width="3.7109375" hidden="1" customWidth="1"/>
    <col min="5" max="5" width="50.7109375" customWidth="1"/>
    <col min="6" max="21" width="15.7109375" customWidth="1"/>
    <col min="22" max="22" width="3.7109375" hidden="1" customWidth="1"/>
    <col min="23" max="25" width="15.7109375" hidden="1" customWidth="1"/>
    <col min="26" max="26" width="3.7109375" hidden="1" customWidth="1"/>
    <col min="27" max="29" width="15.7109375" hidden="1" customWidth="1"/>
    <col min="30" max="30" width="3.7109375" hidden="1" customWidth="1"/>
    <col min="31" max="31" width="10.7109375" hidden="1" customWidth="1"/>
    <col min="32" max="32" width="50.7109375" hidden="1" customWidth="1"/>
    <col min="33" max="46" width="10.7109375" hidden="1" customWidth="1"/>
  </cols>
  <sheetData>
    <row r="1" spans="1:46" ht="23.25" x14ac:dyDescent="0.2">
      <c r="A1" s="276">
        <f>IF((SUM(F36:K36)+SUM(M36:R36)&lt;&gt;0),2,0)</f>
        <v>0</v>
      </c>
      <c r="B1" s="276"/>
      <c r="C1" s="276"/>
      <c r="D1" s="273"/>
      <c r="E1" s="274" t="s">
        <v>805</v>
      </c>
      <c r="F1" s="273"/>
      <c r="G1" s="273"/>
      <c r="H1" s="273"/>
      <c r="I1" s="273"/>
      <c r="J1" s="277" t="str">
        <f>"Source: " &amp; '0. Title'!E39</f>
        <v xml:space="preserve">Source: </v>
      </c>
      <c r="K1" s="274"/>
      <c r="L1" s="273"/>
      <c r="M1" s="273"/>
      <c r="N1" s="273"/>
      <c r="O1" s="273"/>
      <c r="P1" s="273"/>
      <c r="Q1" s="273"/>
      <c r="R1" s="273"/>
      <c r="S1" s="273"/>
      <c r="T1" s="273"/>
      <c r="U1" s="273"/>
      <c r="V1" s="273"/>
      <c r="W1" s="273"/>
      <c r="X1" s="273"/>
      <c r="Y1" s="273"/>
      <c r="Z1" s="273"/>
      <c r="AA1" s="273"/>
      <c r="AB1" s="273"/>
      <c r="AC1" s="273"/>
      <c r="AD1" s="273"/>
      <c r="AE1" s="273"/>
      <c r="AF1" s="273"/>
      <c r="AG1" s="273"/>
      <c r="AH1" s="273"/>
      <c r="AI1" s="273"/>
      <c r="AJ1" s="273"/>
      <c r="AK1" s="273"/>
      <c r="AL1" s="273"/>
      <c r="AM1" s="273"/>
      <c r="AN1" s="273"/>
      <c r="AO1" s="273"/>
      <c r="AP1" s="273"/>
      <c r="AQ1" s="273"/>
      <c r="AR1" s="273"/>
      <c r="AS1" s="273"/>
      <c r="AT1" s="273"/>
    </row>
    <row r="2" spans="1:46" ht="15.75" x14ac:dyDescent="0.2">
      <c r="A2" s="273"/>
      <c r="B2" s="273"/>
      <c r="C2" s="273"/>
      <c r="D2" s="273"/>
      <c r="E2" s="275" t="str">
        <f>CONCATENATE("Name of medicine: ", MedicineBrand)</f>
        <v xml:space="preserve">Name of medicine: </v>
      </c>
      <c r="F2" s="273"/>
      <c r="G2" s="273"/>
      <c r="H2" s="273"/>
      <c r="I2" s="273"/>
      <c r="J2" s="273"/>
      <c r="K2" s="273"/>
      <c r="L2" s="273"/>
      <c r="M2" s="273"/>
      <c r="N2" s="273"/>
      <c r="O2" s="273"/>
      <c r="P2" s="273"/>
      <c r="Q2" s="273"/>
      <c r="R2" s="273"/>
      <c r="S2" s="273"/>
      <c r="T2" s="273"/>
      <c r="U2" s="273"/>
      <c r="V2" s="273"/>
      <c r="W2" s="273"/>
      <c r="X2" s="273"/>
      <c r="Y2" s="273"/>
      <c r="Z2" s="273"/>
      <c r="AA2" s="273"/>
      <c r="AB2" s="273"/>
      <c r="AC2" s="273"/>
      <c r="AD2" s="273"/>
      <c r="AE2" s="273"/>
      <c r="AF2" s="273"/>
      <c r="AG2" s="273"/>
      <c r="AH2" s="273"/>
      <c r="AI2" s="273"/>
      <c r="AJ2" s="273"/>
      <c r="AK2" s="273"/>
      <c r="AL2" s="273"/>
      <c r="AM2" s="273"/>
      <c r="AN2" s="273"/>
      <c r="AO2" s="273"/>
      <c r="AP2" s="273"/>
      <c r="AQ2" s="273"/>
      <c r="AR2" s="273"/>
      <c r="AS2" s="273"/>
      <c r="AT2" s="273"/>
    </row>
    <row r="3" spans="1:46" ht="15.75" x14ac:dyDescent="0.2">
      <c r="A3" s="273"/>
      <c r="B3" s="273"/>
      <c r="C3" s="273"/>
      <c r="D3" s="273"/>
      <c r="E3" s="275" t="str">
        <f>CONCATENATE("Indication: ",Indication)</f>
        <v xml:space="preserve">Indication: </v>
      </c>
      <c r="F3" s="273"/>
      <c r="G3" s="273"/>
      <c r="H3" s="273"/>
      <c r="I3" s="273"/>
      <c r="J3" s="273"/>
      <c r="K3" s="273"/>
      <c r="L3" s="273"/>
      <c r="M3" s="273"/>
      <c r="N3" s="273"/>
      <c r="O3" s="273"/>
      <c r="P3" s="273"/>
      <c r="Q3" s="273"/>
      <c r="R3" s="273"/>
      <c r="S3" s="273"/>
      <c r="T3" s="273"/>
      <c r="U3" s="273"/>
      <c r="V3" s="273"/>
      <c r="W3" s="273"/>
      <c r="X3" s="273"/>
      <c r="Y3" s="273"/>
      <c r="Z3" s="273"/>
      <c r="AA3" s="273"/>
      <c r="AB3" s="273"/>
      <c r="AC3" s="273"/>
      <c r="AD3" s="273"/>
      <c r="AE3" s="273"/>
      <c r="AF3" s="273"/>
      <c r="AG3" s="273"/>
      <c r="AH3" s="273"/>
      <c r="AI3" s="273"/>
      <c r="AJ3" s="273"/>
      <c r="AK3" s="273"/>
      <c r="AL3" s="273"/>
      <c r="AM3" s="273"/>
      <c r="AN3" s="273"/>
      <c r="AO3" s="273"/>
      <c r="AP3" s="273"/>
      <c r="AQ3" s="273"/>
      <c r="AR3" s="273"/>
      <c r="AS3" s="273"/>
      <c r="AT3" s="273"/>
    </row>
    <row r="4" spans="1:46" x14ac:dyDescent="0.2">
      <c r="E4" s="450"/>
      <c r="F4" s="455"/>
    </row>
    <row r="5" spans="1:46" ht="15.75" x14ac:dyDescent="0.2">
      <c r="D5" s="1"/>
      <c r="E5" s="111" t="s">
        <v>2</v>
      </c>
      <c r="F5" s="131"/>
      <c r="G5" s="21"/>
      <c r="H5" s="21"/>
      <c r="I5" s="21"/>
      <c r="J5" s="21"/>
      <c r="K5" s="21"/>
      <c r="L5" s="21"/>
      <c r="M5" s="21"/>
      <c r="N5" s="21"/>
      <c r="O5" s="21"/>
      <c r="P5" s="21"/>
      <c r="Q5" s="21"/>
      <c r="R5" s="21"/>
      <c r="S5" s="21"/>
      <c r="T5" s="21"/>
      <c r="U5" s="21"/>
      <c r="V5" s="21"/>
      <c r="W5" s="21"/>
      <c r="X5" s="21"/>
      <c r="Y5" s="21"/>
      <c r="Z5" s="21"/>
      <c r="AA5" s="21"/>
      <c r="AB5" s="21"/>
      <c r="AC5" s="21"/>
      <c r="AD5" s="21"/>
      <c r="AE5" s="21"/>
      <c r="AF5" s="21"/>
      <c r="AG5" s="21"/>
      <c r="AH5" s="21"/>
      <c r="AI5" s="21"/>
      <c r="AJ5" s="21"/>
      <c r="AK5" s="21"/>
      <c r="AL5" s="21"/>
      <c r="AM5" s="21"/>
      <c r="AN5" s="21"/>
      <c r="AO5" s="21"/>
      <c r="AP5" s="21"/>
      <c r="AQ5" s="21"/>
      <c r="AR5" s="21"/>
      <c r="AS5" s="21"/>
      <c r="AT5" s="21"/>
    </row>
    <row r="6" spans="1:46" ht="14.25" x14ac:dyDescent="0.2">
      <c r="E6" s="449"/>
      <c r="F6" s="455"/>
    </row>
    <row r="7" spans="1:46" x14ac:dyDescent="0.2">
      <c r="E7" t="s">
        <v>806</v>
      </c>
      <c r="F7" s="455"/>
      <c r="G7" s="455"/>
      <c r="H7" s="455"/>
      <c r="I7" s="455"/>
      <c r="J7" s="455"/>
      <c r="K7" s="455"/>
      <c r="L7" s="455"/>
      <c r="M7" s="455"/>
      <c r="N7" s="455"/>
      <c r="O7" s="455"/>
      <c r="P7" s="455"/>
      <c r="Q7" s="455"/>
      <c r="R7" s="455"/>
      <c r="S7" s="455"/>
      <c r="T7" s="455"/>
      <c r="U7" s="455"/>
      <c r="V7" s="455"/>
      <c r="W7" s="455"/>
      <c r="X7" s="455"/>
    </row>
    <row r="8" spans="1:46" x14ac:dyDescent="0.2">
      <c r="E8" s="447"/>
      <c r="F8" s="459"/>
      <c r="G8" s="459"/>
      <c r="H8" s="459"/>
      <c r="I8" s="459"/>
      <c r="J8" s="459"/>
      <c r="K8" s="459"/>
      <c r="L8" s="459"/>
      <c r="M8" s="459"/>
      <c r="N8" s="455"/>
      <c r="O8" s="455"/>
      <c r="P8" s="455"/>
      <c r="Q8" s="455"/>
      <c r="R8" s="455"/>
      <c r="S8" s="455"/>
      <c r="T8" s="455"/>
      <c r="U8" s="455"/>
      <c r="V8" s="455"/>
      <c r="W8" s="455"/>
      <c r="X8" s="455"/>
    </row>
    <row r="9" spans="1:46" x14ac:dyDescent="0.2"/>
    <row r="10" spans="1:46" ht="15.75" x14ac:dyDescent="0.2">
      <c r="E10" s="111" t="s">
        <v>849</v>
      </c>
      <c r="F10" s="131"/>
      <c r="G10" s="21"/>
      <c r="H10" s="21"/>
      <c r="I10" s="21"/>
      <c r="J10" s="21"/>
      <c r="K10" s="21"/>
      <c r="L10" s="21"/>
      <c r="M10" s="21"/>
      <c r="N10" s="21"/>
      <c r="O10" s="21"/>
      <c r="P10" s="21"/>
      <c r="Q10" s="21"/>
      <c r="R10" s="21"/>
      <c r="S10" s="21"/>
      <c r="T10" s="21"/>
      <c r="U10" s="21"/>
      <c r="V10" s="21"/>
      <c r="W10" s="21"/>
      <c r="X10" s="21"/>
      <c r="Y10" s="21"/>
      <c r="Z10" s="21"/>
      <c r="AA10" s="21"/>
      <c r="AB10" s="21"/>
      <c r="AC10" s="21"/>
      <c r="AD10" s="21"/>
      <c r="AE10" s="21"/>
      <c r="AF10" s="21"/>
      <c r="AG10" s="21"/>
      <c r="AH10" s="21"/>
      <c r="AI10" s="21"/>
      <c r="AJ10" s="21"/>
      <c r="AK10" s="21"/>
      <c r="AL10" s="21"/>
      <c r="AM10" s="21"/>
      <c r="AN10" s="21"/>
      <c r="AO10" s="21"/>
      <c r="AP10" s="21"/>
      <c r="AQ10" s="21"/>
      <c r="AR10" s="21"/>
      <c r="AS10" s="21"/>
      <c r="AT10" s="21"/>
    </row>
    <row r="11" spans="1:46" x14ac:dyDescent="0.2">
      <c r="E11" s="260"/>
      <c r="F11" s="455"/>
    </row>
    <row r="12" spans="1:46" x14ac:dyDescent="0.2">
      <c r="E12" s="172" t="s">
        <v>807</v>
      </c>
      <c r="F12" s="172"/>
      <c r="G12" s="172"/>
      <c r="H12" s="172"/>
      <c r="I12" s="172"/>
      <c r="J12" s="172"/>
      <c r="K12" s="172"/>
      <c r="L12" s="172"/>
      <c r="M12" s="172"/>
      <c r="N12" s="172"/>
      <c r="O12" s="172"/>
      <c r="P12" s="172"/>
      <c r="Q12" s="172"/>
      <c r="R12" s="172"/>
      <c r="S12" s="172"/>
      <c r="T12" s="172"/>
      <c r="U12" s="172"/>
      <c r="V12" s="172"/>
      <c r="W12" s="172"/>
      <c r="X12" s="172"/>
    </row>
    <row r="13" spans="1:46" x14ac:dyDescent="0.2">
      <c r="E13" s="172"/>
      <c r="F13" s="172"/>
      <c r="G13" s="172"/>
      <c r="H13" s="172"/>
      <c r="I13" s="172"/>
      <c r="J13" s="172"/>
      <c r="K13" s="172"/>
      <c r="L13" s="172"/>
      <c r="M13" s="172"/>
    </row>
    <row r="14" spans="1:46" x14ac:dyDescent="0.2">
      <c r="E14" s="172"/>
      <c r="F14" s="596" t="s">
        <v>214</v>
      </c>
      <c r="G14" s="607"/>
      <c r="H14" s="607"/>
      <c r="I14" s="607"/>
      <c r="J14" s="607"/>
      <c r="K14" s="608"/>
      <c r="M14" s="596" t="s">
        <v>215</v>
      </c>
      <c r="N14" s="607"/>
      <c r="O14" s="607"/>
      <c r="P14" s="607"/>
      <c r="Q14" s="607"/>
      <c r="R14" s="608"/>
    </row>
    <row r="15" spans="1:46" x14ac:dyDescent="0.2">
      <c r="E15" s="60" t="s">
        <v>799</v>
      </c>
      <c r="F15" s="74">
        <f>FirstYear</f>
        <v>2026</v>
      </c>
      <c r="G15" s="74">
        <f>F15+1</f>
        <v>2027</v>
      </c>
      <c r="H15" s="74">
        <f>G15+1</f>
        <v>2028</v>
      </c>
      <c r="I15" s="74">
        <f>H15+1</f>
        <v>2029</v>
      </c>
      <c r="J15" s="74">
        <f>I15+1</f>
        <v>2030</v>
      </c>
      <c r="K15" s="74">
        <f>J15+1</f>
        <v>2031</v>
      </c>
      <c r="M15" s="74">
        <f>FirstYear</f>
        <v>2026</v>
      </c>
      <c r="N15" s="74">
        <f>M15+1</f>
        <v>2027</v>
      </c>
      <c r="O15" s="74">
        <f>N15+1</f>
        <v>2028</v>
      </c>
      <c r="P15" s="74">
        <f>O15+1</f>
        <v>2029</v>
      </c>
      <c r="Q15" s="74">
        <f>P15+1</f>
        <v>2030</v>
      </c>
      <c r="R15" s="74">
        <f>Q15+1</f>
        <v>2031</v>
      </c>
    </row>
    <row r="16" spans="1:46" x14ac:dyDescent="0.2">
      <c r="D16" s="52">
        <v>1</v>
      </c>
      <c r="E16" s="77" t="str">
        <f t="shared" ref="E16:E35" si="0">INDEX(NamesNew,D16)</f>
        <v>** NOT USED **</v>
      </c>
      <c r="F16" s="247">
        <f t="shared" ref="F16:K25" si="1">IF($E16&lt;&gt;"",F48+SUMIFS(F$86:F$105,$AF$86:$AF$105,$E16),0)</f>
        <v>0</v>
      </c>
      <c r="G16" s="247">
        <f t="shared" si="1"/>
        <v>0</v>
      </c>
      <c r="H16" s="247">
        <f t="shared" si="1"/>
        <v>0</v>
      </c>
      <c r="I16" s="247">
        <f t="shared" si="1"/>
        <v>0</v>
      </c>
      <c r="J16" s="247">
        <f t="shared" si="1"/>
        <v>0</v>
      </c>
      <c r="K16" s="247">
        <f t="shared" si="1"/>
        <v>0</v>
      </c>
      <c r="M16" s="247">
        <f t="shared" ref="M16:R25" si="2">IF($E16&lt;&gt;"",M48+SUMIFS(M$86:M$105,$AF$86:$AF$105,$E16),0)</f>
        <v>0</v>
      </c>
      <c r="N16" s="247">
        <f t="shared" si="2"/>
        <v>0</v>
      </c>
      <c r="O16" s="247">
        <f t="shared" si="2"/>
        <v>0</v>
      </c>
      <c r="P16" s="247">
        <f t="shared" si="2"/>
        <v>0</v>
      </c>
      <c r="Q16" s="247">
        <f t="shared" si="2"/>
        <v>0</v>
      </c>
      <c r="R16" s="247">
        <f t="shared" si="2"/>
        <v>0</v>
      </c>
    </row>
    <row r="17" spans="4:18" x14ac:dyDescent="0.2">
      <c r="D17" s="52">
        <v>2</v>
      </c>
      <c r="E17" s="77" t="str">
        <f t="shared" si="0"/>
        <v>** NOT USED **</v>
      </c>
      <c r="F17" s="247">
        <f t="shared" si="1"/>
        <v>0</v>
      </c>
      <c r="G17" s="247">
        <f t="shared" si="1"/>
        <v>0</v>
      </c>
      <c r="H17" s="247">
        <f t="shared" si="1"/>
        <v>0</v>
      </c>
      <c r="I17" s="247">
        <f t="shared" si="1"/>
        <v>0</v>
      </c>
      <c r="J17" s="247">
        <f t="shared" si="1"/>
        <v>0</v>
      </c>
      <c r="K17" s="247">
        <f t="shared" si="1"/>
        <v>0</v>
      </c>
      <c r="M17" s="247">
        <f t="shared" si="2"/>
        <v>0</v>
      </c>
      <c r="N17" s="247">
        <f t="shared" si="2"/>
        <v>0</v>
      </c>
      <c r="O17" s="247">
        <f t="shared" si="2"/>
        <v>0</v>
      </c>
      <c r="P17" s="247">
        <f t="shared" si="2"/>
        <v>0</v>
      </c>
      <c r="Q17" s="247">
        <f t="shared" si="2"/>
        <v>0</v>
      </c>
      <c r="R17" s="247">
        <f t="shared" si="2"/>
        <v>0</v>
      </c>
    </row>
    <row r="18" spans="4:18" x14ac:dyDescent="0.2">
      <c r="D18" s="52">
        <v>3</v>
      </c>
      <c r="E18" s="77" t="str">
        <f t="shared" si="0"/>
        <v>** NOT USED **</v>
      </c>
      <c r="F18" s="247">
        <f t="shared" si="1"/>
        <v>0</v>
      </c>
      <c r="G18" s="247">
        <f t="shared" si="1"/>
        <v>0</v>
      </c>
      <c r="H18" s="247">
        <f t="shared" si="1"/>
        <v>0</v>
      </c>
      <c r="I18" s="247">
        <f t="shared" si="1"/>
        <v>0</v>
      </c>
      <c r="J18" s="247">
        <f t="shared" si="1"/>
        <v>0</v>
      </c>
      <c r="K18" s="247">
        <f t="shared" si="1"/>
        <v>0</v>
      </c>
      <c r="M18" s="247">
        <f t="shared" si="2"/>
        <v>0</v>
      </c>
      <c r="N18" s="247">
        <f t="shared" si="2"/>
        <v>0</v>
      </c>
      <c r="O18" s="247">
        <f t="shared" si="2"/>
        <v>0</v>
      </c>
      <c r="P18" s="247">
        <f t="shared" si="2"/>
        <v>0</v>
      </c>
      <c r="Q18" s="247">
        <f t="shared" si="2"/>
        <v>0</v>
      </c>
      <c r="R18" s="247">
        <f t="shared" si="2"/>
        <v>0</v>
      </c>
    </row>
    <row r="19" spans="4:18" x14ac:dyDescent="0.2">
      <c r="D19" s="52">
        <v>4</v>
      </c>
      <c r="E19" s="77" t="str">
        <f t="shared" si="0"/>
        <v>** NOT USED **</v>
      </c>
      <c r="F19" s="247">
        <f t="shared" si="1"/>
        <v>0</v>
      </c>
      <c r="G19" s="247">
        <f t="shared" si="1"/>
        <v>0</v>
      </c>
      <c r="H19" s="247">
        <f t="shared" si="1"/>
        <v>0</v>
      </c>
      <c r="I19" s="247">
        <f t="shared" si="1"/>
        <v>0</v>
      </c>
      <c r="J19" s="247">
        <f t="shared" si="1"/>
        <v>0</v>
      </c>
      <c r="K19" s="247">
        <f t="shared" si="1"/>
        <v>0</v>
      </c>
      <c r="M19" s="247">
        <f t="shared" si="2"/>
        <v>0</v>
      </c>
      <c r="N19" s="247">
        <f t="shared" si="2"/>
        <v>0</v>
      </c>
      <c r="O19" s="247">
        <f t="shared" si="2"/>
        <v>0</v>
      </c>
      <c r="P19" s="247">
        <f t="shared" si="2"/>
        <v>0</v>
      </c>
      <c r="Q19" s="247">
        <f t="shared" si="2"/>
        <v>0</v>
      </c>
      <c r="R19" s="247">
        <f t="shared" si="2"/>
        <v>0</v>
      </c>
    </row>
    <row r="20" spans="4:18" x14ac:dyDescent="0.2">
      <c r="D20" s="52">
        <v>5</v>
      </c>
      <c r="E20" s="77" t="str">
        <f t="shared" si="0"/>
        <v>** NOT USED **</v>
      </c>
      <c r="F20" s="247">
        <f t="shared" si="1"/>
        <v>0</v>
      </c>
      <c r="G20" s="247">
        <f t="shared" si="1"/>
        <v>0</v>
      </c>
      <c r="H20" s="247">
        <f t="shared" si="1"/>
        <v>0</v>
      </c>
      <c r="I20" s="247">
        <f t="shared" si="1"/>
        <v>0</v>
      </c>
      <c r="J20" s="247">
        <f t="shared" si="1"/>
        <v>0</v>
      </c>
      <c r="K20" s="247">
        <f t="shared" si="1"/>
        <v>0</v>
      </c>
      <c r="M20" s="247">
        <f t="shared" si="2"/>
        <v>0</v>
      </c>
      <c r="N20" s="247">
        <f t="shared" si="2"/>
        <v>0</v>
      </c>
      <c r="O20" s="247">
        <f t="shared" si="2"/>
        <v>0</v>
      </c>
      <c r="P20" s="247">
        <f t="shared" si="2"/>
        <v>0</v>
      </c>
      <c r="Q20" s="247">
        <f t="shared" si="2"/>
        <v>0</v>
      </c>
      <c r="R20" s="247">
        <f t="shared" si="2"/>
        <v>0</v>
      </c>
    </row>
    <row r="21" spans="4:18" x14ac:dyDescent="0.2">
      <c r="D21" s="52">
        <v>6</v>
      </c>
      <c r="E21" s="77" t="str">
        <f t="shared" si="0"/>
        <v>** NOT USED **</v>
      </c>
      <c r="F21" s="247">
        <f t="shared" si="1"/>
        <v>0</v>
      </c>
      <c r="G21" s="247">
        <f t="shared" si="1"/>
        <v>0</v>
      </c>
      <c r="H21" s="247">
        <f t="shared" si="1"/>
        <v>0</v>
      </c>
      <c r="I21" s="247">
        <f t="shared" si="1"/>
        <v>0</v>
      </c>
      <c r="J21" s="247">
        <f t="shared" si="1"/>
        <v>0</v>
      </c>
      <c r="K21" s="247">
        <f t="shared" si="1"/>
        <v>0</v>
      </c>
      <c r="M21" s="247">
        <f t="shared" si="2"/>
        <v>0</v>
      </c>
      <c r="N21" s="247">
        <f t="shared" si="2"/>
        <v>0</v>
      </c>
      <c r="O21" s="247">
        <f t="shared" si="2"/>
        <v>0</v>
      </c>
      <c r="P21" s="247">
        <f t="shared" si="2"/>
        <v>0</v>
      </c>
      <c r="Q21" s="247">
        <f t="shared" si="2"/>
        <v>0</v>
      </c>
      <c r="R21" s="247">
        <f t="shared" si="2"/>
        <v>0</v>
      </c>
    </row>
    <row r="22" spans="4:18" x14ac:dyDescent="0.2">
      <c r="D22" s="52">
        <v>7</v>
      </c>
      <c r="E22" s="77" t="str">
        <f t="shared" si="0"/>
        <v>** NOT USED **</v>
      </c>
      <c r="F22" s="247">
        <f t="shared" si="1"/>
        <v>0</v>
      </c>
      <c r="G22" s="247">
        <f t="shared" si="1"/>
        <v>0</v>
      </c>
      <c r="H22" s="247">
        <f t="shared" si="1"/>
        <v>0</v>
      </c>
      <c r="I22" s="247">
        <f t="shared" si="1"/>
        <v>0</v>
      </c>
      <c r="J22" s="247">
        <f t="shared" si="1"/>
        <v>0</v>
      </c>
      <c r="K22" s="247">
        <f t="shared" si="1"/>
        <v>0</v>
      </c>
      <c r="M22" s="247">
        <f t="shared" si="2"/>
        <v>0</v>
      </c>
      <c r="N22" s="247">
        <f t="shared" si="2"/>
        <v>0</v>
      </c>
      <c r="O22" s="247">
        <f t="shared" si="2"/>
        <v>0</v>
      </c>
      <c r="P22" s="247">
        <f t="shared" si="2"/>
        <v>0</v>
      </c>
      <c r="Q22" s="247">
        <f t="shared" si="2"/>
        <v>0</v>
      </c>
      <c r="R22" s="247">
        <f t="shared" si="2"/>
        <v>0</v>
      </c>
    </row>
    <row r="23" spans="4:18" x14ac:dyDescent="0.2">
      <c r="D23" s="52">
        <v>8</v>
      </c>
      <c r="E23" s="77" t="str">
        <f t="shared" si="0"/>
        <v>** NOT USED **</v>
      </c>
      <c r="F23" s="247">
        <f t="shared" si="1"/>
        <v>0</v>
      </c>
      <c r="G23" s="247">
        <f t="shared" si="1"/>
        <v>0</v>
      </c>
      <c r="H23" s="247">
        <f t="shared" si="1"/>
        <v>0</v>
      </c>
      <c r="I23" s="247">
        <f t="shared" si="1"/>
        <v>0</v>
      </c>
      <c r="J23" s="247">
        <f t="shared" si="1"/>
        <v>0</v>
      </c>
      <c r="K23" s="247">
        <f t="shared" si="1"/>
        <v>0</v>
      </c>
      <c r="M23" s="247">
        <f t="shared" si="2"/>
        <v>0</v>
      </c>
      <c r="N23" s="247">
        <f t="shared" si="2"/>
        <v>0</v>
      </c>
      <c r="O23" s="247">
        <f t="shared" si="2"/>
        <v>0</v>
      </c>
      <c r="P23" s="247">
        <f t="shared" si="2"/>
        <v>0</v>
      </c>
      <c r="Q23" s="247">
        <f t="shared" si="2"/>
        <v>0</v>
      </c>
      <c r="R23" s="247">
        <f t="shared" si="2"/>
        <v>0</v>
      </c>
    </row>
    <row r="24" spans="4:18" x14ac:dyDescent="0.2">
      <c r="D24" s="52">
        <v>9</v>
      </c>
      <c r="E24" s="77" t="str">
        <f t="shared" si="0"/>
        <v>** NOT USED **</v>
      </c>
      <c r="F24" s="247">
        <f t="shared" si="1"/>
        <v>0</v>
      </c>
      <c r="G24" s="247">
        <f t="shared" si="1"/>
        <v>0</v>
      </c>
      <c r="H24" s="247">
        <f t="shared" si="1"/>
        <v>0</v>
      </c>
      <c r="I24" s="247">
        <f t="shared" si="1"/>
        <v>0</v>
      </c>
      <c r="J24" s="247">
        <f t="shared" si="1"/>
        <v>0</v>
      </c>
      <c r="K24" s="247">
        <f t="shared" si="1"/>
        <v>0</v>
      </c>
      <c r="M24" s="247">
        <f t="shared" si="2"/>
        <v>0</v>
      </c>
      <c r="N24" s="247">
        <f t="shared" si="2"/>
        <v>0</v>
      </c>
      <c r="O24" s="247">
        <f t="shared" si="2"/>
        <v>0</v>
      </c>
      <c r="P24" s="247">
        <f t="shared" si="2"/>
        <v>0</v>
      </c>
      <c r="Q24" s="247">
        <f t="shared" si="2"/>
        <v>0</v>
      </c>
      <c r="R24" s="247">
        <f t="shared" si="2"/>
        <v>0</v>
      </c>
    </row>
    <row r="25" spans="4:18" x14ac:dyDescent="0.2">
      <c r="D25" s="52">
        <v>10</v>
      </c>
      <c r="E25" s="77" t="str">
        <f t="shared" si="0"/>
        <v>** NOT USED **</v>
      </c>
      <c r="F25" s="247">
        <f t="shared" si="1"/>
        <v>0</v>
      </c>
      <c r="G25" s="247">
        <f t="shared" si="1"/>
        <v>0</v>
      </c>
      <c r="H25" s="247">
        <f t="shared" si="1"/>
        <v>0</v>
      </c>
      <c r="I25" s="247">
        <f t="shared" si="1"/>
        <v>0</v>
      </c>
      <c r="J25" s="247">
        <f t="shared" si="1"/>
        <v>0</v>
      </c>
      <c r="K25" s="247">
        <f t="shared" si="1"/>
        <v>0</v>
      </c>
      <c r="M25" s="247">
        <f t="shared" si="2"/>
        <v>0</v>
      </c>
      <c r="N25" s="247">
        <f t="shared" si="2"/>
        <v>0</v>
      </c>
      <c r="O25" s="247">
        <f t="shared" si="2"/>
        <v>0</v>
      </c>
      <c r="P25" s="247">
        <f t="shared" si="2"/>
        <v>0</v>
      </c>
      <c r="Q25" s="247">
        <f t="shared" si="2"/>
        <v>0</v>
      </c>
      <c r="R25" s="247">
        <f t="shared" si="2"/>
        <v>0</v>
      </c>
    </row>
    <row r="26" spans="4:18" x14ac:dyDescent="0.2">
      <c r="D26" s="52">
        <v>11</v>
      </c>
      <c r="E26" s="77" t="str">
        <f t="shared" si="0"/>
        <v>** NOT USED **</v>
      </c>
      <c r="F26" s="247">
        <f t="shared" ref="F26:K35" si="3">IF($E26&lt;&gt;"",F58+SUMIFS(F$86:F$105,$AF$86:$AF$105,$E26),0)</f>
        <v>0</v>
      </c>
      <c r="G26" s="247">
        <f t="shared" si="3"/>
        <v>0</v>
      </c>
      <c r="H26" s="247">
        <f t="shared" si="3"/>
        <v>0</v>
      </c>
      <c r="I26" s="247">
        <f t="shared" si="3"/>
        <v>0</v>
      </c>
      <c r="J26" s="247">
        <f t="shared" si="3"/>
        <v>0</v>
      </c>
      <c r="K26" s="247">
        <f t="shared" si="3"/>
        <v>0</v>
      </c>
      <c r="M26" s="247">
        <f t="shared" ref="M26:R35" si="4">IF($E26&lt;&gt;"",M58+SUMIFS(M$86:M$105,$AF$86:$AF$105,$E26),0)</f>
        <v>0</v>
      </c>
      <c r="N26" s="247">
        <f t="shared" si="4"/>
        <v>0</v>
      </c>
      <c r="O26" s="247">
        <f t="shared" si="4"/>
        <v>0</v>
      </c>
      <c r="P26" s="247">
        <f t="shared" si="4"/>
        <v>0</v>
      </c>
      <c r="Q26" s="247">
        <f t="shared" si="4"/>
        <v>0</v>
      </c>
      <c r="R26" s="247">
        <f t="shared" si="4"/>
        <v>0</v>
      </c>
    </row>
    <row r="27" spans="4:18" x14ac:dyDescent="0.2">
      <c r="D27" s="52">
        <v>12</v>
      </c>
      <c r="E27" s="77" t="str">
        <f t="shared" si="0"/>
        <v>** NOT USED **</v>
      </c>
      <c r="F27" s="247">
        <f t="shared" si="3"/>
        <v>0</v>
      </c>
      <c r="G27" s="247">
        <f t="shared" si="3"/>
        <v>0</v>
      </c>
      <c r="H27" s="247">
        <f t="shared" si="3"/>
        <v>0</v>
      </c>
      <c r="I27" s="247">
        <f t="shared" si="3"/>
        <v>0</v>
      </c>
      <c r="J27" s="247">
        <f t="shared" si="3"/>
        <v>0</v>
      </c>
      <c r="K27" s="247">
        <f t="shared" si="3"/>
        <v>0</v>
      </c>
      <c r="M27" s="247">
        <f t="shared" si="4"/>
        <v>0</v>
      </c>
      <c r="N27" s="247">
        <f t="shared" si="4"/>
        <v>0</v>
      </c>
      <c r="O27" s="247">
        <f t="shared" si="4"/>
        <v>0</v>
      </c>
      <c r="P27" s="247">
        <f t="shared" si="4"/>
        <v>0</v>
      </c>
      <c r="Q27" s="247">
        <f t="shared" si="4"/>
        <v>0</v>
      </c>
      <c r="R27" s="247">
        <f t="shared" si="4"/>
        <v>0</v>
      </c>
    </row>
    <row r="28" spans="4:18" x14ac:dyDescent="0.2">
      <c r="D28" s="52">
        <v>13</v>
      </c>
      <c r="E28" s="77" t="str">
        <f t="shared" si="0"/>
        <v>** NOT USED **</v>
      </c>
      <c r="F28" s="247">
        <f t="shared" si="3"/>
        <v>0</v>
      </c>
      <c r="G28" s="247">
        <f t="shared" si="3"/>
        <v>0</v>
      </c>
      <c r="H28" s="247">
        <f t="shared" si="3"/>
        <v>0</v>
      </c>
      <c r="I28" s="247">
        <f t="shared" si="3"/>
        <v>0</v>
      </c>
      <c r="J28" s="247">
        <f t="shared" si="3"/>
        <v>0</v>
      </c>
      <c r="K28" s="247">
        <f t="shared" si="3"/>
        <v>0</v>
      </c>
      <c r="M28" s="247">
        <f t="shared" si="4"/>
        <v>0</v>
      </c>
      <c r="N28" s="247">
        <f t="shared" si="4"/>
        <v>0</v>
      </c>
      <c r="O28" s="247">
        <f t="shared" si="4"/>
        <v>0</v>
      </c>
      <c r="P28" s="247">
        <f t="shared" si="4"/>
        <v>0</v>
      </c>
      <c r="Q28" s="247">
        <f t="shared" si="4"/>
        <v>0</v>
      </c>
      <c r="R28" s="247">
        <f t="shared" si="4"/>
        <v>0</v>
      </c>
    </row>
    <row r="29" spans="4:18" x14ac:dyDescent="0.2">
      <c r="D29" s="52">
        <v>14</v>
      </c>
      <c r="E29" s="77" t="str">
        <f t="shared" si="0"/>
        <v>** NOT USED **</v>
      </c>
      <c r="F29" s="247">
        <f t="shared" si="3"/>
        <v>0</v>
      </c>
      <c r="G29" s="247">
        <f t="shared" si="3"/>
        <v>0</v>
      </c>
      <c r="H29" s="247">
        <f t="shared" si="3"/>
        <v>0</v>
      </c>
      <c r="I29" s="247">
        <f t="shared" si="3"/>
        <v>0</v>
      </c>
      <c r="J29" s="247">
        <f t="shared" si="3"/>
        <v>0</v>
      </c>
      <c r="K29" s="247">
        <f t="shared" si="3"/>
        <v>0</v>
      </c>
      <c r="M29" s="247">
        <f t="shared" si="4"/>
        <v>0</v>
      </c>
      <c r="N29" s="247">
        <f t="shared" si="4"/>
        <v>0</v>
      </c>
      <c r="O29" s="247">
        <f t="shared" si="4"/>
        <v>0</v>
      </c>
      <c r="P29" s="247">
        <f t="shared" si="4"/>
        <v>0</v>
      </c>
      <c r="Q29" s="247">
        <f t="shared" si="4"/>
        <v>0</v>
      </c>
      <c r="R29" s="247">
        <f t="shared" si="4"/>
        <v>0</v>
      </c>
    </row>
    <row r="30" spans="4:18" x14ac:dyDescent="0.2">
      <c r="D30" s="52">
        <v>15</v>
      </c>
      <c r="E30" s="77" t="str">
        <f t="shared" si="0"/>
        <v>** NOT USED **</v>
      </c>
      <c r="F30" s="247">
        <f t="shared" si="3"/>
        <v>0</v>
      </c>
      <c r="G30" s="247">
        <f t="shared" si="3"/>
        <v>0</v>
      </c>
      <c r="H30" s="247">
        <f t="shared" si="3"/>
        <v>0</v>
      </c>
      <c r="I30" s="247">
        <f t="shared" si="3"/>
        <v>0</v>
      </c>
      <c r="J30" s="247">
        <f t="shared" si="3"/>
        <v>0</v>
      </c>
      <c r="K30" s="247">
        <f t="shared" si="3"/>
        <v>0</v>
      </c>
      <c r="M30" s="247">
        <f t="shared" si="4"/>
        <v>0</v>
      </c>
      <c r="N30" s="247">
        <f t="shared" si="4"/>
        <v>0</v>
      </c>
      <c r="O30" s="247">
        <f t="shared" si="4"/>
        <v>0</v>
      </c>
      <c r="P30" s="247">
        <f t="shared" si="4"/>
        <v>0</v>
      </c>
      <c r="Q30" s="247">
        <f t="shared" si="4"/>
        <v>0</v>
      </c>
      <c r="R30" s="247">
        <f t="shared" si="4"/>
        <v>0</v>
      </c>
    </row>
    <row r="31" spans="4:18" x14ac:dyDescent="0.2">
      <c r="D31" s="52">
        <v>16</v>
      </c>
      <c r="E31" s="77" t="str">
        <f t="shared" si="0"/>
        <v>** NOT USED **</v>
      </c>
      <c r="F31" s="247">
        <f t="shared" si="3"/>
        <v>0</v>
      </c>
      <c r="G31" s="247">
        <f t="shared" si="3"/>
        <v>0</v>
      </c>
      <c r="H31" s="247">
        <f t="shared" si="3"/>
        <v>0</v>
      </c>
      <c r="I31" s="247">
        <f t="shared" si="3"/>
        <v>0</v>
      </c>
      <c r="J31" s="247">
        <f t="shared" si="3"/>
        <v>0</v>
      </c>
      <c r="K31" s="247">
        <f t="shared" si="3"/>
        <v>0</v>
      </c>
      <c r="M31" s="247">
        <f t="shared" si="4"/>
        <v>0</v>
      </c>
      <c r="N31" s="247">
        <f t="shared" si="4"/>
        <v>0</v>
      </c>
      <c r="O31" s="247">
        <f t="shared" si="4"/>
        <v>0</v>
      </c>
      <c r="P31" s="247">
        <f t="shared" si="4"/>
        <v>0</v>
      </c>
      <c r="Q31" s="247">
        <f t="shared" si="4"/>
        <v>0</v>
      </c>
      <c r="R31" s="247">
        <f t="shared" si="4"/>
        <v>0</v>
      </c>
    </row>
    <row r="32" spans="4:18" x14ac:dyDescent="0.2">
      <c r="D32" s="52">
        <v>17</v>
      </c>
      <c r="E32" s="77" t="str">
        <f t="shared" si="0"/>
        <v>** NOT USED **</v>
      </c>
      <c r="F32" s="247">
        <f t="shared" si="3"/>
        <v>0</v>
      </c>
      <c r="G32" s="247">
        <f t="shared" si="3"/>
        <v>0</v>
      </c>
      <c r="H32" s="247">
        <f t="shared" si="3"/>
        <v>0</v>
      </c>
      <c r="I32" s="247">
        <f t="shared" si="3"/>
        <v>0</v>
      </c>
      <c r="J32" s="247">
        <f t="shared" si="3"/>
        <v>0</v>
      </c>
      <c r="K32" s="247">
        <f t="shared" si="3"/>
        <v>0</v>
      </c>
      <c r="M32" s="247">
        <f t="shared" si="4"/>
        <v>0</v>
      </c>
      <c r="N32" s="247">
        <f t="shared" si="4"/>
        <v>0</v>
      </c>
      <c r="O32" s="247">
        <f t="shared" si="4"/>
        <v>0</v>
      </c>
      <c r="P32" s="247">
        <f t="shared" si="4"/>
        <v>0</v>
      </c>
      <c r="Q32" s="247">
        <f t="shared" si="4"/>
        <v>0</v>
      </c>
      <c r="R32" s="247">
        <f t="shared" si="4"/>
        <v>0</v>
      </c>
    </row>
    <row r="33" spans="1:46" x14ac:dyDescent="0.2">
      <c r="D33" s="52">
        <v>18</v>
      </c>
      <c r="E33" s="77" t="str">
        <f t="shared" si="0"/>
        <v>** NOT USED **</v>
      </c>
      <c r="F33" s="247">
        <f t="shared" si="3"/>
        <v>0</v>
      </c>
      <c r="G33" s="247">
        <f t="shared" si="3"/>
        <v>0</v>
      </c>
      <c r="H33" s="247">
        <f t="shared" si="3"/>
        <v>0</v>
      </c>
      <c r="I33" s="247">
        <f t="shared" si="3"/>
        <v>0</v>
      </c>
      <c r="J33" s="247">
        <f t="shared" si="3"/>
        <v>0</v>
      </c>
      <c r="K33" s="247">
        <f t="shared" si="3"/>
        <v>0</v>
      </c>
      <c r="M33" s="247">
        <f t="shared" si="4"/>
        <v>0</v>
      </c>
      <c r="N33" s="247">
        <f t="shared" si="4"/>
        <v>0</v>
      </c>
      <c r="O33" s="247">
        <f t="shared" si="4"/>
        <v>0</v>
      </c>
      <c r="P33" s="247">
        <f t="shared" si="4"/>
        <v>0</v>
      </c>
      <c r="Q33" s="247">
        <f t="shared" si="4"/>
        <v>0</v>
      </c>
      <c r="R33" s="247">
        <f t="shared" si="4"/>
        <v>0</v>
      </c>
    </row>
    <row r="34" spans="1:46" x14ac:dyDescent="0.2">
      <c r="D34" s="52">
        <v>19</v>
      </c>
      <c r="E34" s="77" t="str">
        <f t="shared" si="0"/>
        <v>** NOT USED **</v>
      </c>
      <c r="F34" s="247">
        <f t="shared" si="3"/>
        <v>0</v>
      </c>
      <c r="G34" s="247">
        <f t="shared" si="3"/>
        <v>0</v>
      </c>
      <c r="H34" s="247">
        <f t="shared" si="3"/>
        <v>0</v>
      </c>
      <c r="I34" s="247">
        <f t="shared" si="3"/>
        <v>0</v>
      </c>
      <c r="J34" s="247">
        <f t="shared" si="3"/>
        <v>0</v>
      </c>
      <c r="K34" s="247">
        <f t="shared" si="3"/>
        <v>0</v>
      </c>
      <c r="M34" s="247">
        <f t="shared" si="4"/>
        <v>0</v>
      </c>
      <c r="N34" s="247">
        <f t="shared" si="4"/>
        <v>0</v>
      </c>
      <c r="O34" s="247">
        <f t="shared" si="4"/>
        <v>0</v>
      </c>
      <c r="P34" s="247">
        <f t="shared" si="4"/>
        <v>0</v>
      </c>
      <c r="Q34" s="247">
        <f t="shared" si="4"/>
        <v>0</v>
      </c>
      <c r="R34" s="247">
        <f t="shared" si="4"/>
        <v>0</v>
      </c>
    </row>
    <row r="35" spans="1:46" x14ac:dyDescent="0.2">
      <c r="D35" s="52">
        <v>20</v>
      </c>
      <c r="E35" s="77" t="str">
        <f t="shared" si="0"/>
        <v>** NOT USED **</v>
      </c>
      <c r="F35" s="247">
        <f t="shared" si="3"/>
        <v>0</v>
      </c>
      <c r="G35" s="247">
        <f t="shared" si="3"/>
        <v>0</v>
      </c>
      <c r="H35" s="247">
        <f t="shared" si="3"/>
        <v>0</v>
      </c>
      <c r="I35" s="247">
        <f t="shared" si="3"/>
        <v>0</v>
      </c>
      <c r="J35" s="247">
        <f t="shared" si="3"/>
        <v>0</v>
      </c>
      <c r="K35" s="247">
        <f t="shared" si="3"/>
        <v>0</v>
      </c>
      <c r="M35" s="247">
        <f t="shared" si="4"/>
        <v>0</v>
      </c>
      <c r="N35" s="247">
        <f t="shared" si="4"/>
        <v>0</v>
      </c>
      <c r="O35" s="247">
        <f t="shared" si="4"/>
        <v>0</v>
      </c>
      <c r="P35" s="247">
        <f t="shared" si="4"/>
        <v>0</v>
      </c>
      <c r="Q35" s="247">
        <f t="shared" si="4"/>
        <v>0</v>
      </c>
      <c r="R35" s="247">
        <f t="shared" si="4"/>
        <v>0</v>
      </c>
    </row>
    <row r="36" spans="1:46" x14ac:dyDescent="0.2">
      <c r="E36" s="56" t="s">
        <v>213</v>
      </c>
      <c r="F36" s="30">
        <f t="shared" ref="F36:K36" si="5">SUM(F16:F35)</f>
        <v>0</v>
      </c>
      <c r="G36" s="30">
        <f t="shared" si="5"/>
        <v>0</v>
      </c>
      <c r="H36" s="30">
        <f t="shared" si="5"/>
        <v>0</v>
      </c>
      <c r="I36" s="30">
        <f t="shared" si="5"/>
        <v>0</v>
      </c>
      <c r="J36" s="30">
        <f t="shared" si="5"/>
        <v>0</v>
      </c>
      <c r="K36" s="30">
        <f t="shared" si="5"/>
        <v>0</v>
      </c>
      <c r="M36" s="30">
        <f t="shared" ref="M36:R36" si="6">SUM(M16:M35)</f>
        <v>0</v>
      </c>
      <c r="N36" s="30">
        <f t="shared" si="6"/>
        <v>0</v>
      </c>
      <c r="O36" s="30">
        <f t="shared" si="6"/>
        <v>0</v>
      </c>
      <c r="P36" s="30">
        <f t="shared" si="6"/>
        <v>0</v>
      </c>
      <c r="Q36" s="30">
        <f t="shared" si="6"/>
        <v>0</v>
      </c>
      <c r="R36" s="30">
        <f t="shared" si="6"/>
        <v>0</v>
      </c>
    </row>
    <row r="37" spans="1:46" x14ac:dyDescent="0.2">
      <c r="E37" s="360"/>
    </row>
    <row r="38" spans="1:46" x14ac:dyDescent="0.2">
      <c r="F38" s="74">
        <f>FirstYear</f>
        <v>2026</v>
      </c>
      <c r="G38" s="74">
        <f>F38+1</f>
        <v>2027</v>
      </c>
      <c r="H38" s="74">
        <f>G38+1</f>
        <v>2028</v>
      </c>
      <c r="I38" s="74">
        <f>H38+1</f>
        <v>2029</v>
      </c>
      <c r="J38" s="74">
        <f>I38+1</f>
        <v>2030</v>
      </c>
      <c r="K38" s="74">
        <f>J38+1</f>
        <v>2031</v>
      </c>
    </row>
    <row r="39" spans="1:46" x14ac:dyDescent="0.2">
      <c r="E39" s="3" t="s">
        <v>223</v>
      </c>
      <c r="F39" s="35">
        <f t="shared" ref="F39:K39" si="7">F36+M36</f>
        <v>0</v>
      </c>
      <c r="G39" s="35">
        <f t="shared" si="7"/>
        <v>0</v>
      </c>
      <c r="H39" s="35">
        <f t="shared" si="7"/>
        <v>0</v>
      </c>
      <c r="I39" s="35">
        <f t="shared" si="7"/>
        <v>0</v>
      </c>
      <c r="J39" s="35">
        <f t="shared" si="7"/>
        <v>0</v>
      </c>
      <c r="K39" s="35">
        <f t="shared" si="7"/>
        <v>0</v>
      </c>
    </row>
    <row r="40" spans="1:46" x14ac:dyDescent="0.2">
      <c r="E40" s="456"/>
      <c r="L40" s="456"/>
      <c r="M40" s="456"/>
      <c r="N40" s="456"/>
      <c r="O40" s="456"/>
      <c r="P40" s="456"/>
      <c r="Q40" s="456"/>
      <c r="R40" s="456"/>
      <c r="S40" s="456"/>
      <c r="T40" s="456"/>
      <c r="U40" s="456"/>
      <c r="V40" s="456"/>
      <c r="W40" s="456"/>
      <c r="X40" s="456"/>
    </row>
    <row r="41" spans="1:46" x14ac:dyDescent="0.2">
      <c r="E41" s="456"/>
      <c r="F41" s="456"/>
      <c r="G41" s="456"/>
      <c r="H41" s="456"/>
      <c r="I41" s="456"/>
      <c r="J41" s="456"/>
      <c r="K41" s="456"/>
      <c r="L41" s="456"/>
      <c r="M41" s="456"/>
      <c r="N41" s="456"/>
      <c r="O41" s="456"/>
      <c r="P41" s="456"/>
      <c r="Q41" s="456"/>
      <c r="R41" s="456"/>
      <c r="S41" s="456"/>
      <c r="T41" s="456"/>
      <c r="U41" s="456"/>
      <c r="V41" s="456"/>
      <c r="W41" s="456"/>
      <c r="X41" s="456"/>
    </row>
    <row r="42" spans="1:46" ht="15.75" x14ac:dyDescent="0.2">
      <c r="A42" s="22"/>
      <c r="B42" s="22"/>
      <c r="C42" s="22"/>
      <c r="D42" s="22"/>
      <c r="E42" s="111" t="s">
        <v>852</v>
      </c>
      <c r="F42" s="131"/>
      <c r="G42" s="21"/>
      <c r="H42" s="21"/>
      <c r="I42" s="21"/>
      <c r="J42" s="605" t="str">
        <f>IF(AND(ScriptSourceCode&lt;&gt;1,ScriptSourceCode&lt;&gt;3),MsgNotRequired,"")</f>
        <v>** NOT REQUIRED **</v>
      </c>
      <c r="K42" s="605"/>
      <c r="L42" s="21"/>
      <c r="M42" s="21"/>
      <c r="N42" s="21"/>
      <c r="O42" s="21"/>
      <c r="P42" s="21"/>
      <c r="Q42" s="605"/>
      <c r="R42" s="606"/>
      <c r="S42" s="21"/>
      <c r="T42" s="21"/>
      <c r="U42" s="21"/>
      <c r="V42" s="21"/>
      <c r="W42" s="21"/>
      <c r="X42" s="21"/>
      <c r="Y42" s="21"/>
      <c r="Z42" s="21"/>
      <c r="AA42" s="21"/>
      <c r="AB42" s="21"/>
      <c r="AC42" s="21"/>
      <c r="AD42" s="21"/>
      <c r="AE42" s="21"/>
      <c r="AF42" s="21"/>
      <c r="AG42" s="21"/>
      <c r="AH42" s="21"/>
      <c r="AI42" s="21"/>
      <c r="AJ42" s="21"/>
      <c r="AK42" s="21"/>
      <c r="AL42" s="21"/>
      <c r="AM42" s="21"/>
      <c r="AN42" s="21"/>
      <c r="AO42" s="21"/>
      <c r="AP42" s="21"/>
      <c r="AQ42" s="21"/>
      <c r="AR42" s="21"/>
      <c r="AS42" s="21"/>
      <c r="AT42" s="21"/>
    </row>
    <row r="43" spans="1:46" hidden="1" outlineLevel="1" x14ac:dyDescent="0.2">
      <c r="E43" s="456"/>
      <c r="F43" s="456"/>
      <c r="G43" s="456"/>
      <c r="H43" s="456"/>
      <c r="I43" s="456"/>
      <c r="J43" s="456"/>
      <c r="K43" s="456"/>
      <c r="L43" s="456"/>
      <c r="M43" s="456"/>
      <c r="N43" s="456"/>
      <c r="O43" s="456"/>
      <c r="P43" s="456"/>
      <c r="Q43" s="456"/>
      <c r="R43" s="456"/>
      <c r="S43" s="456"/>
      <c r="T43" s="456"/>
      <c r="U43" s="456"/>
      <c r="V43" s="456"/>
      <c r="W43" s="456"/>
      <c r="X43" s="456"/>
      <c r="Y43" s="456"/>
      <c r="Z43" s="456"/>
      <c r="AA43" s="456"/>
      <c r="AB43" s="456"/>
      <c r="AC43" s="456"/>
      <c r="AD43" s="456"/>
      <c r="AE43" s="456"/>
      <c r="AF43" s="456"/>
      <c r="AG43" s="456"/>
      <c r="AH43" s="456"/>
      <c r="AI43" s="456"/>
      <c r="AJ43" s="456"/>
      <c r="AK43" s="456"/>
      <c r="AL43" s="456"/>
      <c r="AM43" s="456"/>
      <c r="AN43" s="456"/>
      <c r="AO43" s="456"/>
      <c r="AP43" s="456"/>
      <c r="AQ43" s="456"/>
      <c r="AR43" s="456"/>
      <c r="AS43" s="456"/>
      <c r="AT43" s="456"/>
    </row>
    <row r="44" spans="1:46" ht="15" hidden="1" outlineLevel="1" x14ac:dyDescent="0.2">
      <c r="E44" s="172" t="s">
        <v>808</v>
      </c>
      <c r="F44" s="456"/>
      <c r="G44" s="456"/>
      <c r="H44" s="456"/>
      <c r="I44" s="456"/>
      <c r="J44" s="456"/>
      <c r="K44" s="456"/>
      <c r="L44" s="456"/>
      <c r="M44" s="456"/>
      <c r="N44" s="456"/>
      <c r="O44" s="456"/>
      <c r="P44" s="456"/>
      <c r="Q44" s="456"/>
      <c r="R44" s="456"/>
      <c r="S44" s="456"/>
      <c r="T44" s="456"/>
      <c r="U44" s="456"/>
      <c r="V44" s="456"/>
      <c r="W44" s="456"/>
      <c r="X44" s="456"/>
      <c r="Y44" s="456"/>
      <c r="Z44" s="456"/>
      <c r="AA44" s="456"/>
      <c r="AB44" s="456"/>
      <c r="AC44" s="456"/>
      <c r="AD44" s="456"/>
      <c r="AI44" s="22"/>
    </row>
    <row r="45" spans="1:46" hidden="1" outlineLevel="1" x14ac:dyDescent="0.2">
      <c r="E45" s="456"/>
      <c r="F45" s="456"/>
      <c r="G45" s="456"/>
      <c r="H45" s="456"/>
      <c r="I45" s="456"/>
      <c r="J45" s="456"/>
      <c r="K45" s="456"/>
      <c r="L45" s="456"/>
      <c r="M45" s="456"/>
      <c r="N45" s="456"/>
      <c r="O45" s="456"/>
      <c r="P45" s="456"/>
      <c r="Q45" s="456"/>
      <c r="R45" s="456"/>
      <c r="S45" s="456"/>
      <c r="T45" s="456"/>
      <c r="U45" s="456"/>
      <c r="V45" s="456"/>
      <c r="W45" s="456"/>
      <c r="X45" s="456"/>
      <c r="Y45" s="456"/>
      <c r="Z45" s="456"/>
      <c r="AA45" s="456"/>
      <c r="AB45" s="456"/>
      <c r="AC45" s="456"/>
      <c r="AD45" s="456"/>
      <c r="AI45" s="618" t="s">
        <v>216</v>
      </c>
      <c r="AJ45" s="618"/>
      <c r="AK45" s="618"/>
      <c r="AL45" s="618"/>
      <c r="AM45" s="618"/>
      <c r="AN45" s="618"/>
      <c r="AO45" s="618"/>
      <c r="AP45" s="618"/>
      <c r="AQ45" s="618"/>
      <c r="AR45" s="618"/>
      <c r="AS45" s="618"/>
      <c r="AT45" s="618"/>
    </row>
    <row r="46" spans="1:46" hidden="1" outlineLevel="1" x14ac:dyDescent="0.2">
      <c r="E46" s="172"/>
      <c r="F46" s="596" t="s">
        <v>214</v>
      </c>
      <c r="G46" s="607"/>
      <c r="H46" s="607"/>
      <c r="I46" s="607"/>
      <c r="J46" s="607"/>
      <c r="K46" s="608"/>
      <c r="M46" s="596" t="s">
        <v>215</v>
      </c>
      <c r="N46" s="607"/>
      <c r="O46" s="607"/>
      <c r="P46" s="607"/>
      <c r="Q46" s="607"/>
      <c r="R46" s="608"/>
      <c r="AI46" s="617" t="str">
        <f>TxPhase1PxTotal</f>
        <v/>
      </c>
      <c r="AJ46" s="617"/>
      <c r="AK46" s="617"/>
      <c r="AL46" s="617"/>
      <c r="AM46" s="617"/>
      <c r="AN46" s="617"/>
      <c r="AO46" s="617" t="str">
        <f>TxPhase2PxTotal</f>
        <v/>
      </c>
      <c r="AP46" s="617"/>
      <c r="AQ46" s="617"/>
      <c r="AR46" s="617"/>
      <c r="AS46" s="617"/>
      <c r="AT46" s="617"/>
    </row>
    <row r="47" spans="1:46" hidden="1" outlineLevel="1" x14ac:dyDescent="0.2">
      <c r="E47" s="60" t="s">
        <v>799</v>
      </c>
      <c r="F47" s="74">
        <f>FirstYear</f>
        <v>2026</v>
      </c>
      <c r="G47" s="74">
        <f>F47+1</f>
        <v>2027</v>
      </c>
      <c r="H47" s="74">
        <f>G47+1</f>
        <v>2028</v>
      </c>
      <c r="I47" s="74">
        <f>H47+1</f>
        <v>2029</v>
      </c>
      <c r="J47" s="74">
        <f>I47+1</f>
        <v>2030</v>
      </c>
      <c r="K47" s="74">
        <f>J47+1</f>
        <v>2031</v>
      </c>
      <c r="M47" s="74">
        <f>FirstYear</f>
        <v>2026</v>
      </c>
      <c r="N47" s="74">
        <f>M47+1</f>
        <v>2027</v>
      </c>
      <c r="O47" s="74">
        <f>N47+1</f>
        <v>2028</v>
      </c>
      <c r="P47" s="74">
        <f>O47+1</f>
        <v>2029</v>
      </c>
      <c r="Q47" s="74">
        <f>P47+1</f>
        <v>2030</v>
      </c>
      <c r="R47" s="74">
        <f>Q47+1</f>
        <v>2031</v>
      </c>
      <c r="AH47" s="345"/>
      <c r="AI47" s="204">
        <f>FirstYear</f>
        <v>2026</v>
      </c>
      <c r="AJ47" s="204">
        <f>AI47+1</f>
        <v>2027</v>
      </c>
      <c r="AK47" s="204">
        <f>AJ47+1</f>
        <v>2028</v>
      </c>
      <c r="AL47" s="204">
        <f>AK47+1</f>
        <v>2029</v>
      </c>
      <c r="AM47" s="204">
        <f>AL47+1</f>
        <v>2030</v>
      </c>
      <c r="AN47" s="204">
        <f>AM47+1</f>
        <v>2031</v>
      </c>
      <c r="AO47" s="204">
        <f>FirstYear</f>
        <v>2026</v>
      </c>
      <c r="AP47" s="204">
        <f>AO47+1</f>
        <v>2027</v>
      </c>
      <c r="AQ47" s="204">
        <f>AP47+1</f>
        <v>2028</v>
      </c>
      <c r="AR47" s="204">
        <f>AQ47+1</f>
        <v>2029</v>
      </c>
      <c r="AS47" s="204">
        <f>AR47+1</f>
        <v>2030</v>
      </c>
      <c r="AT47" s="204">
        <f>AS47+1</f>
        <v>2031</v>
      </c>
    </row>
    <row r="48" spans="1:46" hidden="1" outlineLevel="1" x14ac:dyDescent="0.2">
      <c r="D48" s="52">
        <v>1</v>
      </c>
      <c r="E48" s="77" t="str">
        <f t="shared" ref="E48:E67" si="8">IF(AND(ScriptSourceCode&lt;&gt;1,ScriptSourceCode&lt;&gt;3),MsgNotUsed,INDEX(NamesNew,D48))</f>
        <v>** NOT USED **</v>
      </c>
      <c r="F48" s="27">
        <f t="shared" ref="F48:F67" si="9">IF(AND($E48&lt;&gt;"",$O117&lt;&gt;""),IF($AG117="C",AO48,AI48)*$O117*$P117,0)</f>
        <v>0</v>
      </c>
      <c r="G48" s="27">
        <f t="shared" ref="G48:G67" si="10">IF(AND($E48&lt;&gt;"",$O117&lt;&gt;""),IF($AG117="C",AP48,AJ48)*$O117*$P117,0)</f>
        <v>0</v>
      </c>
      <c r="H48" s="27">
        <f t="shared" ref="H48:H67" si="11">IF(AND($E48&lt;&gt;"",$O117&lt;&gt;""),IF($AG117="C",AQ48,AK48)*$O117*$P117,0)</f>
        <v>0</v>
      </c>
      <c r="I48" s="27">
        <f t="shared" ref="I48:I67" si="12">IF(AND($E48&lt;&gt;"",$O117&lt;&gt;""),IF($AG117="C",AR48,AL48)*$O117*$P117,0)</f>
        <v>0</v>
      </c>
      <c r="J48" s="27">
        <f t="shared" ref="J48:J67" si="13">IF(AND($E48&lt;&gt;"",$O117&lt;&gt;""),IF($AG117="C",AS48,AM48)*$O117*$P117,0)</f>
        <v>0</v>
      </c>
      <c r="K48" s="27">
        <f t="shared" ref="K48:K67" si="14">IF(AND($E48&lt;&gt;"",$O117&lt;&gt;""),IF($AG117="C",AT48,AN48)*$O117*$P117,0)</f>
        <v>0</v>
      </c>
      <c r="M48" s="27">
        <f t="shared" ref="M48:M67" si="15">IF(AND($E48&lt;&gt;"",$O117&lt;&gt;""),IF($AG117="C",AO86,AI86)*$O117*$P117,0)</f>
        <v>0</v>
      </c>
      <c r="N48" s="27">
        <f t="shared" ref="N48:N67" si="16">IF(AND($E48&lt;&gt;"",$O117&lt;&gt;""),IF($AG117="C",AP86,AJ86)*$O117*$P117,0)</f>
        <v>0</v>
      </c>
      <c r="O48" s="27">
        <f t="shared" ref="O48:O67" si="17">IF(AND($E48&lt;&gt;"",$O117&lt;&gt;""),IF($AG117="C",AQ86,AK86)*$O117*$P117,0)</f>
        <v>0</v>
      </c>
      <c r="P48" s="27">
        <f t="shared" ref="P48:P67" si="18">IF(AND($E48&lt;&gt;"",$O117&lt;&gt;""),IF($AG117="C",AR86,AL86)*$O117*$P117,0)</f>
        <v>0</v>
      </c>
      <c r="Q48" s="27">
        <f t="shared" ref="Q48:Q67" si="19">IF(AND($E48&lt;&gt;"",$O117&lt;&gt;""),IF($AG117="C",AS86,AM86)*$O117*$P117,0)</f>
        <v>0</v>
      </c>
      <c r="R48" s="27">
        <f t="shared" ref="R48:R67" si="20">IF(AND($E48&lt;&gt;"",$O117&lt;&gt;""),IF($AG117="C",AT86,AN86)*$O117*$P117,0)</f>
        <v>0</v>
      </c>
      <c r="AH48" s="65">
        <v>1</v>
      </c>
      <c r="AI48" s="369">
        <f t="shared" ref="AI48:AT48" si="21">IF(OR(ScriptSourceCode=1,ScriptSourceCode=3),AI117-AI86,0)</f>
        <v>0</v>
      </c>
      <c r="AJ48" s="369">
        <f t="shared" si="21"/>
        <v>0</v>
      </c>
      <c r="AK48" s="369">
        <f t="shared" si="21"/>
        <v>0</v>
      </c>
      <c r="AL48" s="369">
        <f t="shared" si="21"/>
        <v>0</v>
      </c>
      <c r="AM48" s="369">
        <f t="shared" si="21"/>
        <v>0</v>
      </c>
      <c r="AN48" s="369">
        <f t="shared" si="21"/>
        <v>0</v>
      </c>
      <c r="AO48" s="369">
        <f t="shared" si="21"/>
        <v>0</v>
      </c>
      <c r="AP48" s="369">
        <f t="shared" si="21"/>
        <v>0</v>
      </c>
      <c r="AQ48" s="369">
        <f t="shared" si="21"/>
        <v>0</v>
      </c>
      <c r="AR48" s="369">
        <f t="shared" si="21"/>
        <v>0</v>
      </c>
      <c r="AS48" s="369">
        <f t="shared" si="21"/>
        <v>0</v>
      </c>
      <c r="AT48" s="369">
        <f t="shared" si="21"/>
        <v>0</v>
      </c>
    </row>
    <row r="49" spans="4:46" hidden="1" outlineLevel="1" x14ac:dyDescent="0.2">
      <c r="D49" s="52">
        <v>2</v>
      </c>
      <c r="E49" s="77" t="str">
        <f t="shared" si="8"/>
        <v>** NOT USED **</v>
      </c>
      <c r="F49" s="27">
        <f t="shared" si="9"/>
        <v>0</v>
      </c>
      <c r="G49" s="27">
        <f t="shared" si="10"/>
        <v>0</v>
      </c>
      <c r="H49" s="27">
        <f t="shared" si="11"/>
        <v>0</v>
      </c>
      <c r="I49" s="27">
        <f t="shared" si="12"/>
        <v>0</v>
      </c>
      <c r="J49" s="27">
        <f t="shared" si="13"/>
        <v>0</v>
      </c>
      <c r="K49" s="27">
        <f t="shared" si="14"/>
        <v>0</v>
      </c>
      <c r="M49" s="27">
        <f t="shared" si="15"/>
        <v>0</v>
      </c>
      <c r="N49" s="27">
        <f t="shared" si="16"/>
        <v>0</v>
      </c>
      <c r="O49" s="27">
        <f t="shared" si="17"/>
        <v>0</v>
      </c>
      <c r="P49" s="27">
        <f t="shared" si="18"/>
        <v>0</v>
      </c>
      <c r="Q49" s="27">
        <f t="shared" si="19"/>
        <v>0</v>
      </c>
      <c r="R49" s="27">
        <f t="shared" si="20"/>
        <v>0</v>
      </c>
      <c r="AH49" s="65">
        <v>2</v>
      </c>
      <c r="AI49" s="369">
        <f t="shared" ref="AI49:AT49" si="22">IF(OR(ScriptSourceCode=1,ScriptSourceCode=3),AI118-AI87,0)</f>
        <v>0</v>
      </c>
      <c r="AJ49" s="369">
        <f t="shared" si="22"/>
        <v>0</v>
      </c>
      <c r="AK49" s="369">
        <f t="shared" si="22"/>
        <v>0</v>
      </c>
      <c r="AL49" s="369">
        <f t="shared" si="22"/>
        <v>0</v>
      </c>
      <c r="AM49" s="369">
        <f t="shared" si="22"/>
        <v>0</v>
      </c>
      <c r="AN49" s="369">
        <f t="shared" si="22"/>
        <v>0</v>
      </c>
      <c r="AO49" s="369">
        <f t="shared" si="22"/>
        <v>0</v>
      </c>
      <c r="AP49" s="369">
        <f t="shared" si="22"/>
        <v>0</v>
      </c>
      <c r="AQ49" s="369">
        <f t="shared" si="22"/>
        <v>0</v>
      </c>
      <c r="AR49" s="369">
        <f t="shared" si="22"/>
        <v>0</v>
      </c>
      <c r="AS49" s="369">
        <f t="shared" si="22"/>
        <v>0</v>
      </c>
      <c r="AT49" s="369">
        <f t="shared" si="22"/>
        <v>0</v>
      </c>
    </row>
    <row r="50" spans="4:46" hidden="1" outlineLevel="1" x14ac:dyDescent="0.2">
      <c r="D50" s="52">
        <v>3</v>
      </c>
      <c r="E50" s="77" t="str">
        <f t="shared" si="8"/>
        <v>** NOT USED **</v>
      </c>
      <c r="F50" s="27">
        <f t="shared" si="9"/>
        <v>0</v>
      </c>
      <c r="G50" s="27">
        <f t="shared" si="10"/>
        <v>0</v>
      </c>
      <c r="H50" s="27">
        <f t="shared" si="11"/>
        <v>0</v>
      </c>
      <c r="I50" s="27">
        <f t="shared" si="12"/>
        <v>0</v>
      </c>
      <c r="J50" s="27">
        <f t="shared" si="13"/>
        <v>0</v>
      </c>
      <c r="K50" s="27">
        <f t="shared" si="14"/>
        <v>0</v>
      </c>
      <c r="M50" s="27">
        <f t="shared" si="15"/>
        <v>0</v>
      </c>
      <c r="N50" s="27">
        <f t="shared" si="16"/>
        <v>0</v>
      </c>
      <c r="O50" s="27">
        <f t="shared" si="17"/>
        <v>0</v>
      </c>
      <c r="P50" s="27">
        <f t="shared" si="18"/>
        <v>0</v>
      </c>
      <c r="Q50" s="27">
        <f t="shared" si="19"/>
        <v>0</v>
      </c>
      <c r="R50" s="27">
        <f t="shared" si="20"/>
        <v>0</v>
      </c>
      <c r="AH50" s="65">
        <v>3</v>
      </c>
      <c r="AI50" s="369">
        <f t="shared" ref="AI50:AT50" si="23">IF(OR(ScriptSourceCode=1,ScriptSourceCode=3),AI119-AI88,0)</f>
        <v>0</v>
      </c>
      <c r="AJ50" s="369">
        <f t="shared" si="23"/>
        <v>0</v>
      </c>
      <c r="AK50" s="369">
        <f t="shared" si="23"/>
        <v>0</v>
      </c>
      <c r="AL50" s="369">
        <f t="shared" si="23"/>
        <v>0</v>
      </c>
      <c r="AM50" s="369">
        <f t="shared" si="23"/>
        <v>0</v>
      </c>
      <c r="AN50" s="369">
        <f t="shared" si="23"/>
        <v>0</v>
      </c>
      <c r="AO50" s="369">
        <f t="shared" si="23"/>
        <v>0</v>
      </c>
      <c r="AP50" s="369">
        <f t="shared" si="23"/>
        <v>0</v>
      </c>
      <c r="AQ50" s="369">
        <f t="shared" si="23"/>
        <v>0</v>
      </c>
      <c r="AR50" s="369">
        <f t="shared" si="23"/>
        <v>0</v>
      </c>
      <c r="AS50" s="369">
        <f t="shared" si="23"/>
        <v>0</v>
      </c>
      <c r="AT50" s="369">
        <f t="shared" si="23"/>
        <v>0</v>
      </c>
    </row>
    <row r="51" spans="4:46" hidden="1" outlineLevel="1" x14ac:dyDescent="0.2">
      <c r="D51" s="52">
        <v>4</v>
      </c>
      <c r="E51" s="77" t="str">
        <f t="shared" si="8"/>
        <v>** NOT USED **</v>
      </c>
      <c r="F51" s="27">
        <f t="shared" si="9"/>
        <v>0</v>
      </c>
      <c r="G51" s="27">
        <f t="shared" si="10"/>
        <v>0</v>
      </c>
      <c r="H51" s="27">
        <f t="shared" si="11"/>
        <v>0</v>
      </c>
      <c r="I51" s="27">
        <f t="shared" si="12"/>
        <v>0</v>
      </c>
      <c r="J51" s="27">
        <f t="shared" si="13"/>
        <v>0</v>
      </c>
      <c r="K51" s="27">
        <f t="shared" si="14"/>
        <v>0</v>
      </c>
      <c r="M51" s="27">
        <f t="shared" si="15"/>
        <v>0</v>
      </c>
      <c r="N51" s="27">
        <f t="shared" si="16"/>
        <v>0</v>
      </c>
      <c r="O51" s="27">
        <f t="shared" si="17"/>
        <v>0</v>
      </c>
      <c r="P51" s="27">
        <f t="shared" si="18"/>
        <v>0</v>
      </c>
      <c r="Q51" s="27">
        <f t="shared" si="19"/>
        <v>0</v>
      </c>
      <c r="R51" s="27">
        <f t="shared" si="20"/>
        <v>0</v>
      </c>
      <c r="AH51" s="65">
        <v>4</v>
      </c>
      <c r="AI51" s="369">
        <f t="shared" ref="AI51:AT51" si="24">IF(OR(ScriptSourceCode=1,ScriptSourceCode=3),AI120-AI89,0)</f>
        <v>0</v>
      </c>
      <c r="AJ51" s="369">
        <f t="shared" si="24"/>
        <v>0</v>
      </c>
      <c r="AK51" s="369">
        <f t="shared" si="24"/>
        <v>0</v>
      </c>
      <c r="AL51" s="369">
        <f t="shared" si="24"/>
        <v>0</v>
      </c>
      <c r="AM51" s="369">
        <f t="shared" si="24"/>
        <v>0</v>
      </c>
      <c r="AN51" s="369">
        <f t="shared" si="24"/>
        <v>0</v>
      </c>
      <c r="AO51" s="369">
        <f t="shared" si="24"/>
        <v>0</v>
      </c>
      <c r="AP51" s="369">
        <f t="shared" si="24"/>
        <v>0</v>
      </c>
      <c r="AQ51" s="369">
        <f t="shared" si="24"/>
        <v>0</v>
      </c>
      <c r="AR51" s="369">
        <f t="shared" si="24"/>
        <v>0</v>
      </c>
      <c r="AS51" s="369">
        <f t="shared" si="24"/>
        <v>0</v>
      </c>
      <c r="AT51" s="369">
        <f t="shared" si="24"/>
        <v>0</v>
      </c>
    </row>
    <row r="52" spans="4:46" hidden="1" outlineLevel="1" x14ac:dyDescent="0.2">
      <c r="D52" s="52">
        <v>5</v>
      </c>
      <c r="E52" s="77" t="str">
        <f t="shared" si="8"/>
        <v>** NOT USED **</v>
      </c>
      <c r="F52" s="27">
        <f t="shared" si="9"/>
        <v>0</v>
      </c>
      <c r="G52" s="27">
        <f t="shared" si="10"/>
        <v>0</v>
      </c>
      <c r="H52" s="27">
        <f t="shared" si="11"/>
        <v>0</v>
      </c>
      <c r="I52" s="27">
        <f t="shared" si="12"/>
        <v>0</v>
      </c>
      <c r="J52" s="27">
        <f t="shared" si="13"/>
        <v>0</v>
      </c>
      <c r="K52" s="27">
        <f t="shared" si="14"/>
        <v>0</v>
      </c>
      <c r="M52" s="27">
        <f t="shared" si="15"/>
        <v>0</v>
      </c>
      <c r="N52" s="27">
        <f t="shared" si="16"/>
        <v>0</v>
      </c>
      <c r="O52" s="27">
        <f t="shared" si="17"/>
        <v>0</v>
      </c>
      <c r="P52" s="27">
        <f t="shared" si="18"/>
        <v>0</v>
      </c>
      <c r="Q52" s="27">
        <f t="shared" si="19"/>
        <v>0</v>
      </c>
      <c r="R52" s="27">
        <f t="shared" si="20"/>
        <v>0</v>
      </c>
      <c r="AH52" s="65">
        <v>5</v>
      </c>
      <c r="AI52" s="369">
        <f t="shared" ref="AI52:AT52" si="25">IF(OR(ScriptSourceCode=1,ScriptSourceCode=3),AI121-AI90,0)</f>
        <v>0</v>
      </c>
      <c r="AJ52" s="369">
        <f t="shared" si="25"/>
        <v>0</v>
      </c>
      <c r="AK52" s="369">
        <f t="shared" si="25"/>
        <v>0</v>
      </c>
      <c r="AL52" s="369">
        <f t="shared" si="25"/>
        <v>0</v>
      </c>
      <c r="AM52" s="369">
        <f t="shared" si="25"/>
        <v>0</v>
      </c>
      <c r="AN52" s="369">
        <f t="shared" si="25"/>
        <v>0</v>
      </c>
      <c r="AO52" s="369">
        <f t="shared" si="25"/>
        <v>0</v>
      </c>
      <c r="AP52" s="369">
        <f t="shared" si="25"/>
        <v>0</v>
      </c>
      <c r="AQ52" s="369">
        <f t="shared" si="25"/>
        <v>0</v>
      </c>
      <c r="AR52" s="369">
        <f t="shared" si="25"/>
        <v>0</v>
      </c>
      <c r="AS52" s="369">
        <f t="shared" si="25"/>
        <v>0</v>
      </c>
      <c r="AT52" s="369">
        <f t="shared" si="25"/>
        <v>0</v>
      </c>
    </row>
    <row r="53" spans="4:46" hidden="1" outlineLevel="1" x14ac:dyDescent="0.2">
      <c r="D53" s="52">
        <v>6</v>
      </c>
      <c r="E53" s="77" t="str">
        <f t="shared" si="8"/>
        <v>** NOT USED **</v>
      </c>
      <c r="F53" s="27">
        <f t="shared" si="9"/>
        <v>0</v>
      </c>
      <c r="G53" s="27">
        <f t="shared" si="10"/>
        <v>0</v>
      </c>
      <c r="H53" s="27">
        <f t="shared" si="11"/>
        <v>0</v>
      </c>
      <c r="I53" s="27">
        <f t="shared" si="12"/>
        <v>0</v>
      </c>
      <c r="J53" s="27">
        <f t="shared" si="13"/>
        <v>0</v>
      </c>
      <c r="K53" s="27">
        <f t="shared" si="14"/>
        <v>0</v>
      </c>
      <c r="M53" s="27">
        <f t="shared" si="15"/>
        <v>0</v>
      </c>
      <c r="N53" s="27">
        <f t="shared" si="16"/>
        <v>0</v>
      </c>
      <c r="O53" s="27">
        <f t="shared" si="17"/>
        <v>0</v>
      </c>
      <c r="P53" s="27">
        <f t="shared" si="18"/>
        <v>0</v>
      </c>
      <c r="Q53" s="27">
        <f t="shared" si="19"/>
        <v>0</v>
      </c>
      <c r="R53" s="27">
        <f t="shared" si="20"/>
        <v>0</v>
      </c>
      <c r="AH53" s="65">
        <v>6</v>
      </c>
      <c r="AI53" s="369">
        <f t="shared" ref="AI53:AT53" si="26">IF(OR(ScriptSourceCode=1,ScriptSourceCode=3),AI122-AI91,0)</f>
        <v>0</v>
      </c>
      <c r="AJ53" s="369">
        <f t="shared" si="26"/>
        <v>0</v>
      </c>
      <c r="AK53" s="369">
        <f t="shared" si="26"/>
        <v>0</v>
      </c>
      <c r="AL53" s="369">
        <f t="shared" si="26"/>
        <v>0</v>
      </c>
      <c r="AM53" s="369">
        <f t="shared" si="26"/>
        <v>0</v>
      </c>
      <c r="AN53" s="369">
        <f t="shared" si="26"/>
        <v>0</v>
      </c>
      <c r="AO53" s="369">
        <f t="shared" si="26"/>
        <v>0</v>
      </c>
      <c r="AP53" s="369">
        <f t="shared" si="26"/>
        <v>0</v>
      </c>
      <c r="AQ53" s="369">
        <f t="shared" si="26"/>
        <v>0</v>
      </c>
      <c r="AR53" s="369">
        <f t="shared" si="26"/>
        <v>0</v>
      </c>
      <c r="AS53" s="369">
        <f t="shared" si="26"/>
        <v>0</v>
      </c>
      <c r="AT53" s="369">
        <f t="shared" si="26"/>
        <v>0</v>
      </c>
    </row>
    <row r="54" spans="4:46" hidden="1" outlineLevel="1" x14ac:dyDescent="0.2">
      <c r="D54" s="52">
        <v>7</v>
      </c>
      <c r="E54" s="77" t="str">
        <f t="shared" si="8"/>
        <v>** NOT USED **</v>
      </c>
      <c r="F54" s="27">
        <f t="shared" si="9"/>
        <v>0</v>
      </c>
      <c r="G54" s="27">
        <f t="shared" si="10"/>
        <v>0</v>
      </c>
      <c r="H54" s="27">
        <f t="shared" si="11"/>
        <v>0</v>
      </c>
      <c r="I54" s="27">
        <f t="shared" si="12"/>
        <v>0</v>
      </c>
      <c r="J54" s="27">
        <f t="shared" si="13"/>
        <v>0</v>
      </c>
      <c r="K54" s="27">
        <f t="shared" si="14"/>
        <v>0</v>
      </c>
      <c r="M54" s="27">
        <f t="shared" si="15"/>
        <v>0</v>
      </c>
      <c r="N54" s="27">
        <f t="shared" si="16"/>
        <v>0</v>
      </c>
      <c r="O54" s="27">
        <f t="shared" si="17"/>
        <v>0</v>
      </c>
      <c r="P54" s="27">
        <f t="shared" si="18"/>
        <v>0</v>
      </c>
      <c r="Q54" s="27">
        <f t="shared" si="19"/>
        <v>0</v>
      </c>
      <c r="R54" s="27">
        <f t="shared" si="20"/>
        <v>0</v>
      </c>
      <c r="AH54" s="65">
        <v>7</v>
      </c>
      <c r="AI54" s="369">
        <f t="shared" ref="AI54:AT54" si="27">IF(OR(ScriptSourceCode=1,ScriptSourceCode=3),AI123-AI92,0)</f>
        <v>0</v>
      </c>
      <c r="AJ54" s="369">
        <f t="shared" si="27"/>
        <v>0</v>
      </c>
      <c r="AK54" s="369">
        <f t="shared" si="27"/>
        <v>0</v>
      </c>
      <c r="AL54" s="369">
        <f t="shared" si="27"/>
        <v>0</v>
      </c>
      <c r="AM54" s="369">
        <f t="shared" si="27"/>
        <v>0</v>
      </c>
      <c r="AN54" s="369">
        <f t="shared" si="27"/>
        <v>0</v>
      </c>
      <c r="AO54" s="369">
        <f t="shared" si="27"/>
        <v>0</v>
      </c>
      <c r="AP54" s="369">
        <f t="shared" si="27"/>
        <v>0</v>
      </c>
      <c r="AQ54" s="369">
        <f t="shared" si="27"/>
        <v>0</v>
      </c>
      <c r="AR54" s="369">
        <f t="shared" si="27"/>
        <v>0</v>
      </c>
      <c r="AS54" s="369">
        <f t="shared" si="27"/>
        <v>0</v>
      </c>
      <c r="AT54" s="369">
        <f t="shared" si="27"/>
        <v>0</v>
      </c>
    </row>
    <row r="55" spans="4:46" hidden="1" outlineLevel="1" x14ac:dyDescent="0.2">
      <c r="D55" s="52">
        <v>8</v>
      </c>
      <c r="E55" s="77" t="str">
        <f t="shared" si="8"/>
        <v>** NOT USED **</v>
      </c>
      <c r="F55" s="27">
        <f t="shared" si="9"/>
        <v>0</v>
      </c>
      <c r="G55" s="27">
        <f t="shared" si="10"/>
        <v>0</v>
      </c>
      <c r="H55" s="27">
        <f t="shared" si="11"/>
        <v>0</v>
      </c>
      <c r="I55" s="27">
        <f t="shared" si="12"/>
        <v>0</v>
      </c>
      <c r="J55" s="27">
        <f t="shared" si="13"/>
        <v>0</v>
      </c>
      <c r="K55" s="27">
        <f t="shared" si="14"/>
        <v>0</v>
      </c>
      <c r="M55" s="27">
        <f t="shared" si="15"/>
        <v>0</v>
      </c>
      <c r="N55" s="27">
        <f t="shared" si="16"/>
        <v>0</v>
      </c>
      <c r="O55" s="27">
        <f t="shared" si="17"/>
        <v>0</v>
      </c>
      <c r="P55" s="27">
        <f t="shared" si="18"/>
        <v>0</v>
      </c>
      <c r="Q55" s="27">
        <f t="shared" si="19"/>
        <v>0</v>
      </c>
      <c r="R55" s="27">
        <f t="shared" si="20"/>
        <v>0</v>
      </c>
      <c r="AH55" s="65">
        <v>8</v>
      </c>
      <c r="AI55" s="369">
        <f t="shared" ref="AI55:AT55" si="28">IF(OR(ScriptSourceCode=1,ScriptSourceCode=3),AI124-AI93,0)</f>
        <v>0</v>
      </c>
      <c r="AJ55" s="369">
        <f t="shared" si="28"/>
        <v>0</v>
      </c>
      <c r="AK55" s="369">
        <f t="shared" si="28"/>
        <v>0</v>
      </c>
      <c r="AL55" s="369">
        <f t="shared" si="28"/>
        <v>0</v>
      </c>
      <c r="AM55" s="369">
        <f t="shared" si="28"/>
        <v>0</v>
      </c>
      <c r="AN55" s="369">
        <f t="shared" si="28"/>
        <v>0</v>
      </c>
      <c r="AO55" s="369">
        <f t="shared" si="28"/>
        <v>0</v>
      </c>
      <c r="AP55" s="369">
        <f t="shared" si="28"/>
        <v>0</v>
      </c>
      <c r="AQ55" s="369">
        <f t="shared" si="28"/>
        <v>0</v>
      </c>
      <c r="AR55" s="369">
        <f t="shared" si="28"/>
        <v>0</v>
      </c>
      <c r="AS55" s="369">
        <f t="shared" si="28"/>
        <v>0</v>
      </c>
      <c r="AT55" s="369">
        <f t="shared" si="28"/>
        <v>0</v>
      </c>
    </row>
    <row r="56" spans="4:46" hidden="1" outlineLevel="1" x14ac:dyDescent="0.2">
      <c r="D56" s="52">
        <v>9</v>
      </c>
      <c r="E56" s="77" t="str">
        <f t="shared" si="8"/>
        <v>** NOT USED **</v>
      </c>
      <c r="F56" s="27">
        <f t="shared" si="9"/>
        <v>0</v>
      </c>
      <c r="G56" s="27">
        <f t="shared" si="10"/>
        <v>0</v>
      </c>
      <c r="H56" s="27">
        <f t="shared" si="11"/>
        <v>0</v>
      </c>
      <c r="I56" s="27">
        <f t="shared" si="12"/>
        <v>0</v>
      </c>
      <c r="J56" s="27">
        <f t="shared" si="13"/>
        <v>0</v>
      </c>
      <c r="K56" s="27">
        <f t="shared" si="14"/>
        <v>0</v>
      </c>
      <c r="M56" s="27">
        <f t="shared" si="15"/>
        <v>0</v>
      </c>
      <c r="N56" s="27">
        <f t="shared" si="16"/>
        <v>0</v>
      </c>
      <c r="O56" s="27">
        <f t="shared" si="17"/>
        <v>0</v>
      </c>
      <c r="P56" s="27">
        <f t="shared" si="18"/>
        <v>0</v>
      </c>
      <c r="Q56" s="27">
        <f t="shared" si="19"/>
        <v>0</v>
      </c>
      <c r="R56" s="27">
        <f t="shared" si="20"/>
        <v>0</v>
      </c>
      <c r="AH56" s="65">
        <v>9</v>
      </c>
      <c r="AI56" s="369">
        <f t="shared" ref="AI56:AT56" si="29">IF(OR(ScriptSourceCode=1,ScriptSourceCode=3),AI125-AI94,0)</f>
        <v>0</v>
      </c>
      <c r="AJ56" s="369">
        <f t="shared" si="29"/>
        <v>0</v>
      </c>
      <c r="AK56" s="369">
        <f t="shared" si="29"/>
        <v>0</v>
      </c>
      <c r="AL56" s="369">
        <f t="shared" si="29"/>
        <v>0</v>
      </c>
      <c r="AM56" s="369">
        <f t="shared" si="29"/>
        <v>0</v>
      </c>
      <c r="AN56" s="369">
        <f t="shared" si="29"/>
        <v>0</v>
      </c>
      <c r="AO56" s="369">
        <f t="shared" si="29"/>
        <v>0</v>
      </c>
      <c r="AP56" s="369">
        <f t="shared" si="29"/>
        <v>0</v>
      </c>
      <c r="AQ56" s="369">
        <f t="shared" si="29"/>
        <v>0</v>
      </c>
      <c r="AR56" s="369">
        <f t="shared" si="29"/>
        <v>0</v>
      </c>
      <c r="AS56" s="369">
        <f t="shared" si="29"/>
        <v>0</v>
      </c>
      <c r="AT56" s="369">
        <f t="shared" si="29"/>
        <v>0</v>
      </c>
    </row>
    <row r="57" spans="4:46" hidden="1" outlineLevel="1" x14ac:dyDescent="0.2">
      <c r="D57" s="52">
        <v>10</v>
      </c>
      <c r="E57" s="77" t="str">
        <f t="shared" si="8"/>
        <v>** NOT USED **</v>
      </c>
      <c r="F57" s="27">
        <f t="shared" si="9"/>
        <v>0</v>
      </c>
      <c r="G57" s="27">
        <f t="shared" si="10"/>
        <v>0</v>
      </c>
      <c r="H57" s="27">
        <f t="shared" si="11"/>
        <v>0</v>
      </c>
      <c r="I57" s="27">
        <f t="shared" si="12"/>
        <v>0</v>
      </c>
      <c r="J57" s="27">
        <f t="shared" si="13"/>
        <v>0</v>
      </c>
      <c r="K57" s="27">
        <f t="shared" si="14"/>
        <v>0</v>
      </c>
      <c r="M57" s="27">
        <f t="shared" si="15"/>
        <v>0</v>
      </c>
      <c r="N57" s="27">
        <f t="shared" si="16"/>
        <v>0</v>
      </c>
      <c r="O57" s="27">
        <f t="shared" si="17"/>
        <v>0</v>
      </c>
      <c r="P57" s="27">
        <f t="shared" si="18"/>
        <v>0</v>
      </c>
      <c r="Q57" s="27">
        <f t="shared" si="19"/>
        <v>0</v>
      </c>
      <c r="R57" s="27">
        <f t="shared" si="20"/>
        <v>0</v>
      </c>
      <c r="AH57" s="65">
        <v>10</v>
      </c>
      <c r="AI57" s="369">
        <f t="shared" ref="AI57:AT57" si="30">IF(OR(ScriptSourceCode=1,ScriptSourceCode=3),AI126-AI95,0)</f>
        <v>0</v>
      </c>
      <c r="AJ57" s="369">
        <f t="shared" si="30"/>
        <v>0</v>
      </c>
      <c r="AK57" s="369">
        <f t="shared" si="30"/>
        <v>0</v>
      </c>
      <c r="AL57" s="369">
        <f t="shared" si="30"/>
        <v>0</v>
      </c>
      <c r="AM57" s="369">
        <f t="shared" si="30"/>
        <v>0</v>
      </c>
      <c r="AN57" s="369">
        <f t="shared" si="30"/>
        <v>0</v>
      </c>
      <c r="AO57" s="369">
        <f t="shared" si="30"/>
        <v>0</v>
      </c>
      <c r="AP57" s="369">
        <f t="shared" si="30"/>
        <v>0</v>
      </c>
      <c r="AQ57" s="369">
        <f t="shared" si="30"/>
        <v>0</v>
      </c>
      <c r="AR57" s="369">
        <f t="shared" si="30"/>
        <v>0</v>
      </c>
      <c r="AS57" s="369">
        <f t="shared" si="30"/>
        <v>0</v>
      </c>
      <c r="AT57" s="369">
        <f t="shared" si="30"/>
        <v>0</v>
      </c>
    </row>
    <row r="58" spans="4:46" hidden="1" outlineLevel="1" x14ac:dyDescent="0.2">
      <c r="D58" s="52">
        <v>11</v>
      </c>
      <c r="E58" s="77" t="str">
        <f t="shared" si="8"/>
        <v>** NOT USED **</v>
      </c>
      <c r="F58" s="27">
        <f t="shared" si="9"/>
        <v>0</v>
      </c>
      <c r="G58" s="27">
        <f t="shared" si="10"/>
        <v>0</v>
      </c>
      <c r="H58" s="27">
        <f t="shared" si="11"/>
        <v>0</v>
      </c>
      <c r="I58" s="27">
        <f t="shared" si="12"/>
        <v>0</v>
      </c>
      <c r="J58" s="27">
        <f t="shared" si="13"/>
        <v>0</v>
      </c>
      <c r="K58" s="27">
        <f t="shared" si="14"/>
        <v>0</v>
      </c>
      <c r="M58" s="27">
        <f t="shared" si="15"/>
        <v>0</v>
      </c>
      <c r="N58" s="27">
        <f t="shared" si="16"/>
        <v>0</v>
      </c>
      <c r="O58" s="27">
        <f t="shared" si="17"/>
        <v>0</v>
      </c>
      <c r="P58" s="27">
        <f t="shared" si="18"/>
        <v>0</v>
      </c>
      <c r="Q58" s="27">
        <f t="shared" si="19"/>
        <v>0</v>
      </c>
      <c r="R58" s="27">
        <f t="shared" si="20"/>
        <v>0</v>
      </c>
      <c r="AH58" s="65">
        <v>11</v>
      </c>
      <c r="AI58" s="369">
        <f t="shared" ref="AI58:AT58" si="31">IF(OR(ScriptSourceCode=1,ScriptSourceCode=3),AI127-AI96,0)</f>
        <v>0</v>
      </c>
      <c r="AJ58" s="369">
        <f t="shared" si="31"/>
        <v>0</v>
      </c>
      <c r="AK58" s="369">
        <f t="shared" si="31"/>
        <v>0</v>
      </c>
      <c r="AL58" s="369">
        <f t="shared" si="31"/>
        <v>0</v>
      </c>
      <c r="AM58" s="369">
        <f t="shared" si="31"/>
        <v>0</v>
      </c>
      <c r="AN58" s="369">
        <f t="shared" si="31"/>
        <v>0</v>
      </c>
      <c r="AO58" s="369">
        <f t="shared" si="31"/>
        <v>0</v>
      </c>
      <c r="AP58" s="369">
        <f t="shared" si="31"/>
        <v>0</v>
      </c>
      <c r="AQ58" s="369">
        <f t="shared" si="31"/>
        <v>0</v>
      </c>
      <c r="AR58" s="369">
        <f t="shared" si="31"/>
        <v>0</v>
      </c>
      <c r="AS58" s="369">
        <f t="shared" si="31"/>
        <v>0</v>
      </c>
      <c r="AT58" s="369">
        <f t="shared" si="31"/>
        <v>0</v>
      </c>
    </row>
    <row r="59" spans="4:46" hidden="1" outlineLevel="1" x14ac:dyDescent="0.2">
      <c r="D59" s="52">
        <v>12</v>
      </c>
      <c r="E59" s="77" t="str">
        <f t="shared" si="8"/>
        <v>** NOT USED **</v>
      </c>
      <c r="F59" s="27">
        <f t="shared" si="9"/>
        <v>0</v>
      </c>
      <c r="G59" s="27">
        <f t="shared" si="10"/>
        <v>0</v>
      </c>
      <c r="H59" s="27">
        <f t="shared" si="11"/>
        <v>0</v>
      </c>
      <c r="I59" s="27">
        <f t="shared" si="12"/>
        <v>0</v>
      </c>
      <c r="J59" s="27">
        <f t="shared" si="13"/>
        <v>0</v>
      </c>
      <c r="K59" s="27">
        <f t="shared" si="14"/>
        <v>0</v>
      </c>
      <c r="M59" s="27">
        <f t="shared" si="15"/>
        <v>0</v>
      </c>
      <c r="N59" s="27">
        <f t="shared" si="16"/>
        <v>0</v>
      </c>
      <c r="O59" s="27">
        <f t="shared" si="17"/>
        <v>0</v>
      </c>
      <c r="P59" s="27">
        <f t="shared" si="18"/>
        <v>0</v>
      </c>
      <c r="Q59" s="27">
        <f t="shared" si="19"/>
        <v>0</v>
      </c>
      <c r="R59" s="27">
        <f t="shared" si="20"/>
        <v>0</v>
      </c>
      <c r="AH59" s="65">
        <v>12</v>
      </c>
      <c r="AI59" s="369">
        <f t="shared" ref="AI59:AT59" si="32">IF(OR(ScriptSourceCode=1,ScriptSourceCode=3),AI128-AI97,0)</f>
        <v>0</v>
      </c>
      <c r="AJ59" s="369">
        <f t="shared" si="32"/>
        <v>0</v>
      </c>
      <c r="AK59" s="369">
        <f t="shared" si="32"/>
        <v>0</v>
      </c>
      <c r="AL59" s="369">
        <f t="shared" si="32"/>
        <v>0</v>
      </c>
      <c r="AM59" s="369">
        <f t="shared" si="32"/>
        <v>0</v>
      </c>
      <c r="AN59" s="369">
        <f t="shared" si="32"/>
        <v>0</v>
      </c>
      <c r="AO59" s="369">
        <f t="shared" si="32"/>
        <v>0</v>
      </c>
      <c r="AP59" s="369">
        <f t="shared" si="32"/>
        <v>0</v>
      </c>
      <c r="AQ59" s="369">
        <f t="shared" si="32"/>
        <v>0</v>
      </c>
      <c r="AR59" s="369">
        <f t="shared" si="32"/>
        <v>0</v>
      </c>
      <c r="AS59" s="369">
        <f t="shared" si="32"/>
        <v>0</v>
      </c>
      <c r="AT59" s="369">
        <f t="shared" si="32"/>
        <v>0</v>
      </c>
    </row>
    <row r="60" spans="4:46" hidden="1" outlineLevel="1" x14ac:dyDescent="0.2">
      <c r="D60" s="52">
        <v>13</v>
      </c>
      <c r="E60" s="77" t="str">
        <f t="shared" si="8"/>
        <v>** NOT USED **</v>
      </c>
      <c r="F60" s="27">
        <f t="shared" si="9"/>
        <v>0</v>
      </c>
      <c r="G60" s="27">
        <f t="shared" si="10"/>
        <v>0</v>
      </c>
      <c r="H60" s="27">
        <f t="shared" si="11"/>
        <v>0</v>
      </c>
      <c r="I60" s="27">
        <f t="shared" si="12"/>
        <v>0</v>
      </c>
      <c r="J60" s="27">
        <f t="shared" si="13"/>
        <v>0</v>
      </c>
      <c r="K60" s="27">
        <f t="shared" si="14"/>
        <v>0</v>
      </c>
      <c r="M60" s="27">
        <f t="shared" si="15"/>
        <v>0</v>
      </c>
      <c r="N60" s="27">
        <f t="shared" si="16"/>
        <v>0</v>
      </c>
      <c r="O60" s="27">
        <f t="shared" si="17"/>
        <v>0</v>
      </c>
      <c r="P60" s="27">
        <f t="shared" si="18"/>
        <v>0</v>
      </c>
      <c r="Q60" s="27">
        <f t="shared" si="19"/>
        <v>0</v>
      </c>
      <c r="R60" s="27">
        <f t="shared" si="20"/>
        <v>0</v>
      </c>
      <c r="AH60" s="65">
        <v>13</v>
      </c>
      <c r="AI60" s="369">
        <f t="shared" ref="AI60:AT60" si="33">IF(OR(ScriptSourceCode=1,ScriptSourceCode=3),AI129-AI98,0)</f>
        <v>0</v>
      </c>
      <c r="AJ60" s="369">
        <f t="shared" si="33"/>
        <v>0</v>
      </c>
      <c r="AK60" s="369">
        <f t="shared" si="33"/>
        <v>0</v>
      </c>
      <c r="AL60" s="369">
        <f t="shared" si="33"/>
        <v>0</v>
      </c>
      <c r="AM60" s="369">
        <f t="shared" si="33"/>
        <v>0</v>
      </c>
      <c r="AN60" s="369">
        <f t="shared" si="33"/>
        <v>0</v>
      </c>
      <c r="AO60" s="369">
        <f t="shared" si="33"/>
        <v>0</v>
      </c>
      <c r="AP60" s="369">
        <f t="shared" si="33"/>
        <v>0</v>
      </c>
      <c r="AQ60" s="369">
        <f t="shared" si="33"/>
        <v>0</v>
      </c>
      <c r="AR60" s="369">
        <f t="shared" si="33"/>
        <v>0</v>
      </c>
      <c r="AS60" s="369">
        <f t="shared" si="33"/>
        <v>0</v>
      </c>
      <c r="AT60" s="369">
        <f t="shared" si="33"/>
        <v>0</v>
      </c>
    </row>
    <row r="61" spans="4:46" hidden="1" outlineLevel="1" x14ac:dyDescent="0.2">
      <c r="D61" s="52">
        <v>14</v>
      </c>
      <c r="E61" s="77" t="str">
        <f t="shared" si="8"/>
        <v>** NOT USED **</v>
      </c>
      <c r="F61" s="27">
        <f t="shared" si="9"/>
        <v>0</v>
      </c>
      <c r="G61" s="27">
        <f t="shared" si="10"/>
        <v>0</v>
      </c>
      <c r="H61" s="27">
        <f t="shared" si="11"/>
        <v>0</v>
      </c>
      <c r="I61" s="27">
        <f t="shared" si="12"/>
        <v>0</v>
      </c>
      <c r="J61" s="27">
        <f t="shared" si="13"/>
        <v>0</v>
      </c>
      <c r="K61" s="27">
        <f t="shared" si="14"/>
        <v>0</v>
      </c>
      <c r="M61" s="27">
        <f t="shared" si="15"/>
        <v>0</v>
      </c>
      <c r="N61" s="27">
        <f t="shared" si="16"/>
        <v>0</v>
      </c>
      <c r="O61" s="27">
        <f t="shared" si="17"/>
        <v>0</v>
      </c>
      <c r="P61" s="27">
        <f t="shared" si="18"/>
        <v>0</v>
      </c>
      <c r="Q61" s="27">
        <f t="shared" si="19"/>
        <v>0</v>
      </c>
      <c r="R61" s="27">
        <f t="shared" si="20"/>
        <v>0</v>
      </c>
      <c r="AH61" s="65">
        <v>14</v>
      </c>
      <c r="AI61" s="369">
        <f t="shared" ref="AI61:AT61" si="34">IF(OR(ScriptSourceCode=1,ScriptSourceCode=3),AI130-AI99,0)</f>
        <v>0</v>
      </c>
      <c r="AJ61" s="369">
        <f t="shared" si="34"/>
        <v>0</v>
      </c>
      <c r="AK61" s="369">
        <f t="shared" si="34"/>
        <v>0</v>
      </c>
      <c r="AL61" s="369">
        <f t="shared" si="34"/>
        <v>0</v>
      </c>
      <c r="AM61" s="369">
        <f t="shared" si="34"/>
        <v>0</v>
      </c>
      <c r="AN61" s="369">
        <f t="shared" si="34"/>
        <v>0</v>
      </c>
      <c r="AO61" s="369">
        <f t="shared" si="34"/>
        <v>0</v>
      </c>
      <c r="AP61" s="369">
        <f t="shared" si="34"/>
        <v>0</v>
      </c>
      <c r="AQ61" s="369">
        <f t="shared" si="34"/>
        <v>0</v>
      </c>
      <c r="AR61" s="369">
        <f t="shared" si="34"/>
        <v>0</v>
      </c>
      <c r="AS61" s="369">
        <f t="shared" si="34"/>
        <v>0</v>
      </c>
      <c r="AT61" s="369">
        <f t="shared" si="34"/>
        <v>0</v>
      </c>
    </row>
    <row r="62" spans="4:46" hidden="1" outlineLevel="1" x14ac:dyDescent="0.2">
      <c r="D62" s="52">
        <v>15</v>
      </c>
      <c r="E62" s="77" t="str">
        <f t="shared" si="8"/>
        <v>** NOT USED **</v>
      </c>
      <c r="F62" s="27">
        <f t="shared" si="9"/>
        <v>0</v>
      </c>
      <c r="G62" s="27">
        <f t="shared" si="10"/>
        <v>0</v>
      </c>
      <c r="H62" s="27">
        <f t="shared" si="11"/>
        <v>0</v>
      </c>
      <c r="I62" s="27">
        <f t="shared" si="12"/>
        <v>0</v>
      </c>
      <c r="J62" s="27">
        <f t="shared" si="13"/>
        <v>0</v>
      </c>
      <c r="K62" s="27">
        <f t="shared" si="14"/>
        <v>0</v>
      </c>
      <c r="M62" s="27">
        <f t="shared" si="15"/>
        <v>0</v>
      </c>
      <c r="N62" s="27">
        <f t="shared" si="16"/>
        <v>0</v>
      </c>
      <c r="O62" s="27">
        <f t="shared" si="17"/>
        <v>0</v>
      </c>
      <c r="P62" s="27">
        <f t="shared" si="18"/>
        <v>0</v>
      </c>
      <c r="Q62" s="27">
        <f t="shared" si="19"/>
        <v>0</v>
      </c>
      <c r="R62" s="27">
        <f t="shared" si="20"/>
        <v>0</v>
      </c>
      <c r="AH62" s="65">
        <v>15</v>
      </c>
      <c r="AI62" s="369">
        <f t="shared" ref="AI62:AT62" si="35">IF(OR(ScriptSourceCode=1,ScriptSourceCode=3),AI131-AI100,0)</f>
        <v>0</v>
      </c>
      <c r="AJ62" s="369">
        <f t="shared" si="35"/>
        <v>0</v>
      </c>
      <c r="AK62" s="369">
        <f t="shared" si="35"/>
        <v>0</v>
      </c>
      <c r="AL62" s="369">
        <f t="shared" si="35"/>
        <v>0</v>
      </c>
      <c r="AM62" s="369">
        <f t="shared" si="35"/>
        <v>0</v>
      </c>
      <c r="AN62" s="369">
        <f t="shared" si="35"/>
        <v>0</v>
      </c>
      <c r="AO62" s="369">
        <f t="shared" si="35"/>
        <v>0</v>
      </c>
      <c r="AP62" s="369">
        <f t="shared" si="35"/>
        <v>0</v>
      </c>
      <c r="AQ62" s="369">
        <f t="shared" si="35"/>
        <v>0</v>
      </c>
      <c r="AR62" s="369">
        <f t="shared" si="35"/>
        <v>0</v>
      </c>
      <c r="AS62" s="369">
        <f t="shared" si="35"/>
        <v>0</v>
      </c>
      <c r="AT62" s="369">
        <f t="shared" si="35"/>
        <v>0</v>
      </c>
    </row>
    <row r="63" spans="4:46" hidden="1" outlineLevel="1" x14ac:dyDescent="0.2">
      <c r="D63" s="52">
        <v>16</v>
      </c>
      <c r="E63" s="77" t="str">
        <f t="shared" si="8"/>
        <v>** NOT USED **</v>
      </c>
      <c r="F63" s="27">
        <f t="shared" si="9"/>
        <v>0</v>
      </c>
      <c r="G63" s="27">
        <f t="shared" si="10"/>
        <v>0</v>
      </c>
      <c r="H63" s="27">
        <f t="shared" si="11"/>
        <v>0</v>
      </c>
      <c r="I63" s="27">
        <f t="shared" si="12"/>
        <v>0</v>
      </c>
      <c r="J63" s="27">
        <f t="shared" si="13"/>
        <v>0</v>
      </c>
      <c r="K63" s="27">
        <f t="shared" si="14"/>
        <v>0</v>
      </c>
      <c r="M63" s="27">
        <f t="shared" si="15"/>
        <v>0</v>
      </c>
      <c r="N63" s="27">
        <f t="shared" si="16"/>
        <v>0</v>
      </c>
      <c r="O63" s="27">
        <f t="shared" si="17"/>
        <v>0</v>
      </c>
      <c r="P63" s="27">
        <f t="shared" si="18"/>
        <v>0</v>
      </c>
      <c r="Q63" s="27">
        <f t="shared" si="19"/>
        <v>0</v>
      </c>
      <c r="R63" s="27">
        <f t="shared" si="20"/>
        <v>0</v>
      </c>
      <c r="AH63" s="65">
        <v>16</v>
      </c>
      <c r="AI63" s="369">
        <f t="shared" ref="AI63:AT63" si="36">IF(OR(ScriptSourceCode=1,ScriptSourceCode=3),AI132-AI101,0)</f>
        <v>0</v>
      </c>
      <c r="AJ63" s="369">
        <f t="shared" si="36"/>
        <v>0</v>
      </c>
      <c r="AK63" s="369">
        <f t="shared" si="36"/>
        <v>0</v>
      </c>
      <c r="AL63" s="369">
        <f t="shared" si="36"/>
        <v>0</v>
      </c>
      <c r="AM63" s="369">
        <f t="shared" si="36"/>
        <v>0</v>
      </c>
      <c r="AN63" s="369">
        <f t="shared" si="36"/>
        <v>0</v>
      </c>
      <c r="AO63" s="369">
        <f t="shared" si="36"/>
        <v>0</v>
      </c>
      <c r="AP63" s="369">
        <f t="shared" si="36"/>
        <v>0</v>
      </c>
      <c r="AQ63" s="369">
        <f t="shared" si="36"/>
        <v>0</v>
      </c>
      <c r="AR63" s="369">
        <f t="shared" si="36"/>
        <v>0</v>
      </c>
      <c r="AS63" s="369">
        <f t="shared" si="36"/>
        <v>0</v>
      </c>
      <c r="AT63" s="369">
        <f t="shared" si="36"/>
        <v>0</v>
      </c>
    </row>
    <row r="64" spans="4:46" hidden="1" outlineLevel="1" x14ac:dyDescent="0.2">
      <c r="D64" s="52">
        <v>17</v>
      </c>
      <c r="E64" s="77" t="str">
        <f t="shared" si="8"/>
        <v>** NOT USED **</v>
      </c>
      <c r="F64" s="27">
        <f t="shared" si="9"/>
        <v>0</v>
      </c>
      <c r="G64" s="27">
        <f t="shared" si="10"/>
        <v>0</v>
      </c>
      <c r="H64" s="27">
        <f t="shared" si="11"/>
        <v>0</v>
      </c>
      <c r="I64" s="27">
        <f t="shared" si="12"/>
        <v>0</v>
      </c>
      <c r="J64" s="27">
        <f t="shared" si="13"/>
        <v>0</v>
      </c>
      <c r="K64" s="27">
        <f t="shared" si="14"/>
        <v>0</v>
      </c>
      <c r="M64" s="27">
        <f t="shared" si="15"/>
        <v>0</v>
      </c>
      <c r="N64" s="27">
        <f t="shared" si="16"/>
        <v>0</v>
      </c>
      <c r="O64" s="27">
        <f t="shared" si="17"/>
        <v>0</v>
      </c>
      <c r="P64" s="27">
        <f t="shared" si="18"/>
        <v>0</v>
      </c>
      <c r="Q64" s="27">
        <f t="shared" si="19"/>
        <v>0</v>
      </c>
      <c r="R64" s="27">
        <f t="shared" si="20"/>
        <v>0</v>
      </c>
      <c r="AH64" s="65">
        <v>17</v>
      </c>
      <c r="AI64" s="369">
        <f t="shared" ref="AI64:AT64" si="37">IF(OR(ScriptSourceCode=1,ScriptSourceCode=3),AI133-AI102,0)</f>
        <v>0</v>
      </c>
      <c r="AJ64" s="369">
        <f t="shared" si="37"/>
        <v>0</v>
      </c>
      <c r="AK64" s="369">
        <f t="shared" si="37"/>
        <v>0</v>
      </c>
      <c r="AL64" s="369">
        <f t="shared" si="37"/>
        <v>0</v>
      </c>
      <c r="AM64" s="369">
        <f t="shared" si="37"/>
        <v>0</v>
      </c>
      <c r="AN64" s="369">
        <f t="shared" si="37"/>
        <v>0</v>
      </c>
      <c r="AO64" s="369">
        <f t="shared" si="37"/>
        <v>0</v>
      </c>
      <c r="AP64" s="369">
        <f t="shared" si="37"/>
        <v>0</v>
      </c>
      <c r="AQ64" s="369">
        <f t="shared" si="37"/>
        <v>0</v>
      </c>
      <c r="AR64" s="369">
        <f t="shared" si="37"/>
        <v>0</v>
      </c>
      <c r="AS64" s="369">
        <f t="shared" si="37"/>
        <v>0</v>
      </c>
      <c r="AT64" s="369">
        <f t="shared" si="37"/>
        <v>0</v>
      </c>
    </row>
    <row r="65" spans="1:46" hidden="1" outlineLevel="1" x14ac:dyDescent="0.2">
      <c r="D65" s="52">
        <v>18</v>
      </c>
      <c r="E65" s="77" t="str">
        <f t="shared" si="8"/>
        <v>** NOT USED **</v>
      </c>
      <c r="F65" s="27">
        <f t="shared" si="9"/>
        <v>0</v>
      </c>
      <c r="G65" s="27">
        <f t="shared" si="10"/>
        <v>0</v>
      </c>
      <c r="H65" s="27">
        <f t="shared" si="11"/>
        <v>0</v>
      </c>
      <c r="I65" s="27">
        <f t="shared" si="12"/>
        <v>0</v>
      </c>
      <c r="J65" s="27">
        <f t="shared" si="13"/>
        <v>0</v>
      </c>
      <c r="K65" s="27">
        <f t="shared" si="14"/>
        <v>0</v>
      </c>
      <c r="M65" s="27">
        <f t="shared" si="15"/>
        <v>0</v>
      </c>
      <c r="N65" s="27">
        <f t="shared" si="16"/>
        <v>0</v>
      </c>
      <c r="O65" s="27">
        <f t="shared" si="17"/>
        <v>0</v>
      </c>
      <c r="P65" s="27">
        <f t="shared" si="18"/>
        <v>0</v>
      </c>
      <c r="Q65" s="27">
        <f t="shared" si="19"/>
        <v>0</v>
      </c>
      <c r="R65" s="27">
        <f t="shared" si="20"/>
        <v>0</v>
      </c>
      <c r="AH65" s="65">
        <v>18</v>
      </c>
      <c r="AI65" s="369">
        <f t="shared" ref="AI65:AT65" si="38">IF(OR(ScriptSourceCode=1,ScriptSourceCode=3),AI134-AI103,0)</f>
        <v>0</v>
      </c>
      <c r="AJ65" s="369">
        <f t="shared" si="38"/>
        <v>0</v>
      </c>
      <c r="AK65" s="369">
        <f t="shared" si="38"/>
        <v>0</v>
      </c>
      <c r="AL65" s="369">
        <f t="shared" si="38"/>
        <v>0</v>
      </c>
      <c r="AM65" s="369">
        <f t="shared" si="38"/>
        <v>0</v>
      </c>
      <c r="AN65" s="369">
        <f t="shared" si="38"/>
        <v>0</v>
      </c>
      <c r="AO65" s="369">
        <f t="shared" si="38"/>
        <v>0</v>
      </c>
      <c r="AP65" s="369">
        <f t="shared" si="38"/>
        <v>0</v>
      </c>
      <c r="AQ65" s="369">
        <f t="shared" si="38"/>
        <v>0</v>
      </c>
      <c r="AR65" s="369">
        <f t="shared" si="38"/>
        <v>0</v>
      </c>
      <c r="AS65" s="369">
        <f t="shared" si="38"/>
        <v>0</v>
      </c>
      <c r="AT65" s="369">
        <f t="shared" si="38"/>
        <v>0</v>
      </c>
    </row>
    <row r="66" spans="1:46" hidden="1" outlineLevel="1" x14ac:dyDescent="0.2">
      <c r="D66" s="52">
        <v>19</v>
      </c>
      <c r="E66" s="77" t="str">
        <f t="shared" si="8"/>
        <v>** NOT USED **</v>
      </c>
      <c r="F66" s="27">
        <f t="shared" si="9"/>
        <v>0</v>
      </c>
      <c r="G66" s="27">
        <f t="shared" si="10"/>
        <v>0</v>
      </c>
      <c r="H66" s="27">
        <f t="shared" si="11"/>
        <v>0</v>
      </c>
      <c r="I66" s="27">
        <f t="shared" si="12"/>
        <v>0</v>
      </c>
      <c r="J66" s="27">
        <f t="shared" si="13"/>
        <v>0</v>
      </c>
      <c r="K66" s="27">
        <f t="shared" si="14"/>
        <v>0</v>
      </c>
      <c r="M66" s="27">
        <f t="shared" si="15"/>
        <v>0</v>
      </c>
      <c r="N66" s="27">
        <f t="shared" si="16"/>
        <v>0</v>
      </c>
      <c r="O66" s="27">
        <f t="shared" si="17"/>
        <v>0</v>
      </c>
      <c r="P66" s="27">
        <f t="shared" si="18"/>
        <v>0</v>
      </c>
      <c r="Q66" s="27">
        <f t="shared" si="19"/>
        <v>0</v>
      </c>
      <c r="R66" s="27">
        <f t="shared" si="20"/>
        <v>0</v>
      </c>
      <c r="AH66" s="65">
        <v>19</v>
      </c>
      <c r="AI66" s="369">
        <f t="shared" ref="AI66:AT66" si="39">IF(OR(ScriptSourceCode=1,ScriptSourceCode=3),AI135-AI104,0)</f>
        <v>0</v>
      </c>
      <c r="AJ66" s="369">
        <f t="shared" si="39"/>
        <v>0</v>
      </c>
      <c r="AK66" s="369">
        <f t="shared" si="39"/>
        <v>0</v>
      </c>
      <c r="AL66" s="369">
        <f t="shared" si="39"/>
        <v>0</v>
      </c>
      <c r="AM66" s="369">
        <f t="shared" si="39"/>
        <v>0</v>
      </c>
      <c r="AN66" s="369">
        <f t="shared" si="39"/>
        <v>0</v>
      </c>
      <c r="AO66" s="369">
        <f t="shared" si="39"/>
        <v>0</v>
      </c>
      <c r="AP66" s="369">
        <f t="shared" si="39"/>
        <v>0</v>
      </c>
      <c r="AQ66" s="369">
        <f t="shared" si="39"/>
        <v>0</v>
      </c>
      <c r="AR66" s="369">
        <f t="shared" si="39"/>
        <v>0</v>
      </c>
      <c r="AS66" s="369">
        <f t="shared" si="39"/>
        <v>0</v>
      </c>
      <c r="AT66" s="369">
        <f t="shared" si="39"/>
        <v>0</v>
      </c>
    </row>
    <row r="67" spans="1:46" hidden="1" outlineLevel="1" x14ac:dyDescent="0.2">
      <c r="D67" s="52">
        <v>20</v>
      </c>
      <c r="E67" s="77" t="str">
        <f t="shared" si="8"/>
        <v>** NOT USED **</v>
      </c>
      <c r="F67" s="27">
        <f t="shared" si="9"/>
        <v>0</v>
      </c>
      <c r="G67" s="27">
        <f t="shared" si="10"/>
        <v>0</v>
      </c>
      <c r="H67" s="27">
        <f t="shared" si="11"/>
        <v>0</v>
      </c>
      <c r="I67" s="27">
        <f t="shared" si="12"/>
        <v>0</v>
      </c>
      <c r="J67" s="27">
        <f t="shared" si="13"/>
        <v>0</v>
      </c>
      <c r="K67" s="27">
        <f t="shared" si="14"/>
        <v>0</v>
      </c>
      <c r="M67" s="27">
        <f t="shared" si="15"/>
        <v>0</v>
      </c>
      <c r="N67" s="27">
        <f t="shared" si="16"/>
        <v>0</v>
      </c>
      <c r="O67" s="27">
        <f t="shared" si="17"/>
        <v>0</v>
      </c>
      <c r="P67" s="27">
        <f t="shared" si="18"/>
        <v>0</v>
      </c>
      <c r="Q67" s="27">
        <f t="shared" si="19"/>
        <v>0</v>
      </c>
      <c r="R67" s="27">
        <f t="shared" si="20"/>
        <v>0</v>
      </c>
      <c r="AH67" s="65">
        <v>20</v>
      </c>
      <c r="AI67" s="369">
        <f t="shared" ref="AI67:AT67" si="40">IF(OR(ScriptSourceCode=1,ScriptSourceCode=3),AI136-AI105,0)</f>
        <v>0</v>
      </c>
      <c r="AJ67" s="369">
        <f t="shared" si="40"/>
        <v>0</v>
      </c>
      <c r="AK67" s="369">
        <f t="shared" si="40"/>
        <v>0</v>
      </c>
      <c r="AL67" s="369">
        <f t="shared" si="40"/>
        <v>0</v>
      </c>
      <c r="AM67" s="369">
        <f t="shared" si="40"/>
        <v>0</v>
      </c>
      <c r="AN67" s="369">
        <f t="shared" si="40"/>
        <v>0</v>
      </c>
      <c r="AO67" s="369">
        <f t="shared" si="40"/>
        <v>0</v>
      </c>
      <c r="AP67" s="369">
        <f t="shared" si="40"/>
        <v>0</v>
      </c>
      <c r="AQ67" s="369">
        <f t="shared" si="40"/>
        <v>0</v>
      </c>
      <c r="AR67" s="369">
        <f t="shared" si="40"/>
        <v>0</v>
      </c>
      <c r="AS67" s="369">
        <f t="shared" si="40"/>
        <v>0</v>
      </c>
      <c r="AT67" s="369">
        <f t="shared" si="40"/>
        <v>0</v>
      </c>
    </row>
    <row r="68" spans="1:46" hidden="1" outlineLevel="1" x14ac:dyDescent="0.2">
      <c r="E68" s="56" t="s">
        <v>213</v>
      </c>
      <c r="F68" s="30">
        <f t="shared" ref="F68:K68" si="41">SUM(F48:F67)</f>
        <v>0</v>
      </c>
      <c r="G68" s="30">
        <f t="shared" si="41"/>
        <v>0</v>
      </c>
      <c r="H68" s="30">
        <f t="shared" si="41"/>
        <v>0</v>
      </c>
      <c r="I68" s="30">
        <f t="shared" si="41"/>
        <v>0</v>
      </c>
      <c r="J68" s="30">
        <f t="shared" si="41"/>
        <v>0</v>
      </c>
      <c r="K68" s="30">
        <f t="shared" si="41"/>
        <v>0</v>
      </c>
      <c r="M68" s="30">
        <f t="shared" ref="M68:R68" si="42">SUM(M48:M67)</f>
        <v>0</v>
      </c>
      <c r="N68" s="30">
        <f t="shared" si="42"/>
        <v>0</v>
      </c>
      <c r="O68" s="30">
        <f t="shared" si="42"/>
        <v>0</v>
      </c>
      <c r="P68" s="30">
        <f t="shared" si="42"/>
        <v>0</v>
      </c>
      <c r="Q68" s="30">
        <f t="shared" si="42"/>
        <v>0</v>
      </c>
      <c r="R68" s="30">
        <f t="shared" si="42"/>
        <v>0</v>
      </c>
    </row>
    <row r="69" spans="1:46" hidden="1" outlineLevel="1" x14ac:dyDescent="0.2">
      <c r="E69" s="360"/>
    </row>
    <row r="70" spans="1:46" hidden="1" outlineLevel="1" x14ac:dyDescent="0.2">
      <c r="F70" s="74">
        <f>FirstYear</f>
        <v>2026</v>
      </c>
      <c r="G70" s="74">
        <f>F70+1</f>
        <v>2027</v>
      </c>
      <c r="H70" s="74">
        <f>G70+1</f>
        <v>2028</v>
      </c>
      <c r="I70" s="74">
        <f>H70+1</f>
        <v>2029</v>
      </c>
      <c r="J70" s="74">
        <f>I70+1</f>
        <v>2030</v>
      </c>
      <c r="K70" s="74">
        <f>J70+1</f>
        <v>2031</v>
      </c>
    </row>
    <row r="71" spans="1:46" hidden="1" outlineLevel="1" x14ac:dyDescent="0.2">
      <c r="E71" s="3" t="s">
        <v>223</v>
      </c>
      <c r="F71" s="35">
        <f t="shared" ref="F71:K71" si="43">F68+M68</f>
        <v>0</v>
      </c>
      <c r="G71" s="35">
        <f t="shared" si="43"/>
        <v>0</v>
      </c>
      <c r="H71" s="35">
        <f t="shared" si="43"/>
        <v>0</v>
      </c>
      <c r="I71" s="35">
        <f t="shared" si="43"/>
        <v>0</v>
      </c>
      <c r="J71" s="35">
        <f t="shared" si="43"/>
        <v>0</v>
      </c>
      <c r="K71" s="35">
        <f t="shared" si="43"/>
        <v>0</v>
      </c>
    </row>
    <row r="72" spans="1:46" hidden="1" outlineLevel="1" x14ac:dyDescent="0.2">
      <c r="E72" s="260"/>
      <c r="F72" s="485"/>
      <c r="G72" s="485"/>
      <c r="H72" s="485"/>
      <c r="I72" s="485"/>
      <c r="J72" s="485"/>
      <c r="K72" s="485"/>
    </row>
    <row r="73" spans="1:46" collapsed="1" x14ac:dyDescent="0.2">
      <c r="E73" s="260"/>
      <c r="F73" s="485"/>
      <c r="G73" s="485"/>
      <c r="H73" s="485"/>
      <c r="I73" s="485"/>
      <c r="J73" s="485"/>
      <c r="K73" s="485"/>
    </row>
    <row r="74" spans="1:46" ht="15.75" x14ac:dyDescent="0.2">
      <c r="A74" s="22"/>
      <c r="B74" s="22"/>
      <c r="C74" s="22"/>
      <c r="D74" s="22"/>
      <c r="E74" s="111" t="s">
        <v>904</v>
      </c>
      <c r="F74" s="131"/>
      <c r="G74" s="21"/>
      <c r="H74" s="21"/>
      <c r="I74" s="21"/>
      <c r="J74" s="605" t="str">
        <f>IF(AND(ScriptSourceCode&lt;&gt;2,ScriptSourceCode&lt;&gt;3),MsgNotRequired,"")</f>
        <v>** NOT REQUIRED **</v>
      </c>
      <c r="K74" s="606"/>
      <c r="L74" s="21"/>
      <c r="M74" s="21"/>
      <c r="N74" s="21"/>
      <c r="O74" s="21"/>
      <c r="P74" s="21"/>
      <c r="Q74" s="605"/>
      <c r="R74" s="606"/>
      <c r="S74" s="21"/>
      <c r="T74" s="21"/>
      <c r="U74" s="21"/>
      <c r="V74" s="21"/>
      <c r="W74" s="21"/>
      <c r="X74" s="21"/>
      <c r="Y74" s="21"/>
      <c r="Z74" s="21"/>
      <c r="AA74" s="21"/>
      <c r="AB74" s="21"/>
      <c r="AC74" s="21"/>
      <c r="AD74" s="21"/>
      <c r="AE74" s="21"/>
      <c r="AF74" s="21"/>
      <c r="AG74" s="21"/>
      <c r="AH74" s="21"/>
      <c r="AI74" s="21"/>
      <c r="AJ74" s="21"/>
      <c r="AK74" s="21"/>
      <c r="AL74" s="21"/>
      <c r="AM74" s="21"/>
      <c r="AN74" s="21"/>
      <c r="AO74" s="21"/>
      <c r="AP74" s="21"/>
      <c r="AQ74" s="21"/>
      <c r="AR74" s="21"/>
      <c r="AS74" s="21"/>
      <c r="AT74" s="21"/>
    </row>
    <row r="75" spans="1:46" hidden="1" outlineLevel="1" x14ac:dyDescent="0.2">
      <c r="E75" s="260"/>
      <c r="F75" s="485"/>
      <c r="G75" s="485"/>
      <c r="H75" s="485"/>
      <c r="I75" s="485"/>
      <c r="J75" s="485"/>
      <c r="K75" s="485"/>
    </row>
    <row r="76" spans="1:46" hidden="1" outlineLevel="1" x14ac:dyDescent="0.2">
      <c r="E76" s="172" t="s">
        <v>914</v>
      </c>
      <c r="F76" s="485"/>
      <c r="G76" s="485"/>
      <c r="H76" s="485"/>
      <c r="I76" s="485"/>
      <c r="J76" s="485"/>
      <c r="K76" s="485"/>
    </row>
    <row r="77" spans="1:46" hidden="1" outlineLevel="1" x14ac:dyDescent="0.2">
      <c r="E77" s="260"/>
      <c r="F77" s="485"/>
      <c r="G77" s="485"/>
      <c r="H77" s="485"/>
      <c r="I77" s="485"/>
      <c r="J77" s="485"/>
      <c r="K77" s="485"/>
    </row>
    <row r="78" spans="1:46" ht="15" hidden="1" outlineLevel="1" x14ac:dyDescent="0.2">
      <c r="E78" s="260"/>
      <c r="F78" s="619" t="s">
        <v>218</v>
      </c>
      <c r="G78" s="620"/>
      <c r="H78" s="620"/>
      <c r="I78" s="620"/>
      <c r="J78" s="620"/>
      <c r="K78" s="621"/>
      <c r="M78" s="619" t="s">
        <v>219</v>
      </c>
      <c r="N78" s="620"/>
      <c r="O78" s="620"/>
      <c r="P78" s="620"/>
      <c r="Q78" s="620"/>
      <c r="R78" s="621"/>
    </row>
    <row r="79" spans="1:46" hidden="1" outlineLevel="1" x14ac:dyDescent="0.2">
      <c r="E79" s="344"/>
      <c r="F79" s="74">
        <f>FirstYear</f>
        <v>2026</v>
      </c>
      <c r="G79" s="74">
        <f>F79+1</f>
        <v>2027</v>
      </c>
      <c r="H79" s="74">
        <f>G79+1</f>
        <v>2028</v>
      </c>
      <c r="I79" s="74">
        <f>H79+1</f>
        <v>2029</v>
      </c>
      <c r="J79" s="74">
        <f>I79+1</f>
        <v>2030</v>
      </c>
      <c r="K79" s="74">
        <f>J79+1</f>
        <v>2031</v>
      </c>
      <c r="M79" s="74">
        <f>FirstYear</f>
        <v>2026</v>
      </c>
      <c r="N79" s="74">
        <f>M79+1</f>
        <v>2027</v>
      </c>
      <c r="O79" s="74">
        <f>N79+1</f>
        <v>2028</v>
      </c>
      <c r="P79" s="74">
        <f>O79+1</f>
        <v>2029</v>
      </c>
      <c r="Q79" s="74">
        <f>P79+1</f>
        <v>2030</v>
      </c>
      <c r="R79" s="74">
        <f>Q79+1</f>
        <v>2031</v>
      </c>
      <c r="AE79" s="5" t="s">
        <v>282</v>
      </c>
    </row>
    <row r="80" spans="1:46" hidden="1" outlineLevel="1" x14ac:dyDescent="0.2">
      <c r="E80" s="53" t="str">
        <f>TxPhase1RxTotal</f>
        <v/>
      </c>
      <c r="F80" s="247">
        <f>IF(OR(ScriptSourceCode=2,ScriptSourceCode=3),-'2e. Scripts - market'!D36,0)</f>
        <v>0</v>
      </c>
      <c r="G80" s="247">
        <f>IF(OR(ScriptSourceCode=2,ScriptSourceCode=3),-'2e. Scripts - market'!E36,0)</f>
        <v>0</v>
      </c>
      <c r="H80" s="247">
        <f>IF(OR(ScriptSourceCode=2,ScriptSourceCode=3),-'2e. Scripts - market'!F36,0)</f>
        <v>0</v>
      </c>
      <c r="I80" s="247">
        <f>IF(OR(ScriptSourceCode=2,ScriptSourceCode=3),-'2e. Scripts - market'!G36,0)</f>
        <v>0</v>
      </c>
      <c r="J80" s="247">
        <f>IF(OR(ScriptSourceCode=2,ScriptSourceCode=3),-'2e. Scripts - market'!H36,0)</f>
        <v>0</v>
      </c>
      <c r="K80" s="247">
        <f>IF(OR(ScriptSourceCode=2,ScriptSourceCode=3),-'2e. Scripts - market'!I36,0)</f>
        <v>0</v>
      </c>
      <c r="M80" s="247">
        <f>IF(OR(ScriptSourceCode=2,ScriptSourceCode=3),-'2e. Scripts - market'!K36,0)</f>
        <v>0</v>
      </c>
      <c r="N80" s="247">
        <f>IF(OR(ScriptSourceCode=2,ScriptSourceCode=3),-'2e. Scripts - market'!L36,0)</f>
        <v>0</v>
      </c>
      <c r="O80" s="247">
        <f>IF(OR(ScriptSourceCode=2,ScriptSourceCode=3),-'2e. Scripts - market'!M36,0)</f>
        <v>0</v>
      </c>
      <c r="P80" s="247">
        <f>IF(OR(ScriptSourceCode=2,ScriptSourceCode=3),-'2e. Scripts - market'!N36,0)</f>
        <v>0</v>
      </c>
      <c r="Q80" s="247">
        <f>IF(OR(ScriptSourceCode=2,ScriptSourceCode=3),-'2e. Scripts - market'!O36,0)</f>
        <v>0</v>
      </c>
      <c r="R80" s="247">
        <f>IF(OR(ScriptSourceCode=2,ScriptSourceCode=3),-'2e. Scripts - market'!P36,0)</f>
        <v>0</v>
      </c>
      <c r="AE80" s="67" t="str">
        <f>TxPhase1Code</f>
        <v/>
      </c>
      <c r="AF80" s="114"/>
      <c r="AG80" s="114"/>
    </row>
    <row r="81" spans="4:46" hidden="1" outlineLevel="1" x14ac:dyDescent="0.2">
      <c r="E81" s="53" t="str">
        <f>TxPhase2RxTotal</f>
        <v/>
      </c>
      <c r="F81" s="247">
        <f>IF(OR(ScriptSourceCode=2,ScriptSourceCode=3),-'2e. Scripts - market'!D37,0)</f>
        <v>0</v>
      </c>
      <c r="G81" s="247">
        <f>IF(OR(ScriptSourceCode=2,ScriptSourceCode=3),-'2e. Scripts - market'!E37,0)</f>
        <v>0</v>
      </c>
      <c r="H81" s="247">
        <f>IF(OR(ScriptSourceCode=2,ScriptSourceCode=3),-'2e. Scripts - market'!F37,0)</f>
        <v>0</v>
      </c>
      <c r="I81" s="247">
        <f>IF(OR(ScriptSourceCode=2,ScriptSourceCode=3),-'2e. Scripts - market'!G37,0)</f>
        <v>0</v>
      </c>
      <c r="J81" s="247">
        <f>IF(OR(ScriptSourceCode=2,ScriptSourceCode=3),-'2e. Scripts - market'!H37,0)</f>
        <v>0</v>
      </c>
      <c r="K81" s="247">
        <f>IF(OR(ScriptSourceCode=2,ScriptSourceCode=3),-'2e. Scripts - market'!I37,0)</f>
        <v>0</v>
      </c>
      <c r="M81" s="247">
        <f>IF(OR(ScriptSourceCode=2,ScriptSourceCode=3),-'2e. Scripts - market'!K37,0)</f>
        <v>0</v>
      </c>
      <c r="N81" s="247">
        <f>IF(OR(ScriptSourceCode=2,ScriptSourceCode=3),-'2e. Scripts - market'!L37,0)</f>
        <v>0</v>
      </c>
      <c r="O81" s="247">
        <f>IF(OR(ScriptSourceCode=2,ScriptSourceCode=3),-'2e. Scripts - market'!M37,0)</f>
        <v>0</v>
      </c>
      <c r="P81" s="247">
        <f>IF(OR(ScriptSourceCode=2,ScriptSourceCode=3),-'2e. Scripts - market'!N37,0)</f>
        <v>0</v>
      </c>
      <c r="Q81" s="247">
        <f>IF(OR(ScriptSourceCode=2,ScriptSourceCode=3),-'2e. Scripts - market'!O37,0)</f>
        <v>0</v>
      </c>
      <c r="R81" s="247">
        <f>IF(OR(ScriptSourceCode=2,ScriptSourceCode=3),-'2e. Scripts - market'!P37,0)</f>
        <v>0</v>
      </c>
      <c r="AE81" s="67" t="str">
        <f>TxPhase2Code</f>
        <v/>
      </c>
    </row>
    <row r="82" spans="4:46" ht="14.25" hidden="1" customHeight="1" outlineLevel="1" x14ac:dyDescent="0.2"/>
    <row r="83" spans="4:46" hidden="1" outlineLevel="1" x14ac:dyDescent="0.2">
      <c r="F83" s="319">
        <v>2</v>
      </c>
      <c r="G83" s="319">
        <v>3</v>
      </c>
      <c r="H83" s="319">
        <v>4</v>
      </c>
      <c r="I83" s="319">
        <v>5</v>
      </c>
      <c r="J83" s="319">
        <v>6</v>
      </c>
      <c r="K83" s="319">
        <v>7</v>
      </c>
      <c r="M83" s="319">
        <v>1</v>
      </c>
      <c r="N83" s="319">
        <v>2</v>
      </c>
      <c r="O83" s="319">
        <v>3</v>
      </c>
      <c r="P83" s="319">
        <v>4</v>
      </c>
      <c r="Q83" s="319">
        <v>5</v>
      </c>
      <c r="R83" s="319">
        <v>6</v>
      </c>
      <c r="AI83" s="618" t="s">
        <v>217</v>
      </c>
      <c r="AJ83" s="618"/>
      <c r="AK83" s="618"/>
      <c r="AL83" s="618"/>
      <c r="AM83" s="618"/>
      <c r="AN83" s="618"/>
      <c r="AO83" s="618"/>
      <c r="AP83" s="618"/>
      <c r="AQ83" s="618"/>
      <c r="AR83" s="618"/>
      <c r="AS83" s="618"/>
      <c r="AT83" s="618"/>
    </row>
    <row r="84" spans="4:46" hidden="1" outlineLevel="1" x14ac:dyDescent="0.2">
      <c r="E84" s="124"/>
      <c r="F84" s="596" t="s">
        <v>220</v>
      </c>
      <c r="G84" s="607"/>
      <c r="H84" s="607"/>
      <c r="I84" s="607"/>
      <c r="J84" s="607"/>
      <c r="K84" s="608"/>
      <c r="M84" s="596" t="s">
        <v>221</v>
      </c>
      <c r="N84" s="607"/>
      <c r="O84" s="607"/>
      <c r="P84" s="607"/>
      <c r="Q84" s="607"/>
      <c r="R84" s="608"/>
      <c r="AI84" s="617" t="str">
        <f>AI46</f>
        <v/>
      </c>
      <c r="AJ84" s="617"/>
      <c r="AK84" s="617"/>
      <c r="AL84" s="617"/>
      <c r="AM84" s="617"/>
      <c r="AN84" s="617"/>
      <c r="AO84" s="617" t="str">
        <f>AO46</f>
        <v/>
      </c>
      <c r="AP84" s="617"/>
      <c r="AQ84" s="617"/>
      <c r="AR84" s="617"/>
      <c r="AS84" s="617"/>
      <c r="AT84" s="617"/>
    </row>
    <row r="85" spans="4:46" hidden="1" outlineLevel="1" x14ac:dyDescent="0.2">
      <c r="E85" s="60" t="s">
        <v>799</v>
      </c>
      <c r="F85" s="74">
        <f>FirstYear</f>
        <v>2026</v>
      </c>
      <c r="G85" s="74">
        <f>F85+1</f>
        <v>2027</v>
      </c>
      <c r="H85" s="74">
        <f>G85+1</f>
        <v>2028</v>
      </c>
      <c r="I85" s="74">
        <f>H85+1</f>
        <v>2029</v>
      </c>
      <c r="J85" s="74">
        <f>I85+1</f>
        <v>2030</v>
      </c>
      <c r="K85" s="74">
        <f>J85+1</f>
        <v>2031</v>
      </c>
      <c r="M85" s="74">
        <f>FirstYear</f>
        <v>2026</v>
      </c>
      <c r="N85" s="74">
        <f>M85+1</f>
        <v>2027</v>
      </c>
      <c r="O85" s="74">
        <f>N85+1</f>
        <v>2028</v>
      </c>
      <c r="P85" s="74">
        <f>O85+1</f>
        <v>2029</v>
      </c>
      <c r="Q85" s="74">
        <f>P85+1</f>
        <v>2030</v>
      </c>
      <c r="R85" s="74">
        <f>Q85+1</f>
        <v>2031</v>
      </c>
      <c r="AI85" s="204">
        <f>FirstYear</f>
        <v>2026</v>
      </c>
      <c r="AJ85" s="204">
        <f>AI85+1</f>
        <v>2027</v>
      </c>
      <c r="AK85" s="204">
        <f>AJ85+1</f>
        <v>2028</v>
      </c>
      <c r="AL85" s="204">
        <f>AK85+1</f>
        <v>2029</v>
      </c>
      <c r="AM85" s="204">
        <f>AL85+1</f>
        <v>2030</v>
      </c>
      <c r="AN85" s="204">
        <f>AM85+1</f>
        <v>2031</v>
      </c>
      <c r="AO85" s="204">
        <f>FirstYear</f>
        <v>2026</v>
      </c>
      <c r="AP85" s="204">
        <f>AO85+1</f>
        <v>2027</v>
      </c>
      <c r="AQ85" s="204">
        <f>AP85+1</f>
        <v>2028</v>
      </c>
      <c r="AR85" s="204">
        <f>AQ85+1</f>
        <v>2029</v>
      </c>
      <c r="AS85" s="204">
        <f>AR85+1</f>
        <v>2030</v>
      </c>
      <c r="AT85" s="204">
        <f>AS85+1</f>
        <v>2031</v>
      </c>
    </row>
    <row r="86" spans="4:46" hidden="1" outlineLevel="1" x14ac:dyDescent="0.2">
      <c r="D86" s="52">
        <v>1</v>
      </c>
      <c r="E86" s="77" t="str">
        <f t="shared" ref="E86:E105" si="44">IF(AND(ScriptSourceCode&lt;&gt;2,ScriptSourceCode&lt;&gt;3),MsgNotUsed,INDEX(NamesLinkNew,D86))</f>
        <v>** NOT USED **</v>
      </c>
      <c r="F86" s="27">
        <f t="shared" ref="F86:F105" si="45">IF($E86&lt;&gt;MsgNotUsed,-INDEX(PBSScriptsOld,$C144,F$83)*$AP144*M144,0)</f>
        <v>0</v>
      </c>
      <c r="G86" s="27">
        <f t="shared" ref="G86:G105" si="46">IF($E86&lt;&gt;MsgNotUsed,-INDEX(PBSScriptsOld,$C144,G$83)*$AP144*N144,0)</f>
        <v>0</v>
      </c>
      <c r="H86" s="27">
        <f t="shared" ref="H86:H105" si="47">IF($E86&lt;&gt;MsgNotUsed,-INDEX(PBSScriptsOld,$C144,H$83)*$AP144*O144,0)</f>
        <v>0</v>
      </c>
      <c r="I86" s="27">
        <f t="shared" ref="I86:I105" si="48">IF($E86&lt;&gt;MsgNotUsed,-INDEX(PBSScriptsOld,$C144,I$83)*$AP144*P144,0)</f>
        <v>0</v>
      </c>
      <c r="J86" s="27">
        <f t="shared" ref="J86:J105" si="49">IF($E86&lt;&gt;MsgNotUsed,-INDEX(PBSScriptsOld,$C144,J$83)*$AP144*Q144,0)</f>
        <v>0</v>
      </c>
      <c r="K86" s="27">
        <f t="shared" ref="K86:K105" si="50">IF($E86&lt;&gt;MsgNotUsed,-INDEX(PBSScriptsOld,$C144,K$83)*$AP144*R144,0)</f>
        <v>0</v>
      </c>
      <c r="M86" s="27">
        <f t="shared" ref="M86:R95" si="51">IF($E86&lt;&gt;MsgNotUsed,-INDEX(RPBSScriptsOld,$C144,M$83)*$AP144*M144,0)</f>
        <v>0</v>
      </c>
      <c r="N86" s="27">
        <f t="shared" si="51"/>
        <v>0</v>
      </c>
      <c r="O86" s="27">
        <f t="shared" si="51"/>
        <v>0</v>
      </c>
      <c r="P86" s="27">
        <f t="shared" si="51"/>
        <v>0</v>
      </c>
      <c r="Q86" s="27">
        <f t="shared" si="51"/>
        <v>0</v>
      </c>
      <c r="R86" s="27">
        <f t="shared" si="51"/>
        <v>0</v>
      </c>
      <c r="AE86" s="65">
        <v>1</v>
      </c>
      <c r="AF86" s="65" t="str">
        <f t="shared" ref="AF86:AF105" si="52">IF(E86&lt;&gt;MsgNotUsed,F144,"")</f>
        <v/>
      </c>
      <c r="AH86" s="65">
        <v>1</v>
      </c>
      <c r="AI86" s="369">
        <f t="shared" ref="AI86:AN95" si="53">IF(OR(ScriptSourceCode=1,ScriptSourceCode=3),IF($AH117&lt;&gt;0,ROUND(AI117*INDEX(PxTxPhase1Adj,$AH117,9),0),0),0)</f>
        <v>0</v>
      </c>
      <c r="AJ86" s="369">
        <f t="shared" si="53"/>
        <v>0</v>
      </c>
      <c r="AK86" s="369">
        <f t="shared" si="53"/>
        <v>0</v>
      </c>
      <c r="AL86" s="369">
        <f t="shared" si="53"/>
        <v>0</v>
      </c>
      <c r="AM86" s="369">
        <f t="shared" si="53"/>
        <v>0</v>
      </c>
      <c r="AN86" s="369">
        <f t="shared" si="53"/>
        <v>0</v>
      </c>
      <c r="AO86" s="369">
        <f t="shared" ref="AO86:AT95" si="54">IF(OR(ScriptSourceCode=1,ScriptSourceCode=3),IF($AH117&lt;&gt;0,ROUND(AO117*INDEX(PxTxPhase2Adj,$AH117,9),0),0),0)</f>
        <v>0</v>
      </c>
      <c r="AP86" s="369">
        <f t="shared" si="54"/>
        <v>0</v>
      </c>
      <c r="AQ86" s="369">
        <f t="shared" si="54"/>
        <v>0</v>
      </c>
      <c r="AR86" s="369">
        <f t="shared" si="54"/>
        <v>0</v>
      </c>
      <c r="AS86" s="369">
        <f t="shared" si="54"/>
        <v>0</v>
      </c>
      <c r="AT86" s="369">
        <f t="shared" si="54"/>
        <v>0</v>
      </c>
    </row>
    <row r="87" spans="4:46" hidden="1" outlineLevel="1" x14ac:dyDescent="0.2">
      <c r="D87" s="52">
        <v>2</v>
      </c>
      <c r="E87" s="77" t="str">
        <f t="shared" si="44"/>
        <v>** NOT USED **</v>
      </c>
      <c r="F87" s="27">
        <f t="shared" si="45"/>
        <v>0</v>
      </c>
      <c r="G87" s="27">
        <f t="shared" si="46"/>
        <v>0</v>
      </c>
      <c r="H87" s="27">
        <f t="shared" si="47"/>
        <v>0</v>
      </c>
      <c r="I87" s="27">
        <f t="shared" si="48"/>
        <v>0</v>
      </c>
      <c r="J87" s="27">
        <f t="shared" si="49"/>
        <v>0</v>
      </c>
      <c r="K87" s="27">
        <f t="shared" si="50"/>
        <v>0</v>
      </c>
      <c r="M87" s="27">
        <f t="shared" si="51"/>
        <v>0</v>
      </c>
      <c r="N87" s="27">
        <f t="shared" si="51"/>
        <v>0</v>
      </c>
      <c r="O87" s="27">
        <f t="shared" si="51"/>
        <v>0</v>
      </c>
      <c r="P87" s="27">
        <f t="shared" si="51"/>
        <v>0</v>
      </c>
      <c r="Q87" s="27">
        <f t="shared" si="51"/>
        <v>0</v>
      </c>
      <c r="R87" s="27">
        <f t="shared" si="51"/>
        <v>0</v>
      </c>
      <c r="AE87" s="65">
        <v>2</v>
      </c>
      <c r="AF87" s="65" t="str">
        <f t="shared" si="52"/>
        <v/>
      </c>
      <c r="AH87" s="65">
        <v>2</v>
      </c>
      <c r="AI87" s="369">
        <f t="shared" si="53"/>
        <v>0</v>
      </c>
      <c r="AJ87" s="369">
        <f t="shared" si="53"/>
        <v>0</v>
      </c>
      <c r="AK87" s="369">
        <f t="shared" si="53"/>
        <v>0</v>
      </c>
      <c r="AL87" s="369">
        <f t="shared" si="53"/>
        <v>0</v>
      </c>
      <c r="AM87" s="369">
        <f t="shared" si="53"/>
        <v>0</v>
      </c>
      <c r="AN87" s="369">
        <f t="shared" si="53"/>
        <v>0</v>
      </c>
      <c r="AO87" s="369">
        <f t="shared" si="54"/>
        <v>0</v>
      </c>
      <c r="AP87" s="369">
        <f t="shared" si="54"/>
        <v>0</v>
      </c>
      <c r="AQ87" s="369">
        <f t="shared" si="54"/>
        <v>0</v>
      </c>
      <c r="AR87" s="369">
        <f t="shared" si="54"/>
        <v>0</v>
      </c>
      <c r="AS87" s="369">
        <f t="shared" si="54"/>
        <v>0</v>
      </c>
      <c r="AT87" s="369">
        <f t="shared" si="54"/>
        <v>0</v>
      </c>
    </row>
    <row r="88" spans="4:46" hidden="1" outlineLevel="1" x14ac:dyDescent="0.2">
      <c r="D88" s="52">
        <v>3</v>
      </c>
      <c r="E88" s="77" t="str">
        <f t="shared" si="44"/>
        <v>** NOT USED **</v>
      </c>
      <c r="F88" s="27">
        <f t="shared" si="45"/>
        <v>0</v>
      </c>
      <c r="G88" s="27">
        <f t="shared" si="46"/>
        <v>0</v>
      </c>
      <c r="H88" s="27">
        <f t="shared" si="47"/>
        <v>0</v>
      </c>
      <c r="I88" s="27">
        <f t="shared" si="48"/>
        <v>0</v>
      </c>
      <c r="J88" s="27">
        <f t="shared" si="49"/>
        <v>0</v>
      </c>
      <c r="K88" s="27">
        <f t="shared" si="50"/>
        <v>0</v>
      </c>
      <c r="M88" s="27">
        <f t="shared" si="51"/>
        <v>0</v>
      </c>
      <c r="N88" s="27">
        <f t="shared" si="51"/>
        <v>0</v>
      </c>
      <c r="O88" s="27">
        <f t="shared" si="51"/>
        <v>0</v>
      </c>
      <c r="P88" s="27">
        <f t="shared" si="51"/>
        <v>0</v>
      </c>
      <c r="Q88" s="27">
        <f t="shared" si="51"/>
        <v>0</v>
      </c>
      <c r="R88" s="27">
        <f t="shared" si="51"/>
        <v>0</v>
      </c>
      <c r="AE88" s="65">
        <v>3</v>
      </c>
      <c r="AF88" s="65" t="str">
        <f t="shared" si="52"/>
        <v/>
      </c>
      <c r="AH88" s="65">
        <v>3</v>
      </c>
      <c r="AI88" s="369">
        <f t="shared" si="53"/>
        <v>0</v>
      </c>
      <c r="AJ88" s="369">
        <f t="shared" si="53"/>
        <v>0</v>
      </c>
      <c r="AK88" s="369">
        <f t="shared" si="53"/>
        <v>0</v>
      </c>
      <c r="AL88" s="369">
        <f t="shared" si="53"/>
        <v>0</v>
      </c>
      <c r="AM88" s="369">
        <f t="shared" si="53"/>
        <v>0</v>
      </c>
      <c r="AN88" s="369">
        <f t="shared" si="53"/>
        <v>0</v>
      </c>
      <c r="AO88" s="369">
        <f t="shared" si="54"/>
        <v>0</v>
      </c>
      <c r="AP88" s="369">
        <f t="shared" si="54"/>
        <v>0</v>
      </c>
      <c r="AQ88" s="369">
        <f t="shared" si="54"/>
        <v>0</v>
      </c>
      <c r="AR88" s="369">
        <f t="shared" si="54"/>
        <v>0</v>
      </c>
      <c r="AS88" s="369">
        <f t="shared" si="54"/>
        <v>0</v>
      </c>
      <c r="AT88" s="369">
        <f t="shared" si="54"/>
        <v>0</v>
      </c>
    </row>
    <row r="89" spans="4:46" hidden="1" outlineLevel="1" x14ac:dyDescent="0.2">
      <c r="D89" s="52">
        <v>4</v>
      </c>
      <c r="E89" s="77" t="str">
        <f t="shared" si="44"/>
        <v>** NOT USED **</v>
      </c>
      <c r="F89" s="27">
        <f t="shared" si="45"/>
        <v>0</v>
      </c>
      <c r="G89" s="27">
        <f t="shared" si="46"/>
        <v>0</v>
      </c>
      <c r="H89" s="27">
        <f t="shared" si="47"/>
        <v>0</v>
      </c>
      <c r="I89" s="27">
        <f t="shared" si="48"/>
        <v>0</v>
      </c>
      <c r="J89" s="27">
        <f t="shared" si="49"/>
        <v>0</v>
      </c>
      <c r="K89" s="27">
        <f t="shared" si="50"/>
        <v>0</v>
      </c>
      <c r="M89" s="27">
        <f t="shared" si="51"/>
        <v>0</v>
      </c>
      <c r="N89" s="27">
        <f t="shared" si="51"/>
        <v>0</v>
      </c>
      <c r="O89" s="27">
        <f t="shared" si="51"/>
        <v>0</v>
      </c>
      <c r="P89" s="27">
        <f t="shared" si="51"/>
        <v>0</v>
      </c>
      <c r="Q89" s="27">
        <f t="shared" si="51"/>
        <v>0</v>
      </c>
      <c r="R89" s="27">
        <f t="shared" si="51"/>
        <v>0</v>
      </c>
      <c r="AE89" s="65">
        <v>4</v>
      </c>
      <c r="AF89" s="65" t="str">
        <f t="shared" si="52"/>
        <v/>
      </c>
      <c r="AH89" s="65">
        <v>4</v>
      </c>
      <c r="AI89" s="369">
        <f t="shared" si="53"/>
        <v>0</v>
      </c>
      <c r="AJ89" s="369">
        <f t="shared" si="53"/>
        <v>0</v>
      </c>
      <c r="AK89" s="369">
        <f t="shared" si="53"/>
        <v>0</v>
      </c>
      <c r="AL89" s="369">
        <f t="shared" si="53"/>
        <v>0</v>
      </c>
      <c r="AM89" s="369">
        <f t="shared" si="53"/>
        <v>0</v>
      </c>
      <c r="AN89" s="369">
        <f t="shared" si="53"/>
        <v>0</v>
      </c>
      <c r="AO89" s="369">
        <f t="shared" si="54"/>
        <v>0</v>
      </c>
      <c r="AP89" s="369">
        <f t="shared" si="54"/>
        <v>0</v>
      </c>
      <c r="AQ89" s="369">
        <f t="shared" si="54"/>
        <v>0</v>
      </c>
      <c r="AR89" s="369">
        <f t="shared" si="54"/>
        <v>0</v>
      </c>
      <c r="AS89" s="369">
        <f t="shared" si="54"/>
        <v>0</v>
      </c>
      <c r="AT89" s="369">
        <f t="shared" si="54"/>
        <v>0</v>
      </c>
    </row>
    <row r="90" spans="4:46" hidden="1" outlineLevel="1" x14ac:dyDescent="0.2">
      <c r="D90" s="52">
        <v>5</v>
      </c>
      <c r="E90" s="77" t="str">
        <f t="shared" si="44"/>
        <v>** NOT USED **</v>
      </c>
      <c r="F90" s="27">
        <f t="shared" si="45"/>
        <v>0</v>
      </c>
      <c r="G90" s="27">
        <f t="shared" si="46"/>
        <v>0</v>
      </c>
      <c r="H90" s="27">
        <f t="shared" si="47"/>
        <v>0</v>
      </c>
      <c r="I90" s="27">
        <f t="shared" si="48"/>
        <v>0</v>
      </c>
      <c r="J90" s="27">
        <f t="shared" si="49"/>
        <v>0</v>
      </c>
      <c r="K90" s="27">
        <f t="shared" si="50"/>
        <v>0</v>
      </c>
      <c r="M90" s="27">
        <f t="shared" si="51"/>
        <v>0</v>
      </c>
      <c r="N90" s="27">
        <f t="shared" si="51"/>
        <v>0</v>
      </c>
      <c r="O90" s="27">
        <f t="shared" si="51"/>
        <v>0</v>
      </c>
      <c r="P90" s="27">
        <f t="shared" si="51"/>
        <v>0</v>
      </c>
      <c r="Q90" s="27">
        <f t="shared" si="51"/>
        <v>0</v>
      </c>
      <c r="R90" s="27">
        <f t="shared" si="51"/>
        <v>0</v>
      </c>
      <c r="AE90" s="65">
        <v>5</v>
      </c>
      <c r="AF90" s="65" t="str">
        <f t="shared" si="52"/>
        <v/>
      </c>
      <c r="AH90" s="65">
        <v>5</v>
      </c>
      <c r="AI90" s="369">
        <f t="shared" si="53"/>
        <v>0</v>
      </c>
      <c r="AJ90" s="369">
        <f t="shared" si="53"/>
        <v>0</v>
      </c>
      <c r="AK90" s="369">
        <f t="shared" si="53"/>
        <v>0</v>
      </c>
      <c r="AL90" s="369">
        <f t="shared" si="53"/>
        <v>0</v>
      </c>
      <c r="AM90" s="369">
        <f t="shared" si="53"/>
        <v>0</v>
      </c>
      <c r="AN90" s="369">
        <f t="shared" si="53"/>
        <v>0</v>
      </c>
      <c r="AO90" s="369">
        <f t="shared" si="54"/>
        <v>0</v>
      </c>
      <c r="AP90" s="369">
        <f t="shared" si="54"/>
        <v>0</v>
      </c>
      <c r="AQ90" s="369">
        <f t="shared" si="54"/>
        <v>0</v>
      </c>
      <c r="AR90" s="369">
        <f t="shared" si="54"/>
        <v>0</v>
      </c>
      <c r="AS90" s="369">
        <f t="shared" si="54"/>
        <v>0</v>
      </c>
      <c r="AT90" s="369">
        <f t="shared" si="54"/>
        <v>0</v>
      </c>
    </row>
    <row r="91" spans="4:46" hidden="1" outlineLevel="1" x14ac:dyDescent="0.2">
      <c r="D91" s="52">
        <v>6</v>
      </c>
      <c r="E91" s="77" t="str">
        <f t="shared" si="44"/>
        <v>** NOT USED **</v>
      </c>
      <c r="F91" s="27">
        <f t="shared" si="45"/>
        <v>0</v>
      </c>
      <c r="G91" s="27">
        <f t="shared" si="46"/>
        <v>0</v>
      </c>
      <c r="H91" s="27">
        <f t="shared" si="47"/>
        <v>0</v>
      </c>
      <c r="I91" s="27">
        <f t="shared" si="48"/>
        <v>0</v>
      </c>
      <c r="J91" s="27">
        <f t="shared" si="49"/>
        <v>0</v>
      </c>
      <c r="K91" s="27">
        <f t="shared" si="50"/>
        <v>0</v>
      </c>
      <c r="M91" s="27">
        <f t="shared" si="51"/>
        <v>0</v>
      </c>
      <c r="N91" s="27">
        <f t="shared" si="51"/>
        <v>0</v>
      </c>
      <c r="O91" s="27">
        <f t="shared" si="51"/>
        <v>0</v>
      </c>
      <c r="P91" s="27">
        <f t="shared" si="51"/>
        <v>0</v>
      </c>
      <c r="Q91" s="27">
        <f t="shared" si="51"/>
        <v>0</v>
      </c>
      <c r="R91" s="27">
        <f t="shared" si="51"/>
        <v>0</v>
      </c>
      <c r="AE91" s="65">
        <v>6</v>
      </c>
      <c r="AF91" s="65" t="str">
        <f t="shared" si="52"/>
        <v/>
      </c>
      <c r="AH91" s="65">
        <v>6</v>
      </c>
      <c r="AI91" s="369">
        <f t="shared" si="53"/>
        <v>0</v>
      </c>
      <c r="AJ91" s="369">
        <f t="shared" si="53"/>
        <v>0</v>
      </c>
      <c r="AK91" s="369">
        <f t="shared" si="53"/>
        <v>0</v>
      </c>
      <c r="AL91" s="369">
        <f t="shared" si="53"/>
        <v>0</v>
      </c>
      <c r="AM91" s="369">
        <f t="shared" si="53"/>
        <v>0</v>
      </c>
      <c r="AN91" s="369">
        <f t="shared" si="53"/>
        <v>0</v>
      </c>
      <c r="AO91" s="369">
        <f t="shared" si="54"/>
        <v>0</v>
      </c>
      <c r="AP91" s="369">
        <f t="shared" si="54"/>
        <v>0</v>
      </c>
      <c r="AQ91" s="369">
        <f t="shared" si="54"/>
        <v>0</v>
      </c>
      <c r="AR91" s="369">
        <f t="shared" si="54"/>
        <v>0</v>
      </c>
      <c r="AS91" s="369">
        <f t="shared" si="54"/>
        <v>0</v>
      </c>
      <c r="AT91" s="369">
        <f t="shared" si="54"/>
        <v>0</v>
      </c>
    </row>
    <row r="92" spans="4:46" hidden="1" outlineLevel="1" x14ac:dyDescent="0.2">
      <c r="D92" s="52">
        <v>7</v>
      </c>
      <c r="E92" s="77" t="str">
        <f t="shared" si="44"/>
        <v>** NOT USED **</v>
      </c>
      <c r="F92" s="27">
        <f t="shared" si="45"/>
        <v>0</v>
      </c>
      <c r="G92" s="27">
        <f t="shared" si="46"/>
        <v>0</v>
      </c>
      <c r="H92" s="27">
        <f t="shared" si="47"/>
        <v>0</v>
      </c>
      <c r="I92" s="27">
        <f t="shared" si="48"/>
        <v>0</v>
      </c>
      <c r="J92" s="27">
        <f t="shared" si="49"/>
        <v>0</v>
      </c>
      <c r="K92" s="27">
        <f t="shared" si="50"/>
        <v>0</v>
      </c>
      <c r="M92" s="27">
        <f t="shared" si="51"/>
        <v>0</v>
      </c>
      <c r="N92" s="27">
        <f t="shared" si="51"/>
        <v>0</v>
      </c>
      <c r="O92" s="27">
        <f t="shared" si="51"/>
        <v>0</v>
      </c>
      <c r="P92" s="27">
        <f t="shared" si="51"/>
        <v>0</v>
      </c>
      <c r="Q92" s="27">
        <f t="shared" si="51"/>
        <v>0</v>
      </c>
      <c r="R92" s="27">
        <f t="shared" si="51"/>
        <v>0</v>
      </c>
      <c r="AE92" s="65">
        <v>7</v>
      </c>
      <c r="AF92" s="65" t="str">
        <f t="shared" si="52"/>
        <v/>
      </c>
      <c r="AH92" s="65">
        <v>7</v>
      </c>
      <c r="AI92" s="369">
        <f t="shared" si="53"/>
        <v>0</v>
      </c>
      <c r="AJ92" s="369">
        <f t="shared" si="53"/>
        <v>0</v>
      </c>
      <c r="AK92" s="369">
        <f t="shared" si="53"/>
        <v>0</v>
      </c>
      <c r="AL92" s="369">
        <f t="shared" si="53"/>
        <v>0</v>
      </c>
      <c r="AM92" s="369">
        <f t="shared" si="53"/>
        <v>0</v>
      </c>
      <c r="AN92" s="369">
        <f t="shared" si="53"/>
        <v>0</v>
      </c>
      <c r="AO92" s="369">
        <f t="shared" si="54"/>
        <v>0</v>
      </c>
      <c r="AP92" s="369">
        <f t="shared" si="54"/>
        <v>0</v>
      </c>
      <c r="AQ92" s="369">
        <f t="shared" si="54"/>
        <v>0</v>
      </c>
      <c r="AR92" s="369">
        <f t="shared" si="54"/>
        <v>0</v>
      </c>
      <c r="AS92" s="369">
        <f t="shared" si="54"/>
        <v>0</v>
      </c>
      <c r="AT92" s="369">
        <f t="shared" si="54"/>
        <v>0</v>
      </c>
    </row>
    <row r="93" spans="4:46" hidden="1" outlineLevel="1" x14ac:dyDescent="0.2">
      <c r="D93" s="52">
        <v>8</v>
      </c>
      <c r="E93" s="77" t="str">
        <f t="shared" si="44"/>
        <v>** NOT USED **</v>
      </c>
      <c r="F93" s="27">
        <f t="shared" si="45"/>
        <v>0</v>
      </c>
      <c r="G93" s="27">
        <f t="shared" si="46"/>
        <v>0</v>
      </c>
      <c r="H93" s="27">
        <f t="shared" si="47"/>
        <v>0</v>
      </c>
      <c r="I93" s="27">
        <f t="shared" si="48"/>
        <v>0</v>
      </c>
      <c r="J93" s="27">
        <f t="shared" si="49"/>
        <v>0</v>
      </c>
      <c r="K93" s="27">
        <f t="shared" si="50"/>
        <v>0</v>
      </c>
      <c r="M93" s="27">
        <f t="shared" si="51"/>
        <v>0</v>
      </c>
      <c r="N93" s="27">
        <f t="shared" si="51"/>
        <v>0</v>
      </c>
      <c r="O93" s="27">
        <f t="shared" si="51"/>
        <v>0</v>
      </c>
      <c r="P93" s="27">
        <f t="shared" si="51"/>
        <v>0</v>
      </c>
      <c r="Q93" s="27">
        <f t="shared" si="51"/>
        <v>0</v>
      </c>
      <c r="R93" s="27">
        <f t="shared" si="51"/>
        <v>0</v>
      </c>
      <c r="AE93" s="65">
        <v>8</v>
      </c>
      <c r="AF93" s="65" t="str">
        <f t="shared" si="52"/>
        <v/>
      </c>
      <c r="AH93" s="65">
        <v>8</v>
      </c>
      <c r="AI93" s="369">
        <f t="shared" si="53"/>
        <v>0</v>
      </c>
      <c r="AJ93" s="369">
        <f t="shared" si="53"/>
        <v>0</v>
      </c>
      <c r="AK93" s="369">
        <f t="shared" si="53"/>
        <v>0</v>
      </c>
      <c r="AL93" s="369">
        <f t="shared" si="53"/>
        <v>0</v>
      </c>
      <c r="AM93" s="369">
        <f t="shared" si="53"/>
        <v>0</v>
      </c>
      <c r="AN93" s="369">
        <f t="shared" si="53"/>
        <v>0</v>
      </c>
      <c r="AO93" s="369">
        <f t="shared" si="54"/>
        <v>0</v>
      </c>
      <c r="AP93" s="369">
        <f t="shared" si="54"/>
        <v>0</v>
      </c>
      <c r="AQ93" s="369">
        <f t="shared" si="54"/>
        <v>0</v>
      </c>
      <c r="AR93" s="369">
        <f t="shared" si="54"/>
        <v>0</v>
      </c>
      <c r="AS93" s="369">
        <f t="shared" si="54"/>
        <v>0</v>
      </c>
      <c r="AT93" s="369">
        <f t="shared" si="54"/>
        <v>0</v>
      </c>
    </row>
    <row r="94" spans="4:46" hidden="1" outlineLevel="1" x14ac:dyDescent="0.2">
      <c r="D94" s="52">
        <v>9</v>
      </c>
      <c r="E94" s="77" t="str">
        <f t="shared" si="44"/>
        <v>** NOT USED **</v>
      </c>
      <c r="F94" s="27">
        <f t="shared" si="45"/>
        <v>0</v>
      </c>
      <c r="G94" s="27">
        <f t="shared" si="46"/>
        <v>0</v>
      </c>
      <c r="H94" s="27">
        <f t="shared" si="47"/>
        <v>0</v>
      </c>
      <c r="I94" s="27">
        <f t="shared" si="48"/>
        <v>0</v>
      </c>
      <c r="J94" s="27">
        <f t="shared" si="49"/>
        <v>0</v>
      </c>
      <c r="K94" s="27">
        <f t="shared" si="50"/>
        <v>0</v>
      </c>
      <c r="M94" s="27">
        <f t="shared" si="51"/>
        <v>0</v>
      </c>
      <c r="N94" s="27">
        <f t="shared" si="51"/>
        <v>0</v>
      </c>
      <c r="O94" s="27">
        <f t="shared" si="51"/>
        <v>0</v>
      </c>
      <c r="P94" s="27">
        <f t="shared" si="51"/>
        <v>0</v>
      </c>
      <c r="Q94" s="27">
        <f t="shared" si="51"/>
        <v>0</v>
      </c>
      <c r="R94" s="27">
        <f t="shared" si="51"/>
        <v>0</v>
      </c>
      <c r="AE94" s="65">
        <v>9</v>
      </c>
      <c r="AF94" s="65" t="str">
        <f t="shared" si="52"/>
        <v/>
      </c>
      <c r="AH94" s="65">
        <v>9</v>
      </c>
      <c r="AI94" s="369">
        <f t="shared" si="53"/>
        <v>0</v>
      </c>
      <c r="AJ94" s="369">
        <f t="shared" si="53"/>
        <v>0</v>
      </c>
      <c r="AK94" s="369">
        <f t="shared" si="53"/>
        <v>0</v>
      </c>
      <c r="AL94" s="369">
        <f t="shared" si="53"/>
        <v>0</v>
      </c>
      <c r="AM94" s="369">
        <f t="shared" si="53"/>
        <v>0</v>
      </c>
      <c r="AN94" s="369">
        <f t="shared" si="53"/>
        <v>0</v>
      </c>
      <c r="AO94" s="369">
        <f t="shared" si="54"/>
        <v>0</v>
      </c>
      <c r="AP94" s="369">
        <f t="shared" si="54"/>
        <v>0</v>
      </c>
      <c r="AQ94" s="369">
        <f t="shared" si="54"/>
        <v>0</v>
      </c>
      <c r="AR94" s="369">
        <f t="shared" si="54"/>
        <v>0</v>
      </c>
      <c r="AS94" s="369">
        <f t="shared" si="54"/>
        <v>0</v>
      </c>
      <c r="AT94" s="369">
        <f t="shared" si="54"/>
        <v>0</v>
      </c>
    </row>
    <row r="95" spans="4:46" hidden="1" outlineLevel="1" x14ac:dyDescent="0.2">
      <c r="D95" s="52">
        <v>10</v>
      </c>
      <c r="E95" s="77" t="str">
        <f t="shared" si="44"/>
        <v>** NOT USED **</v>
      </c>
      <c r="F95" s="27">
        <f t="shared" si="45"/>
        <v>0</v>
      </c>
      <c r="G95" s="27">
        <f t="shared" si="46"/>
        <v>0</v>
      </c>
      <c r="H95" s="27">
        <f t="shared" si="47"/>
        <v>0</v>
      </c>
      <c r="I95" s="27">
        <f t="shared" si="48"/>
        <v>0</v>
      </c>
      <c r="J95" s="27">
        <f t="shared" si="49"/>
        <v>0</v>
      </c>
      <c r="K95" s="27">
        <f t="shared" si="50"/>
        <v>0</v>
      </c>
      <c r="M95" s="27">
        <f t="shared" si="51"/>
        <v>0</v>
      </c>
      <c r="N95" s="27">
        <f t="shared" si="51"/>
        <v>0</v>
      </c>
      <c r="O95" s="27">
        <f t="shared" si="51"/>
        <v>0</v>
      </c>
      <c r="P95" s="27">
        <f t="shared" si="51"/>
        <v>0</v>
      </c>
      <c r="Q95" s="27">
        <f t="shared" si="51"/>
        <v>0</v>
      </c>
      <c r="R95" s="27">
        <f t="shared" si="51"/>
        <v>0</v>
      </c>
      <c r="AE95" s="65">
        <v>10</v>
      </c>
      <c r="AF95" s="65" t="str">
        <f t="shared" si="52"/>
        <v/>
      </c>
      <c r="AH95" s="65">
        <v>10</v>
      </c>
      <c r="AI95" s="369">
        <f t="shared" si="53"/>
        <v>0</v>
      </c>
      <c r="AJ95" s="369">
        <f t="shared" si="53"/>
        <v>0</v>
      </c>
      <c r="AK95" s="369">
        <f t="shared" si="53"/>
        <v>0</v>
      </c>
      <c r="AL95" s="369">
        <f t="shared" si="53"/>
        <v>0</v>
      </c>
      <c r="AM95" s="369">
        <f t="shared" si="53"/>
        <v>0</v>
      </c>
      <c r="AN95" s="369">
        <f t="shared" si="53"/>
        <v>0</v>
      </c>
      <c r="AO95" s="369">
        <f t="shared" si="54"/>
        <v>0</v>
      </c>
      <c r="AP95" s="369">
        <f t="shared" si="54"/>
        <v>0</v>
      </c>
      <c r="AQ95" s="369">
        <f t="shared" si="54"/>
        <v>0</v>
      </c>
      <c r="AR95" s="369">
        <f t="shared" si="54"/>
        <v>0</v>
      </c>
      <c r="AS95" s="369">
        <f t="shared" si="54"/>
        <v>0</v>
      </c>
      <c r="AT95" s="369">
        <f t="shared" si="54"/>
        <v>0</v>
      </c>
    </row>
    <row r="96" spans="4:46" hidden="1" outlineLevel="1" x14ac:dyDescent="0.2">
      <c r="D96" s="52">
        <v>11</v>
      </c>
      <c r="E96" s="77" t="str">
        <f t="shared" si="44"/>
        <v>** NOT USED **</v>
      </c>
      <c r="F96" s="27">
        <f t="shared" si="45"/>
        <v>0</v>
      </c>
      <c r="G96" s="27">
        <f t="shared" si="46"/>
        <v>0</v>
      </c>
      <c r="H96" s="27">
        <f t="shared" si="47"/>
        <v>0</v>
      </c>
      <c r="I96" s="27">
        <f t="shared" si="48"/>
        <v>0</v>
      </c>
      <c r="J96" s="27">
        <f t="shared" si="49"/>
        <v>0</v>
      </c>
      <c r="K96" s="27">
        <f t="shared" si="50"/>
        <v>0</v>
      </c>
      <c r="M96" s="27">
        <f t="shared" ref="M96:R105" si="55">IF($E96&lt;&gt;MsgNotUsed,-INDEX(RPBSScriptsOld,$C154,M$83)*$AP154*M154,0)</f>
        <v>0</v>
      </c>
      <c r="N96" s="27">
        <f t="shared" si="55"/>
        <v>0</v>
      </c>
      <c r="O96" s="27">
        <f t="shared" si="55"/>
        <v>0</v>
      </c>
      <c r="P96" s="27">
        <f t="shared" si="55"/>
        <v>0</v>
      </c>
      <c r="Q96" s="27">
        <f t="shared" si="55"/>
        <v>0</v>
      </c>
      <c r="R96" s="27">
        <f t="shared" si="55"/>
        <v>0</v>
      </c>
      <c r="AE96" s="65">
        <v>11</v>
      </c>
      <c r="AF96" s="65" t="str">
        <f t="shared" si="52"/>
        <v/>
      </c>
      <c r="AH96" s="65">
        <v>11</v>
      </c>
      <c r="AI96" s="369">
        <f t="shared" ref="AI96:AN105" si="56">IF(OR(ScriptSourceCode=1,ScriptSourceCode=3),IF($AH127&lt;&gt;0,ROUND(AI127*INDEX(PxTxPhase1Adj,$AH127,9),0),0),0)</f>
        <v>0</v>
      </c>
      <c r="AJ96" s="369">
        <f t="shared" si="56"/>
        <v>0</v>
      </c>
      <c r="AK96" s="369">
        <f t="shared" si="56"/>
        <v>0</v>
      </c>
      <c r="AL96" s="369">
        <f t="shared" si="56"/>
        <v>0</v>
      </c>
      <c r="AM96" s="369">
        <f t="shared" si="56"/>
        <v>0</v>
      </c>
      <c r="AN96" s="369">
        <f t="shared" si="56"/>
        <v>0</v>
      </c>
      <c r="AO96" s="369">
        <f t="shared" ref="AO96:AT105" si="57">IF(OR(ScriptSourceCode=1,ScriptSourceCode=3),IF($AH127&lt;&gt;0,ROUND(AO127*INDEX(PxTxPhase2Adj,$AH127,9),0),0),0)</f>
        <v>0</v>
      </c>
      <c r="AP96" s="369">
        <f t="shared" si="57"/>
        <v>0</v>
      </c>
      <c r="AQ96" s="369">
        <f t="shared" si="57"/>
        <v>0</v>
      </c>
      <c r="AR96" s="369">
        <f t="shared" si="57"/>
        <v>0</v>
      </c>
      <c r="AS96" s="369">
        <f t="shared" si="57"/>
        <v>0</v>
      </c>
      <c r="AT96" s="369">
        <f t="shared" si="57"/>
        <v>0</v>
      </c>
    </row>
    <row r="97" spans="4:46" hidden="1" outlineLevel="1" x14ac:dyDescent="0.2">
      <c r="D97" s="52">
        <v>12</v>
      </c>
      <c r="E97" s="77" t="str">
        <f t="shared" si="44"/>
        <v>** NOT USED **</v>
      </c>
      <c r="F97" s="27">
        <f t="shared" si="45"/>
        <v>0</v>
      </c>
      <c r="G97" s="27">
        <f t="shared" si="46"/>
        <v>0</v>
      </c>
      <c r="H97" s="27">
        <f t="shared" si="47"/>
        <v>0</v>
      </c>
      <c r="I97" s="27">
        <f t="shared" si="48"/>
        <v>0</v>
      </c>
      <c r="J97" s="27">
        <f t="shared" si="49"/>
        <v>0</v>
      </c>
      <c r="K97" s="27">
        <f t="shared" si="50"/>
        <v>0</v>
      </c>
      <c r="M97" s="27">
        <f t="shared" si="55"/>
        <v>0</v>
      </c>
      <c r="N97" s="27">
        <f t="shared" si="55"/>
        <v>0</v>
      </c>
      <c r="O97" s="27">
        <f t="shared" si="55"/>
        <v>0</v>
      </c>
      <c r="P97" s="27">
        <f t="shared" si="55"/>
        <v>0</v>
      </c>
      <c r="Q97" s="27">
        <f t="shared" si="55"/>
        <v>0</v>
      </c>
      <c r="R97" s="27">
        <f t="shared" si="55"/>
        <v>0</v>
      </c>
      <c r="AE97" s="65">
        <v>12</v>
      </c>
      <c r="AF97" s="65" t="str">
        <f t="shared" si="52"/>
        <v/>
      </c>
      <c r="AH97" s="65">
        <v>12</v>
      </c>
      <c r="AI97" s="369">
        <f t="shared" si="56"/>
        <v>0</v>
      </c>
      <c r="AJ97" s="369">
        <f t="shared" si="56"/>
        <v>0</v>
      </c>
      <c r="AK97" s="369">
        <f t="shared" si="56"/>
        <v>0</v>
      </c>
      <c r="AL97" s="369">
        <f t="shared" si="56"/>
        <v>0</v>
      </c>
      <c r="AM97" s="369">
        <f t="shared" si="56"/>
        <v>0</v>
      </c>
      <c r="AN97" s="369">
        <f t="shared" si="56"/>
        <v>0</v>
      </c>
      <c r="AO97" s="369">
        <f t="shared" si="57"/>
        <v>0</v>
      </c>
      <c r="AP97" s="369">
        <f t="shared" si="57"/>
        <v>0</v>
      </c>
      <c r="AQ97" s="369">
        <f t="shared" si="57"/>
        <v>0</v>
      </c>
      <c r="AR97" s="369">
        <f t="shared" si="57"/>
        <v>0</v>
      </c>
      <c r="AS97" s="369">
        <f t="shared" si="57"/>
        <v>0</v>
      </c>
      <c r="AT97" s="369">
        <f t="shared" si="57"/>
        <v>0</v>
      </c>
    </row>
    <row r="98" spans="4:46" hidden="1" outlineLevel="1" x14ac:dyDescent="0.2">
      <c r="D98" s="52">
        <v>13</v>
      </c>
      <c r="E98" s="77" t="str">
        <f t="shared" si="44"/>
        <v>** NOT USED **</v>
      </c>
      <c r="F98" s="27">
        <f t="shared" si="45"/>
        <v>0</v>
      </c>
      <c r="G98" s="27">
        <f t="shared" si="46"/>
        <v>0</v>
      </c>
      <c r="H98" s="27">
        <f t="shared" si="47"/>
        <v>0</v>
      </c>
      <c r="I98" s="27">
        <f t="shared" si="48"/>
        <v>0</v>
      </c>
      <c r="J98" s="27">
        <f t="shared" si="49"/>
        <v>0</v>
      </c>
      <c r="K98" s="27">
        <f t="shared" si="50"/>
        <v>0</v>
      </c>
      <c r="M98" s="27">
        <f t="shared" si="55"/>
        <v>0</v>
      </c>
      <c r="N98" s="27">
        <f t="shared" si="55"/>
        <v>0</v>
      </c>
      <c r="O98" s="27">
        <f t="shared" si="55"/>
        <v>0</v>
      </c>
      <c r="P98" s="27">
        <f t="shared" si="55"/>
        <v>0</v>
      </c>
      <c r="Q98" s="27">
        <f t="shared" si="55"/>
        <v>0</v>
      </c>
      <c r="R98" s="27">
        <f t="shared" si="55"/>
        <v>0</v>
      </c>
      <c r="AE98" s="65">
        <v>13</v>
      </c>
      <c r="AF98" s="65" t="str">
        <f t="shared" si="52"/>
        <v/>
      </c>
      <c r="AH98" s="65">
        <v>13</v>
      </c>
      <c r="AI98" s="369">
        <f t="shared" si="56"/>
        <v>0</v>
      </c>
      <c r="AJ98" s="369">
        <f t="shared" si="56"/>
        <v>0</v>
      </c>
      <c r="AK98" s="369">
        <f t="shared" si="56"/>
        <v>0</v>
      </c>
      <c r="AL98" s="369">
        <f t="shared" si="56"/>
        <v>0</v>
      </c>
      <c r="AM98" s="369">
        <f t="shared" si="56"/>
        <v>0</v>
      </c>
      <c r="AN98" s="369">
        <f t="shared" si="56"/>
        <v>0</v>
      </c>
      <c r="AO98" s="369">
        <f t="shared" si="57"/>
        <v>0</v>
      </c>
      <c r="AP98" s="369">
        <f t="shared" si="57"/>
        <v>0</v>
      </c>
      <c r="AQ98" s="369">
        <f t="shared" si="57"/>
        <v>0</v>
      </c>
      <c r="AR98" s="369">
        <f t="shared" si="57"/>
        <v>0</v>
      </c>
      <c r="AS98" s="369">
        <f t="shared" si="57"/>
        <v>0</v>
      </c>
      <c r="AT98" s="369">
        <f t="shared" si="57"/>
        <v>0</v>
      </c>
    </row>
    <row r="99" spans="4:46" hidden="1" outlineLevel="1" x14ac:dyDescent="0.2">
      <c r="D99" s="52">
        <v>14</v>
      </c>
      <c r="E99" s="77" t="str">
        <f t="shared" si="44"/>
        <v>** NOT USED **</v>
      </c>
      <c r="F99" s="27">
        <f t="shared" si="45"/>
        <v>0</v>
      </c>
      <c r="G99" s="27">
        <f t="shared" si="46"/>
        <v>0</v>
      </c>
      <c r="H99" s="27">
        <f t="shared" si="47"/>
        <v>0</v>
      </c>
      <c r="I99" s="27">
        <f t="shared" si="48"/>
        <v>0</v>
      </c>
      <c r="J99" s="27">
        <f t="shared" si="49"/>
        <v>0</v>
      </c>
      <c r="K99" s="27">
        <f t="shared" si="50"/>
        <v>0</v>
      </c>
      <c r="M99" s="27">
        <f t="shared" si="55"/>
        <v>0</v>
      </c>
      <c r="N99" s="27">
        <f t="shared" si="55"/>
        <v>0</v>
      </c>
      <c r="O99" s="27">
        <f t="shared" si="55"/>
        <v>0</v>
      </c>
      <c r="P99" s="27">
        <f t="shared" si="55"/>
        <v>0</v>
      </c>
      <c r="Q99" s="27">
        <f t="shared" si="55"/>
        <v>0</v>
      </c>
      <c r="R99" s="27">
        <f t="shared" si="55"/>
        <v>0</v>
      </c>
      <c r="AE99" s="65">
        <v>14</v>
      </c>
      <c r="AF99" s="65" t="str">
        <f t="shared" si="52"/>
        <v/>
      </c>
      <c r="AH99" s="65">
        <v>14</v>
      </c>
      <c r="AI99" s="369">
        <f t="shared" si="56"/>
        <v>0</v>
      </c>
      <c r="AJ99" s="369">
        <f t="shared" si="56"/>
        <v>0</v>
      </c>
      <c r="AK99" s="369">
        <f t="shared" si="56"/>
        <v>0</v>
      </c>
      <c r="AL99" s="369">
        <f t="shared" si="56"/>
        <v>0</v>
      </c>
      <c r="AM99" s="369">
        <f t="shared" si="56"/>
        <v>0</v>
      </c>
      <c r="AN99" s="369">
        <f t="shared" si="56"/>
        <v>0</v>
      </c>
      <c r="AO99" s="369">
        <f t="shared" si="57"/>
        <v>0</v>
      </c>
      <c r="AP99" s="369">
        <f t="shared" si="57"/>
        <v>0</v>
      </c>
      <c r="AQ99" s="369">
        <f t="shared" si="57"/>
        <v>0</v>
      </c>
      <c r="AR99" s="369">
        <f t="shared" si="57"/>
        <v>0</v>
      </c>
      <c r="AS99" s="369">
        <f t="shared" si="57"/>
        <v>0</v>
      </c>
      <c r="AT99" s="369">
        <f t="shared" si="57"/>
        <v>0</v>
      </c>
    </row>
    <row r="100" spans="4:46" hidden="1" outlineLevel="1" x14ac:dyDescent="0.2">
      <c r="D100" s="52">
        <v>15</v>
      </c>
      <c r="E100" s="77" t="str">
        <f t="shared" si="44"/>
        <v>** NOT USED **</v>
      </c>
      <c r="F100" s="27">
        <f t="shared" si="45"/>
        <v>0</v>
      </c>
      <c r="G100" s="27">
        <f t="shared" si="46"/>
        <v>0</v>
      </c>
      <c r="H100" s="27">
        <f t="shared" si="47"/>
        <v>0</v>
      </c>
      <c r="I100" s="27">
        <f t="shared" si="48"/>
        <v>0</v>
      </c>
      <c r="J100" s="27">
        <f t="shared" si="49"/>
        <v>0</v>
      </c>
      <c r="K100" s="27">
        <f t="shared" si="50"/>
        <v>0</v>
      </c>
      <c r="M100" s="27">
        <f t="shared" si="55"/>
        <v>0</v>
      </c>
      <c r="N100" s="27">
        <f t="shared" si="55"/>
        <v>0</v>
      </c>
      <c r="O100" s="27">
        <f t="shared" si="55"/>
        <v>0</v>
      </c>
      <c r="P100" s="27">
        <f t="shared" si="55"/>
        <v>0</v>
      </c>
      <c r="Q100" s="27">
        <f t="shared" si="55"/>
        <v>0</v>
      </c>
      <c r="R100" s="27">
        <f t="shared" si="55"/>
        <v>0</v>
      </c>
      <c r="AE100" s="65">
        <v>15</v>
      </c>
      <c r="AF100" s="65" t="str">
        <f t="shared" si="52"/>
        <v/>
      </c>
      <c r="AH100" s="65">
        <v>15</v>
      </c>
      <c r="AI100" s="369">
        <f t="shared" si="56"/>
        <v>0</v>
      </c>
      <c r="AJ100" s="369">
        <f t="shared" si="56"/>
        <v>0</v>
      </c>
      <c r="AK100" s="369">
        <f t="shared" si="56"/>
        <v>0</v>
      </c>
      <c r="AL100" s="369">
        <f t="shared" si="56"/>
        <v>0</v>
      </c>
      <c r="AM100" s="369">
        <f t="shared" si="56"/>
        <v>0</v>
      </c>
      <c r="AN100" s="369">
        <f t="shared" si="56"/>
        <v>0</v>
      </c>
      <c r="AO100" s="369">
        <f t="shared" si="57"/>
        <v>0</v>
      </c>
      <c r="AP100" s="369">
        <f t="shared" si="57"/>
        <v>0</v>
      </c>
      <c r="AQ100" s="369">
        <f t="shared" si="57"/>
        <v>0</v>
      </c>
      <c r="AR100" s="369">
        <f t="shared" si="57"/>
        <v>0</v>
      </c>
      <c r="AS100" s="369">
        <f t="shared" si="57"/>
        <v>0</v>
      </c>
      <c r="AT100" s="369">
        <f t="shared" si="57"/>
        <v>0</v>
      </c>
    </row>
    <row r="101" spans="4:46" hidden="1" outlineLevel="1" x14ac:dyDescent="0.2">
      <c r="D101" s="52">
        <v>16</v>
      </c>
      <c r="E101" s="77" t="str">
        <f t="shared" si="44"/>
        <v>** NOT USED **</v>
      </c>
      <c r="F101" s="27">
        <f t="shared" si="45"/>
        <v>0</v>
      </c>
      <c r="G101" s="27">
        <f t="shared" si="46"/>
        <v>0</v>
      </c>
      <c r="H101" s="27">
        <f t="shared" si="47"/>
        <v>0</v>
      </c>
      <c r="I101" s="27">
        <f t="shared" si="48"/>
        <v>0</v>
      </c>
      <c r="J101" s="27">
        <f t="shared" si="49"/>
        <v>0</v>
      </c>
      <c r="K101" s="27">
        <f t="shared" si="50"/>
        <v>0</v>
      </c>
      <c r="M101" s="27">
        <f t="shared" si="55"/>
        <v>0</v>
      </c>
      <c r="N101" s="27">
        <f t="shared" si="55"/>
        <v>0</v>
      </c>
      <c r="O101" s="27">
        <f t="shared" si="55"/>
        <v>0</v>
      </c>
      <c r="P101" s="27">
        <f t="shared" si="55"/>
        <v>0</v>
      </c>
      <c r="Q101" s="27">
        <f t="shared" si="55"/>
        <v>0</v>
      </c>
      <c r="R101" s="27">
        <f t="shared" si="55"/>
        <v>0</v>
      </c>
      <c r="AE101" s="65">
        <v>16</v>
      </c>
      <c r="AF101" s="65" t="str">
        <f t="shared" si="52"/>
        <v/>
      </c>
      <c r="AH101" s="65">
        <v>16</v>
      </c>
      <c r="AI101" s="369">
        <f t="shared" si="56"/>
        <v>0</v>
      </c>
      <c r="AJ101" s="369">
        <f t="shared" si="56"/>
        <v>0</v>
      </c>
      <c r="AK101" s="369">
        <f t="shared" si="56"/>
        <v>0</v>
      </c>
      <c r="AL101" s="369">
        <f t="shared" si="56"/>
        <v>0</v>
      </c>
      <c r="AM101" s="369">
        <f t="shared" si="56"/>
        <v>0</v>
      </c>
      <c r="AN101" s="369">
        <f t="shared" si="56"/>
        <v>0</v>
      </c>
      <c r="AO101" s="369">
        <f t="shared" si="57"/>
        <v>0</v>
      </c>
      <c r="AP101" s="369">
        <f t="shared" si="57"/>
        <v>0</v>
      </c>
      <c r="AQ101" s="369">
        <f t="shared" si="57"/>
        <v>0</v>
      </c>
      <c r="AR101" s="369">
        <f t="shared" si="57"/>
        <v>0</v>
      </c>
      <c r="AS101" s="369">
        <f t="shared" si="57"/>
        <v>0</v>
      </c>
      <c r="AT101" s="369">
        <f t="shared" si="57"/>
        <v>0</v>
      </c>
    </row>
    <row r="102" spans="4:46" hidden="1" outlineLevel="1" x14ac:dyDescent="0.2">
      <c r="D102" s="52">
        <v>17</v>
      </c>
      <c r="E102" s="77" t="str">
        <f t="shared" si="44"/>
        <v>** NOT USED **</v>
      </c>
      <c r="F102" s="27">
        <f t="shared" si="45"/>
        <v>0</v>
      </c>
      <c r="G102" s="27">
        <f t="shared" si="46"/>
        <v>0</v>
      </c>
      <c r="H102" s="27">
        <f t="shared" si="47"/>
        <v>0</v>
      </c>
      <c r="I102" s="27">
        <f t="shared" si="48"/>
        <v>0</v>
      </c>
      <c r="J102" s="27">
        <f t="shared" si="49"/>
        <v>0</v>
      </c>
      <c r="K102" s="27">
        <f t="shared" si="50"/>
        <v>0</v>
      </c>
      <c r="M102" s="27">
        <f t="shared" si="55"/>
        <v>0</v>
      </c>
      <c r="N102" s="27">
        <f t="shared" si="55"/>
        <v>0</v>
      </c>
      <c r="O102" s="27">
        <f t="shared" si="55"/>
        <v>0</v>
      </c>
      <c r="P102" s="27">
        <f t="shared" si="55"/>
        <v>0</v>
      </c>
      <c r="Q102" s="27">
        <f t="shared" si="55"/>
        <v>0</v>
      </c>
      <c r="R102" s="27">
        <f t="shared" si="55"/>
        <v>0</v>
      </c>
      <c r="AE102" s="65">
        <v>17</v>
      </c>
      <c r="AF102" s="65" t="str">
        <f t="shared" si="52"/>
        <v/>
      </c>
      <c r="AH102" s="65">
        <v>17</v>
      </c>
      <c r="AI102" s="369">
        <f t="shared" si="56"/>
        <v>0</v>
      </c>
      <c r="AJ102" s="369">
        <f t="shared" si="56"/>
        <v>0</v>
      </c>
      <c r="AK102" s="369">
        <f t="shared" si="56"/>
        <v>0</v>
      </c>
      <c r="AL102" s="369">
        <f t="shared" si="56"/>
        <v>0</v>
      </c>
      <c r="AM102" s="369">
        <f t="shared" si="56"/>
        <v>0</v>
      </c>
      <c r="AN102" s="369">
        <f t="shared" si="56"/>
        <v>0</v>
      </c>
      <c r="AO102" s="369">
        <f t="shared" si="57"/>
        <v>0</v>
      </c>
      <c r="AP102" s="369">
        <f t="shared" si="57"/>
        <v>0</v>
      </c>
      <c r="AQ102" s="369">
        <f t="shared" si="57"/>
        <v>0</v>
      </c>
      <c r="AR102" s="369">
        <f t="shared" si="57"/>
        <v>0</v>
      </c>
      <c r="AS102" s="369">
        <f t="shared" si="57"/>
        <v>0</v>
      </c>
      <c r="AT102" s="369">
        <f t="shared" si="57"/>
        <v>0</v>
      </c>
    </row>
    <row r="103" spans="4:46" hidden="1" outlineLevel="1" x14ac:dyDescent="0.2">
      <c r="D103" s="52">
        <v>18</v>
      </c>
      <c r="E103" s="77" t="str">
        <f t="shared" si="44"/>
        <v>** NOT USED **</v>
      </c>
      <c r="F103" s="27">
        <f t="shared" si="45"/>
        <v>0</v>
      </c>
      <c r="G103" s="27">
        <f t="shared" si="46"/>
        <v>0</v>
      </c>
      <c r="H103" s="27">
        <f t="shared" si="47"/>
        <v>0</v>
      </c>
      <c r="I103" s="27">
        <f t="shared" si="48"/>
        <v>0</v>
      </c>
      <c r="J103" s="27">
        <f t="shared" si="49"/>
        <v>0</v>
      </c>
      <c r="K103" s="27">
        <f t="shared" si="50"/>
        <v>0</v>
      </c>
      <c r="M103" s="27">
        <f t="shared" si="55"/>
        <v>0</v>
      </c>
      <c r="N103" s="27">
        <f t="shared" si="55"/>
        <v>0</v>
      </c>
      <c r="O103" s="27">
        <f t="shared" si="55"/>
        <v>0</v>
      </c>
      <c r="P103" s="27">
        <f t="shared" si="55"/>
        <v>0</v>
      </c>
      <c r="Q103" s="27">
        <f t="shared" si="55"/>
        <v>0</v>
      </c>
      <c r="R103" s="27">
        <f t="shared" si="55"/>
        <v>0</v>
      </c>
      <c r="AE103" s="65">
        <v>18</v>
      </c>
      <c r="AF103" s="65" t="str">
        <f t="shared" si="52"/>
        <v/>
      </c>
      <c r="AH103" s="65">
        <v>18</v>
      </c>
      <c r="AI103" s="369">
        <f t="shared" si="56"/>
        <v>0</v>
      </c>
      <c r="AJ103" s="369">
        <f t="shared" si="56"/>
        <v>0</v>
      </c>
      <c r="AK103" s="369">
        <f t="shared" si="56"/>
        <v>0</v>
      </c>
      <c r="AL103" s="369">
        <f t="shared" si="56"/>
        <v>0</v>
      </c>
      <c r="AM103" s="369">
        <f t="shared" si="56"/>
        <v>0</v>
      </c>
      <c r="AN103" s="369">
        <f t="shared" si="56"/>
        <v>0</v>
      </c>
      <c r="AO103" s="369">
        <f t="shared" si="57"/>
        <v>0</v>
      </c>
      <c r="AP103" s="369">
        <f t="shared" si="57"/>
        <v>0</v>
      </c>
      <c r="AQ103" s="369">
        <f t="shared" si="57"/>
        <v>0</v>
      </c>
      <c r="AR103" s="369">
        <f t="shared" si="57"/>
        <v>0</v>
      </c>
      <c r="AS103" s="369">
        <f t="shared" si="57"/>
        <v>0</v>
      </c>
      <c r="AT103" s="369">
        <f t="shared" si="57"/>
        <v>0</v>
      </c>
    </row>
    <row r="104" spans="4:46" hidden="1" outlineLevel="1" x14ac:dyDescent="0.2">
      <c r="D104" s="52">
        <v>19</v>
      </c>
      <c r="E104" s="77" t="str">
        <f t="shared" si="44"/>
        <v>** NOT USED **</v>
      </c>
      <c r="F104" s="27">
        <f t="shared" si="45"/>
        <v>0</v>
      </c>
      <c r="G104" s="27">
        <f t="shared" si="46"/>
        <v>0</v>
      </c>
      <c r="H104" s="27">
        <f t="shared" si="47"/>
        <v>0</v>
      </c>
      <c r="I104" s="27">
        <f t="shared" si="48"/>
        <v>0</v>
      </c>
      <c r="J104" s="27">
        <f t="shared" si="49"/>
        <v>0</v>
      </c>
      <c r="K104" s="27">
        <f t="shared" si="50"/>
        <v>0</v>
      </c>
      <c r="M104" s="27">
        <f t="shared" si="55"/>
        <v>0</v>
      </c>
      <c r="N104" s="27">
        <f t="shared" si="55"/>
        <v>0</v>
      </c>
      <c r="O104" s="27">
        <f t="shared" si="55"/>
        <v>0</v>
      </c>
      <c r="P104" s="27">
        <f t="shared" si="55"/>
        <v>0</v>
      </c>
      <c r="Q104" s="27">
        <f t="shared" si="55"/>
        <v>0</v>
      </c>
      <c r="R104" s="27">
        <f t="shared" si="55"/>
        <v>0</v>
      </c>
      <c r="AE104" s="65">
        <v>19</v>
      </c>
      <c r="AF104" s="65" t="str">
        <f t="shared" si="52"/>
        <v/>
      </c>
      <c r="AH104" s="65">
        <v>19</v>
      </c>
      <c r="AI104" s="369">
        <f t="shared" si="56"/>
        <v>0</v>
      </c>
      <c r="AJ104" s="369">
        <f t="shared" si="56"/>
        <v>0</v>
      </c>
      <c r="AK104" s="369">
        <f t="shared" si="56"/>
        <v>0</v>
      </c>
      <c r="AL104" s="369">
        <f t="shared" si="56"/>
        <v>0</v>
      </c>
      <c r="AM104" s="369">
        <f t="shared" si="56"/>
        <v>0</v>
      </c>
      <c r="AN104" s="369">
        <f t="shared" si="56"/>
        <v>0</v>
      </c>
      <c r="AO104" s="369">
        <f t="shared" si="57"/>
        <v>0</v>
      </c>
      <c r="AP104" s="369">
        <f t="shared" si="57"/>
        <v>0</v>
      </c>
      <c r="AQ104" s="369">
        <f t="shared" si="57"/>
        <v>0</v>
      </c>
      <c r="AR104" s="369">
        <f t="shared" si="57"/>
        <v>0</v>
      </c>
      <c r="AS104" s="369">
        <f t="shared" si="57"/>
        <v>0</v>
      </c>
      <c r="AT104" s="369">
        <f t="shared" si="57"/>
        <v>0</v>
      </c>
    </row>
    <row r="105" spans="4:46" hidden="1" outlineLevel="1" x14ac:dyDescent="0.2">
      <c r="D105" s="52">
        <v>20</v>
      </c>
      <c r="E105" s="77" t="str">
        <f t="shared" si="44"/>
        <v>** NOT USED **</v>
      </c>
      <c r="F105" s="27">
        <f t="shared" si="45"/>
        <v>0</v>
      </c>
      <c r="G105" s="27">
        <f t="shared" si="46"/>
        <v>0</v>
      </c>
      <c r="H105" s="27">
        <f t="shared" si="47"/>
        <v>0</v>
      </c>
      <c r="I105" s="27">
        <f t="shared" si="48"/>
        <v>0</v>
      </c>
      <c r="J105" s="27">
        <f t="shared" si="49"/>
        <v>0</v>
      </c>
      <c r="K105" s="27">
        <f t="shared" si="50"/>
        <v>0</v>
      </c>
      <c r="M105" s="27">
        <f t="shared" si="55"/>
        <v>0</v>
      </c>
      <c r="N105" s="27">
        <f t="shared" si="55"/>
        <v>0</v>
      </c>
      <c r="O105" s="27">
        <f t="shared" si="55"/>
        <v>0</v>
      </c>
      <c r="P105" s="27">
        <f t="shared" si="55"/>
        <v>0</v>
      </c>
      <c r="Q105" s="27">
        <f t="shared" si="55"/>
        <v>0</v>
      </c>
      <c r="R105" s="27">
        <f t="shared" si="55"/>
        <v>0</v>
      </c>
      <c r="AE105" s="65">
        <v>20</v>
      </c>
      <c r="AF105" s="65" t="str">
        <f t="shared" si="52"/>
        <v/>
      </c>
      <c r="AH105" s="65">
        <v>20</v>
      </c>
      <c r="AI105" s="369">
        <f t="shared" si="56"/>
        <v>0</v>
      </c>
      <c r="AJ105" s="369">
        <f t="shared" si="56"/>
        <v>0</v>
      </c>
      <c r="AK105" s="369">
        <f t="shared" si="56"/>
        <v>0</v>
      </c>
      <c r="AL105" s="369">
        <f t="shared" si="56"/>
        <v>0</v>
      </c>
      <c r="AM105" s="369">
        <f t="shared" si="56"/>
        <v>0</v>
      </c>
      <c r="AN105" s="369">
        <f t="shared" si="56"/>
        <v>0</v>
      </c>
      <c r="AO105" s="369">
        <f t="shared" si="57"/>
        <v>0</v>
      </c>
      <c r="AP105" s="369">
        <f t="shared" si="57"/>
        <v>0</v>
      </c>
      <c r="AQ105" s="369">
        <f t="shared" si="57"/>
        <v>0</v>
      </c>
      <c r="AR105" s="369">
        <f t="shared" si="57"/>
        <v>0</v>
      </c>
      <c r="AS105" s="369">
        <f t="shared" si="57"/>
        <v>0</v>
      </c>
      <c r="AT105" s="369">
        <f t="shared" si="57"/>
        <v>0</v>
      </c>
    </row>
    <row r="106" spans="4:46" hidden="1" outlineLevel="1" x14ac:dyDescent="0.2">
      <c r="E106" s="56" t="s">
        <v>213</v>
      </c>
      <c r="F106" s="30">
        <f t="shared" ref="F106:K106" si="58">SUM(F86:F105)</f>
        <v>0</v>
      </c>
      <c r="G106" s="30">
        <f t="shared" si="58"/>
        <v>0</v>
      </c>
      <c r="H106" s="30">
        <f t="shared" si="58"/>
        <v>0</v>
      </c>
      <c r="I106" s="30">
        <f t="shared" si="58"/>
        <v>0</v>
      </c>
      <c r="J106" s="30">
        <f t="shared" si="58"/>
        <v>0</v>
      </c>
      <c r="K106" s="30">
        <f t="shared" si="58"/>
        <v>0</v>
      </c>
      <c r="M106" s="30">
        <f t="shared" ref="M106:R106" si="59">SUM(M86:M105)</f>
        <v>0</v>
      </c>
      <c r="N106" s="30">
        <f t="shared" si="59"/>
        <v>0</v>
      </c>
      <c r="O106" s="30">
        <f t="shared" si="59"/>
        <v>0</v>
      </c>
      <c r="P106" s="30">
        <f t="shared" si="59"/>
        <v>0</v>
      </c>
      <c r="Q106" s="30">
        <f t="shared" si="59"/>
        <v>0</v>
      </c>
      <c r="R106" s="30">
        <f t="shared" si="59"/>
        <v>0</v>
      </c>
    </row>
    <row r="107" spans="4:46" hidden="1" outlineLevel="1" x14ac:dyDescent="0.2">
      <c r="E107" s="360"/>
    </row>
    <row r="108" spans="4:46" hidden="1" outlineLevel="1" x14ac:dyDescent="0.2">
      <c r="F108" s="74">
        <f>FirstYear</f>
        <v>2026</v>
      </c>
      <c r="G108" s="74">
        <f>F108+1</f>
        <v>2027</v>
      </c>
      <c r="H108" s="74">
        <f>G108+1</f>
        <v>2028</v>
      </c>
      <c r="I108" s="74">
        <f>H108+1</f>
        <v>2029</v>
      </c>
      <c r="J108" s="74">
        <f>I108+1</f>
        <v>2030</v>
      </c>
      <c r="K108" s="74">
        <f>J108+1</f>
        <v>2031</v>
      </c>
    </row>
    <row r="109" spans="4:46" hidden="1" outlineLevel="1" x14ac:dyDescent="0.2">
      <c r="E109" s="3" t="s">
        <v>223</v>
      </c>
      <c r="F109" s="35">
        <f t="shared" ref="F109:K109" si="60">F106+M106</f>
        <v>0</v>
      </c>
      <c r="G109" s="35">
        <f t="shared" si="60"/>
        <v>0</v>
      </c>
      <c r="H109" s="35">
        <f t="shared" si="60"/>
        <v>0</v>
      </c>
      <c r="I109" s="35">
        <f t="shared" si="60"/>
        <v>0</v>
      </c>
      <c r="J109" s="35">
        <f t="shared" si="60"/>
        <v>0</v>
      </c>
      <c r="K109" s="35">
        <f t="shared" si="60"/>
        <v>0</v>
      </c>
    </row>
    <row r="110" spans="4:46" hidden="1" outlineLevel="1" x14ac:dyDescent="0.2">
      <c r="E110" s="260"/>
      <c r="F110" s="485"/>
      <c r="G110" s="485"/>
      <c r="H110" s="485"/>
      <c r="I110" s="485"/>
      <c r="J110" s="485"/>
      <c r="K110" s="491"/>
      <c r="S110" s="490"/>
      <c r="T110" s="490"/>
      <c r="U110" s="490"/>
      <c r="V110" s="490"/>
      <c r="W110" s="490"/>
      <c r="X110" s="490"/>
    </row>
    <row r="111" spans="4:46" collapsed="1" x14ac:dyDescent="0.2">
      <c r="E111" s="260"/>
      <c r="F111" s="485"/>
      <c r="G111" s="485"/>
      <c r="H111" s="485"/>
      <c r="I111" s="485"/>
      <c r="J111" s="485"/>
      <c r="K111" s="485"/>
      <c r="S111" s="490"/>
      <c r="T111" s="490"/>
      <c r="U111" s="490"/>
      <c r="V111" s="490"/>
      <c r="W111" s="490"/>
      <c r="X111" s="490"/>
    </row>
    <row r="112" spans="4:46" ht="15.75" x14ac:dyDescent="0.2">
      <c r="E112" s="111" t="s">
        <v>853</v>
      </c>
      <c r="F112" s="126"/>
      <c r="G112" s="113"/>
      <c r="H112" s="113"/>
      <c r="I112" s="113"/>
      <c r="J112" s="381"/>
      <c r="K112" s="382"/>
      <c r="L112" s="113"/>
      <c r="M112" s="113"/>
      <c r="N112" s="113"/>
      <c r="O112" s="113"/>
      <c r="P112" s="113"/>
      <c r="Q112" s="113"/>
      <c r="R112" s="113"/>
      <c r="S112" s="21"/>
      <c r="T112" s="21"/>
      <c r="U112" s="21"/>
      <c r="V112" s="21"/>
      <c r="W112" s="21"/>
      <c r="X112" s="21"/>
      <c r="Y112" s="21"/>
      <c r="Z112" s="21"/>
      <c r="AA112" s="21"/>
      <c r="AB112" s="21"/>
      <c r="AC112" s="21"/>
      <c r="AD112" s="21"/>
      <c r="AE112" s="21"/>
      <c r="AF112" s="21"/>
      <c r="AG112" s="21"/>
      <c r="AH112" s="21"/>
      <c r="AI112" s="21"/>
      <c r="AJ112" s="21"/>
      <c r="AK112" s="21"/>
      <c r="AL112" s="21"/>
      <c r="AM112" s="21"/>
      <c r="AN112" s="21"/>
      <c r="AO112" s="21"/>
      <c r="AP112" s="21"/>
      <c r="AQ112" s="21"/>
      <c r="AR112" s="21"/>
      <c r="AS112" s="21"/>
      <c r="AT112" s="21"/>
    </row>
    <row r="113" spans="1:46" ht="15.75" hidden="1" outlineLevel="1" x14ac:dyDescent="0.2">
      <c r="E113" s="454"/>
      <c r="F113" s="455"/>
    </row>
    <row r="114" spans="1:46" hidden="1" outlineLevel="1" x14ac:dyDescent="0.2">
      <c r="E114" t="s">
        <v>809</v>
      </c>
      <c r="F114" s="455"/>
      <c r="R114" s="360"/>
      <c r="S114" s="360"/>
      <c r="T114" s="360"/>
      <c r="U114" s="360"/>
      <c r="V114" s="360"/>
      <c r="W114" s="360"/>
      <c r="X114" s="360"/>
      <c r="AI114" s="125">
        <v>1</v>
      </c>
      <c r="AJ114" s="125">
        <v>2</v>
      </c>
      <c r="AK114" s="125">
        <v>3</v>
      </c>
      <c r="AL114" s="125">
        <v>4</v>
      </c>
      <c r="AM114" s="125">
        <v>5</v>
      </c>
      <c r="AN114" s="125">
        <v>6</v>
      </c>
      <c r="AO114" s="125">
        <v>1</v>
      </c>
      <c r="AP114" s="125">
        <v>2</v>
      </c>
      <c r="AQ114" s="125">
        <v>3</v>
      </c>
      <c r="AR114" s="125">
        <v>4</v>
      </c>
      <c r="AS114" s="125">
        <v>5</v>
      </c>
      <c r="AT114" s="125">
        <v>6</v>
      </c>
    </row>
    <row r="115" spans="1:46" hidden="1" outlineLevel="1" x14ac:dyDescent="0.2">
      <c r="F115" s="455"/>
      <c r="AI115" s="617" t="str">
        <f>AI84</f>
        <v/>
      </c>
      <c r="AJ115" s="617"/>
      <c r="AK115" s="617"/>
      <c r="AL115" s="617"/>
      <c r="AM115" s="617"/>
      <c r="AN115" s="617"/>
      <c r="AO115" s="617" t="str">
        <f>AO84</f>
        <v/>
      </c>
      <c r="AP115" s="617"/>
      <c r="AQ115" s="617"/>
      <c r="AR115" s="617"/>
      <c r="AS115" s="617"/>
      <c r="AT115" s="617"/>
    </row>
    <row r="116" spans="1:46" ht="25.5" hidden="1" outlineLevel="1" x14ac:dyDescent="0.2">
      <c r="E116" s="5" t="s">
        <v>800</v>
      </c>
      <c r="F116" s="596" t="s">
        <v>107</v>
      </c>
      <c r="G116" s="597"/>
      <c r="H116" s="598"/>
      <c r="I116" s="5" t="s">
        <v>56</v>
      </c>
      <c r="J116" s="5" t="s">
        <v>292</v>
      </c>
      <c r="K116" s="5" t="s">
        <v>116</v>
      </c>
      <c r="L116" s="5" t="s">
        <v>365</v>
      </c>
      <c r="M116" s="5" t="s">
        <v>364</v>
      </c>
      <c r="N116" s="61" t="s">
        <v>357</v>
      </c>
      <c r="O116" s="61" t="str">
        <f>"Scripts / " &amp; IF(TxDuration=1,"year","treatment")</f>
        <v>Scripts / treatment</v>
      </c>
      <c r="P116" s="5" t="s">
        <v>354</v>
      </c>
      <c r="Q116" s="593" t="s">
        <v>1178</v>
      </c>
      <c r="R116" s="593"/>
      <c r="S116" s="593"/>
      <c r="T116" s="593"/>
      <c r="U116" s="593"/>
      <c r="V116" s="480"/>
      <c r="AF116" s="202" t="s">
        <v>270</v>
      </c>
      <c r="AG116" s="203" t="s">
        <v>282</v>
      </c>
      <c r="AH116" s="205" t="s">
        <v>1179</v>
      </c>
      <c r="AI116" s="204">
        <f>FirstYear</f>
        <v>2026</v>
      </c>
      <c r="AJ116" s="204">
        <f>AI116+1</f>
        <v>2027</v>
      </c>
      <c r="AK116" s="204">
        <f>AJ116+1</f>
        <v>2028</v>
      </c>
      <c r="AL116" s="204">
        <f>AK116+1</f>
        <v>2029</v>
      </c>
      <c r="AM116" s="204">
        <f>AL116+1</f>
        <v>2030</v>
      </c>
      <c r="AN116" s="204">
        <f>AM116+1</f>
        <v>2031</v>
      </c>
      <c r="AO116" s="204">
        <f>FirstYear</f>
        <v>2026</v>
      </c>
      <c r="AP116" s="204">
        <f>AO116+1</f>
        <v>2027</v>
      </c>
      <c r="AQ116" s="204">
        <f>AP116+1</f>
        <v>2028</v>
      </c>
      <c r="AR116" s="204">
        <f>AQ116+1</f>
        <v>2029</v>
      </c>
      <c r="AS116" s="204">
        <f>AR116+1</f>
        <v>2030</v>
      </c>
      <c r="AT116" s="204">
        <f>AS116+1</f>
        <v>2031</v>
      </c>
    </row>
    <row r="117" spans="1:46" ht="12.75" hidden="1" customHeight="1" outlineLevel="1" x14ac:dyDescent="0.2">
      <c r="A117" s="348"/>
      <c r="B117" s="348"/>
      <c r="C117" s="348"/>
      <c r="D117" s="52">
        <v>1</v>
      </c>
      <c r="E117" s="79"/>
      <c r="F117" s="599"/>
      <c r="G117" s="600"/>
      <c r="H117" s="601"/>
      <c r="I117" s="70"/>
      <c r="J117" s="133"/>
      <c r="K117" s="42"/>
      <c r="L117" s="134"/>
      <c r="M117" s="70"/>
      <c r="N117" s="208"/>
      <c r="O117" s="135" t="str">
        <f>IF(AND(K117&lt;&gt;0,N117&lt;&gt;0,K117&lt;&gt;0,N117&lt;&gt;0),L117/(K117/N117)*J117,"")</f>
        <v/>
      </c>
      <c r="P117" s="133"/>
      <c r="Q117" s="613"/>
      <c r="R117" s="613"/>
      <c r="S117" s="613"/>
      <c r="T117" s="613"/>
      <c r="U117" s="613"/>
      <c r="W117" s="542" t="str">
        <f t="shared" ref="W117" si="61">IF(AND(E117&lt;&gt;"",R117&lt;&gt;""),IF(INDEX(PxTxPhase1Adj,AH117,7)=1,VLOOKUP("ExtendTxPop",WarningMessages,2,FALSE),""),"")</f>
        <v/>
      </c>
      <c r="X117" s="542"/>
      <c r="Y117" s="542"/>
      <c r="AA117" s="542" t="str">
        <f>IF(AND(E117&lt;&gt;"",R117&lt;&gt;""),IF(INDEX(PxTxPhase1Adj,AH117,7)=1,VLOOKUP("ExtendTxPop",WarningMessages,2,FALSE),""),"")</f>
        <v/>
      </c>
      <c r="AB117" s="542"/>
      <c r="AC117" s="542"/>
      <c r="AF117" s="65" t="str">
        <f t="shared" ref="AF117:AF136" si="62">IF(E117&lt;&gt;"",CONCATENATE(E117," ",F117, " - ",I117),MsgNotUsed)</f>
        <v>** NOT USED **</v>
      </c>
      <c r="AG117" s="346" t="str">
        <f t="shared" ref="AG117:AG136" si="63">IF(I117&lt;&gt;"",VLOOKUP(I117,TPShortCode,3,FALSE),"")</f>
        <v/>
      </c>
      <c r="AH117" s="347">
        <f t="shared" ref="AH117:AH136" ca="1" si="64">IFERROR(MATCH(Q117,DTGPops,0),0)</f>
        <v>0</v>
      </c>
      <c r="AI117" s="369">
        <f t="shared" ref="AI117:AN126" ca="1" si="65">IF($AH117&lt;&gt;0,INDEX(PxTxPhase1Adj,$AH117,AI$114),0)</f>
        <v>0</v>
      </c>
      <c r="AJ117" s="369">
        <f t="shared" ca="1" si="65"/>
        <v>0</v>
      </c>
      <c r="AK117" s="369">
        <f t="shared" ca="1" si="65"/>
        <v>0</v>
      </c>
      <c r="AL117" s="369">
        <f t="shared" ca="1" si="65"/>
        <v>0</v>
      </c>
      <c r="AM117" s="369">
        <f t="shared" ca="1" si="65"/>
        <v>0</v>
      </c>
      <c r="AN117" s="369">
        <f t="shared" ca="1" si="65"/>
        <v>0</v>
      </c>
      <c r="AO117" s="369">
        <f t="shared" ref="AO117:AT126" ca="1" si="66">IF($AH117&lt;&gt;0,INDEX(PxTxPhase2Adj,$AH117,AO$114),0)</f>
        <v>0</v>
      </c>
      <c r="AP117" s="369">
        <f t="shared" ca="1" si="66"/>
        <v>0</v>
      </c>
      <c r="AQ117" s="369">
        <f t="shared" ca="1" si="66"/>
        <v>0</v>
      </c>
      <c r="AR117" s="369">
        <f t="shared" ca="1" si="66"/>
        <v>0</v>
      </c>
      <c r="AS117" s="369">
        <f t="shared" ca="1" si="66"/>
        <v>0</v>
      </c>
      <c r="AT117" s="369">
        <f t="shared" ca="1" si="66"/>
        <v>0</v>
      </c>
    </row>
    <row r="118" spans="1:46" hidden="1" outlineLevel="1" x14ac:dyDescent="0.2">
      <c r="A118" s="348"/>
      <c r="B118" s="348"/>
      <c r="C118" s="348"/>
      <c r="D118" s="52">
        <v>2</v>
      </c>
      <c r="E118" s="79"/>
      <c r="F118" s="599"/>
      <c r="G118" s="600"/>
      <c r="H118" s="601"/>
      <c r="I118" s="70"/>
      <c r="J118" s="133"/>
      <c r="K118" s="42"/>
      <c r="L118" s="134"/>
      <c r="M118" s="70"/>
      <c r="N118" s="208"/>
      <c r="O118" s="135" t="str">
        <f t="shared" ref="O118:O136" si="67">IF(AND(K118&lt;&gt;"",N118&lt;&gt;"",K118&lt;&gt;0,N118&lt;&gt;0),L118/(K118/N118)*J118,"")</f>
        <v/>
      </c>
      <c r="P118" s="133"/>
      <c r="Q118" s="613"/>
      <c r="R118" s="613"/>
      <c r="S118" s="613"/>
      <c r="T118" s="613"/>
      <c r="U118" s="613"/>
      <c r="W118" s="542" t="str">
        <f t="shared" ref="W118:W136" si="68">IF(AND(E118&lt;&gt;"",R118&lt;&gt;""),IF(INDEX(PxTxPhase1Adj,AH118,7)=1,VLOOKUP("ExtendTxPop",WarningMessages,2,FALSE),""),"")</f>
        <v/>
      </c>
      <c r="X118" s="542"/>
      <c r="Y118" s="542"/>
      <c r="AF118" s="65" t="str">
        <f t="shared" si="62"/>
        <v>** NOT USED **</v>
      </c>
      <c r="AG118" s="346" t="str">
        <f t="shared" si="63"/>
        <v/>
      </c>
      <c r="AH118" s="347">
        <f t="shared" ca="1" si="64"/>
        <v>0</v>
      </c>
      <c r="AI118" s="369">
        <f t="shared" ca="1" si="65"/>
        <v>0</v>
      </c>
      <c r="AJ118" s="369">
        <f t="shared" ca="1" si="65"/>
        <v>0</v>
      </c>
      <c r="AK118" s="369">
        <f t="shared" ca="1" si="65"/>
        <v>0</v>
      </c>
      <c r="AL118" s="369">
        <f t="shared" ca="1" si="65"/>
        <v>0</v>
      </c>
      <c r="AM118" s="369">
        <f t="shared" ca="1" si="65"/>
        <v>0</v>
      </c>
      <c r="AN118" s="369">
        <f t="shared" ca="1" si="65"/>
        <v>0</v>
      </c>
      <c r="AO118" s="369">
        <f t="shared" ca="1" si="66"/>
        <v>0</v>
      </c>
      <c r="AP118" s="369">
        <f t="shared" ca="1" si="66"/>
        <v>0</v>
      </c>
      <c r="AQ118" s="369">
        <f t="shared" ca="1" si="66"/>
        <v>0</v>
      </c>
      <c r="AR118" s="369">
        <f t="shared" ca="1" si="66"/>
        <v>0</v>
      </c>
      <c r="AS118" s="369">
        <f t="shared" ca="1" si="66"/>
        <v>0</v>
      </c>
      <c r="AT118" s="369">
        <f t="shared" ca="1" si="66"/>
        <v>0</v>
      </c>
    </row>
    <row r="119" spans="1:46" hidden="1" outlineLevel="1" x14ac:dyDescent="0.2">
      <c r="A119" s="348"/>
      <c r="B119" s="348"/>
      <c r="C119" s="348"/>
      <c r="D119" s="52">
        <v>3</v>
      </c>
      <c r="E119" s="79"/>
      <c r="F119" s="599"/>
      <c r="G119" s="600"/>
      <c r="H119" s="601"/>
      <c r="I119" s="70"/>
      <c r="J119" s="50"/>
      <c r="K119" s="42"/>
      <c r="L119" s="134"/>
      <c r="M119" s="70"/>
      <c r="N119" s="208"/>
      <c r="O119" s="135" t="str">
        <f t="shared" si="67"/>
        <v/>
      </c>
      <c r="P119" s="133"/>
      <c r="Q119" s="613"/>
      <c r="R119" s="613"/>
      <c r="S119" s="613"/>
      <c r="T119" s="613"/>
      <c r="U119" s="613"/>
      <c r="W119" s="542" t="str">
        <f t="shared" si="68"/>
        <v/>
      </c>
      <c r="X119" s="542"/>
      <c r="Y119" s="542"/>
      <c r="AF119" s="65" t="str">
        <f t="shared" si="62"/>
        <v>** NOT USED **</v>
      </c>
      <c r="AG119" s="346" t="str">
        <f t="shared" si="63"/>
        <v/>
      </c>
      <c r="AH119" s="347">
        <f t="shared" ca="1" si="64"/>
        <v>0</v>
      </c>
      <c r="AI119" s="369">
        <f t="shared" ca="1" si="65"/>
        <v>0</v>
      </c>
      <c r="AJ119" s="369">
        <f t="shared" ca="1" si="65"/>
        <v>0</v>
      </c>
      <c r="AK119" s="369">
        <f t="shared" ca="1" si="65"/>
        <v>0</v>
      </c>
      <c r="AL119" s="369">
        <f t="shared" ca="1" si="65"/>
        <v>0</v>
      </c>
      <c r="AM119" s="369">
        <f t="shared" ca="1" si="65"/>
        <v>0</v>
      </c>
      <c r="AN119" s="369">
        <f t="shared" ca="1" si="65"/>
        <v>0</v>
      </c>
      <c r="AO119" s="369">
        <f t="shared" ca="1" si="66"/>
        <v>0</v>
      </c>
      <c r="AP119" s="369">
        <f t="shared" ca="1" si="66"/>
        <v>0</v>
      </c>
      <c r="AQ119" s="369">
        <f t="shared" ca="1" si="66"/>
        <v>0</v>
      </c>
      <c r="AR119" s="369">
        <f t="shared" ca="1" si="66"/>
        <v>0</v>
      </c>
      <c r="AS119" s="369">
        <f t="shared" ca="1" si="66"/>
        <v>0</v>
      </c>
      <c r="AT119" s="369">
        <f t="shared" ca="1" si="66"/>
        <v>0</v>
      </c>
    </row>
    <row r="120" spans="1:46" hidden="1" outlineLevel="1" x14ac:dyDescent="0.2">
      <c r="A120" s="348"/>
      <c r="B120" s="348"/>
      <c r="C120" s="348"/>
      <c r="D120" s="52">
        <v>4</v>
      </c>
      <c r="E120" s="79"/>
      <c r="F120" s="599"/>
      <c r="G120" s="600"/>
      <c r="H120" s="601"/>
      <c r="I120" s="70"/>
      <c r="J120" s="133"/>
      <c r="K120" s="42"/>
      <c r="L120" s="134"/>
      <c r="M120" s="70"/>
      <c r="N120" s="208"/>
      <c r="O120" s="135" t="str">
        <f t="shared" si="67"/>
        <v/>
      </c>
      <c r="P120" s="133"/>
      <c r="Q120" s="613"/>
      <c r="R120" s="613"/>
      <c r="S120" s="613"/>
      <c r="T120" s="613"/>
      <c r="U120" s="613"/>
      <c r="W120" s="542" t="str">
        <f t="shared" si="68"/>
        <v/>
      </c>
      <c r="X120" s="542"/>
      <c r="Y120" s="542"/>
      <c r="AF120" s="65" t="str">
        <f t="shared" si="62"/>
        <v>** NOT USED **</v>
      </c>
      <c r="AG120" s="346" t="str">
        <f t="shared" si="63"/>
        <v/>
      </c>
      <c r="AH120" s="347">
        <f t="shared" ca="1" si="64"/>
        <v>0</v>
      </c>
      <c r="AI120" s="369">
        <f t="shared" ca="1" si="65"/>
        <v>0</v>
      </c>
      <c r="AJ120" s="369">
        <f t="shared" ca="1" si="65"/>
        <v>0</v>
      </c>
      <c r="AK120" s="369">
        <f t="shared" ca="1" si="65"/>
        <v>0</v>
      </c>
      <c r="AL120" s="369">
        <f t="shared" ca="1" si="65"/>
        <v>0</v>
      </c>
      <c r="AM120" s="369">
        <f t="shared" ca="1" si="65"/>
        <v>0</v>
      </c>
      <c r="AN120" s="369">
        <f t="shared" ca="1" si="65"/>
        <v>0</v>
      </c>
      <c r="AO120" s="369">
        <f t="shared" ca="1" si="66"/>
        <v>0</v>
      </c>
      <c r="AP120" s="369">
        <f t="shared" ca="1" si="66"/>
        <v>0</v>
      </c>
      <c r="AQ120" s="369">
        <f t="shared" ca="1" si="66"/>
        <v>0</v>
      </c>
      <c r="AR120" s="369">
        <f t="shared" ca="1" si="66"/>
        <v>0</v>
      </c>
      <c r="AS120" s="369">
        <f t="shared" ca="1" si="66"/>
        <v>0</v>
      </c>
      <c r="AT120" s="369">
        <f t="shared" ca="1" si="66"/>
        <v>0</v>
      </c>
    </row>
    <row r="121" spans="1:46" hidden="1" outlineLevel="1" x14ac:dyDescent="0.2">
      <c r="A121" s="348"/>
      <c r="B121" s="348"/>
      <c r="C121" s="348"/>
      <c r="D121" s="52">
        <v>5</v>
      </c>
      <c r="E121" s="79"/>
      <c r="F121" s="599"/>
      <c r="G121" s="600"/>
      <c r="H121" s="601"/>
      <c r="I121" s="70"/>
      <c r="J121" s="133"/>
      <c r="K121" s="42"/>
      <c r="L121" s="134"/>
      <c r="M121" s="70"/>
      <c r="N121" s="208"/>
      <c r="O121" s="135" t="str">
        <f t="shared" si="67"/>
        <v/>
      </c>
      <c r="P121" s="133"/>
      <c r="Q121" s="613"/>
      <c r="R121" s="613"/>
      <c r="S121" s="613"/>
      <c r="T121" s="613"/>
      <c r="U121" s="613"/>
      <c r="W121" s="542" t="str">
        <f t="shared" si="68"/>
        <v/>
      </c>
      <c r="X121" s="542"/>
      <c r="Y121" s="542"/>
      <c r="AF121" s="65" t="str">
        <f t="shared" si="62"/>
        <v>** NOT USED **</v>
      </c>
      <c r="AG121" s="346" t="str">
        <f t="shared" si="63"/>
        <v/>
      </c>
      <c r="AH121" s="347">
        <f t="shared" ca="1" si="64"/>
        <v>0</v>
      </c>
      <c r="AI121" s="369">
        <f t="shared" ca="1" si="65"/>
        <v>0</v>
      </c>
      <c r="AJ121" s="369">
        <f t="shared" ca="1" si="65"/>
        <v>0</v>
      </c>
      <c r="AK121" s="369">
        <f t="shared" ca="1" si="65"/>
        <v>0</v>
      </c>
      <c r="AL121" s="369">
        <f t="shared" ca="1" si="65"/>
        <v>0</v>
      </c>
      <c r="AM121" s="369">
        <f t="shared" ca="1" si="65"/>
        <v>0</v>
      </c>
      <c r="AN121" s="369">
        <f t="shared" ca="1" si="65"/>
        <v>0</v>
      </c>
      <c r="AO121" s="369">
        <f t="shared" ca="1" si="66"/>
        <v>0</v>
      </c>
      <c r="AP121" s="369">
        <f t="shared" ca="1" si="66"/>
        <v>0</v>
      </c>
      <c r="AQ121" s="369">
        <f t="shared" ca="1" si="66"/>
        <v>0</v>
      </c>
      <c r="AR121" s="369">
        <f t="shared" ca="1" si="66"/>
        <v>0</v>
      </c>
      <c r="AS121" s="369">
        <f t="shared" ca="1" si="66"/>
        <v>0</v>
      </c>
      <c r="AT121" s="369">
        <f t="shared" ca="1" si="66"/>
        <v>0</v>
      </c>
    </row>
    <row r="122" spans="1:46" hidden="1" outlineLevel="1" x14ac:dyDescent="0.2">
      <c r="A122" s="348"/>
      <c r="B122" s="348"/>
      <c r="C122" s="348"/>
      <c r="D122" s="52">
        <v>6</v>
      </c>
      <c r="E122" s="79"/>
      <c r="F122" s="599"/>
      <c r="G122" s="600"/>
      <c r="H122" s="601"/>
      <c r="I122" s="70"/>
      <c r="J122" s="133"/>
      <c r="K122" s="42"/>
      <c r="L122" s="134"/>
      <c r="M122" s="70"/>
      <c r="N122" s="208"/>
      <c r="O122" s="135" t="str">
        <f t="shared" si="67"/>
        <v/>
      </c>
      <c r="P122" s="321"/>
      <c r="Q122" s="613"/>
      <c r="R122" s="613"/>
      <c r="S122" s="613"/>
      <c r="T122" s="613"/>
      <c r="U122" s="613"/>
      <c r="W122" s="542" t="str">
        <f t="shared" si="68"/>
        <v/>
      </c>
      <c r="X122" s="542"/>
      <c r="Y122" s="542"/>
      <c r="AF122" s="65" t="str">
        <f t="shared" si="62"/>
        <v>** NOT USED **</v>
      </c>
      <c r="AG122" s="346" t="str">
        <f t="shared" si="63"/>
        <v/>
      </c>
      <c r="AH122" s="347">
        <f t="shared" ca="1" si="64"/>
        <v>0</v>
      </c>
      <c r="AI122" s="369">
        <f t="shared" ca="1" si="65"/>
        <v>0</v>
      </c>
      <c r="AJ122" s="369">
        <f t="shared" ca="1" si="65"/>
        <v>0</v>
      </c>
      <c r="AK122" s="369">
        <f t="shared" ca="1" si="65"/>
        <v>0</v>
      </c>
      <c r="AL122" s="369">
        <f t="shared" ca="1" si="65"/>
        <v>0</v>
      </c>
      <c r="AM122" s="369">
        <f t="shared" ca="1" si="65"/>
        <v>0</v>
      </c>
      <c r="AN122" s="369">
        <f t="shared" ca="1" si="65"/>
        <v>0</v>
      </c>
      <c r="AO122" s="369">
        <f t="shared" ca="1" si="66"/>
        <v>0</v>
      </c>
      <c r="AP122" s="369">
        <f t="shared" ca="1" si="66"/>
        <v>0</v>
      </c>
      <c r="AQ122" s="369">
        <f t="shared" ca="1" si="66"/>
        <v>0</v>
      </c>
      <c r="AR122" s="369">
        <f t="shared" ca="1" si="66"/>
        <v>0</v>
      </c>
      <c r="AS122" s="369">
        <f t="shared" ca="1" si="66"/>
        <v>0</v>
      </c>
      <c r="AT122" s="369">
        <f t="shared" ca="1" si="66"/>
        <v>0</v>
      </c>
    </row>
    <row r="123" spans="1:46" hidden="1" outlineLevel="1" x14ac:dyDescent="0.2">
      <c r="A123" s="348"/>
      <c r="B123" s="348"/>
      <c r="C123" s="348"/>
      <c r="D123" s="52">
        <v>7</v>
      </c>
      <c r="E123" s="79"/>
      <c r="F123" s="599"/>
      <c r="G123" s="600"/>
      <c r="H123" s="601"/>
      <c r="I123" s="70"/>
      <c r="J123" s="133"/>
      <c r="K123" s="42"/>
      <c r="L123" s="134"/>
      <c r="M123" s="70"/>
      <c r="N123" s="208"/>
      <c r="O123" s="135" t="str">
        <f t="shared" si="67"/>
        <v/>
      </c>
      <c r="P123" s="133"/>
      <c r="Q123" s="613"/>
      <c r="R123" s="613"/>
      <c r="S123" s="613"/>
      <c r="T123" s="613"/>
      <c r="U123" s="613"/>
      <c r="W123" s="542" t="str">
        <f t="shared" si="68"/>
        <v/>
      </c>
      <c r="X123" s="542"/>
      <c r="Y123" s="542"/>
      <c r="AF123" s="65" t="str">
        <f t="shared" si="62"/>
        <v>** NOT USED **</v>
      </c>
      <c r="AG123" s="346" t="str">
        <f t="shared" si="63"/>
        <v/>
      </c>
      <c r="AH123" s="347">
        <f t="shared" ca="1" si="64"/>
        <v>0</v>
      </c>
      <c r="AI123" s="369">
        <f t="shared" ca="1" si="65"/>
        <v>0</v>
      </c>
      <c r="AJ123" s="369">
        <f t="shared" ca="1" si="65"/>
        <v>0</v>
      </c>
      <c r="AK123" s="369">
        <f t="shared" ca="1" si="65"/>
        <v>0</v>
      </c>
      <c r="AL123" s="369">
        <f t="shared" ca="1" si="65"/>
        <v>0</v>
      </c>
      <c r="AM123" s="369">
        <f t="shared" ca="1" si="65"/>
        <v>0</v>
      </c>
      <c r="AN123" s="369">
        <f t="shared" ca="1" si="65"/>
        <v>0</v>
      </c>
      <c r="AO123" s="369">
        <f t="shared" ca="1" si="66"/>
        <v>0</v>
      </c>
      <c r="AP123" s="369">
        <f t="shared" ca="1" si="66"/>
        <v>0</v>
      </c>
      <c r="AQ123" s="369">
        <f t="shared" ca="1" si="66"/>
        <v>0</v>
      </c>
      <c r="AR123" s="369">
        <f t="shared" ca="1" si="66"/>
        <v>0</v>
      </c>
      <c r="AS123" s="369">
        <f t="shared" ca="1" si="66"/>
        <v>0</v>
      </c>
      <c r="AT123" s="369">
        <f t="shared" ca="1" si="66"/>
        <v>0</v>
      </c>
    </row>
    <row r="124" spans="1:46" ht="14.25" hidden="1" customHeight="1" outlineLevel="1" x14ac:dyDescent="0.2">
      <c r="A124" s="348"/>
      <c r="B124" s="348"/>
      <c r="C124" s="348"/>
      <c r="D124" s="52">
        <v>8</v>
      </c>
      <c r="E124" s="79"/>
      <c r="F124" s="599"/>
      <c r="G124" s="600"/>
      <c r="H124" s="601"/>
      <c r="I124" s="70"/>
      <c r="J124" s="133"/>
      <c r="K124" s="42"/>
      <c r="L124" s="134"/>
      <c r="M124" s="70"/>
      <c r="N124" s="208"/>
      <c r="O124" s="135" t="str">
        <f t="shared" si="67"/>
        <v/>
      </c>
      <c r="P124" s="133"/>
      <c r="Q124" s="613"/>
      <c r="R124" s="613"/>
      <c r="S124" s="613"/>
      <c r="T124" s="613"/>
      <c r="U124" s="613"/>
      <c r="W124" s="542" t="str">
        <f t="shared" si="68"/>
        <v/>
      </c>
      <c r="X124" s="542"/>
      <c r="Y124" s="542"/>
      <c r="AF124" s="65" t="str">
        <f t="shared" si="62"/>
        <v>** NOT USED **</v>
      </c>
      <c r="AG124" s="346" t="str">
        <f t="shared" si="63"/>
        <v/>
      </c>
      <c r="AH124" s="347">
        <f t="shared" ca="1" si="64"/>
        <v>0</v>
      </c>
      <c r="AI124" s="369">
        <f t="shared" ca="1" si="65"/>
        <v>0</v>
      </c>
      <c r="AJ124" s="369">
        <f t="shared" ca="1" si="65"/>
        <v>0</v>
      </c>
      <c r="AK124" s="369">
        <f t="shared" ca="1" si="65"/>
        <v>0</v>
      </c>
      <c r="AL124" s="369">
        <f t="shared" ca="1" si="65"/>
        <v>0</v>
      </c>
      <c r="AM124" s="369">
        <f t="shared" ca="1" si="65"/>
        <v>0</v>
      </c>
      <c r="AN124" s="369">
        <f t="shared" ca="1" si="65"/>
        <v>0</v>
      </c>
      <c r="AO124" s="369">
        <f t="shared" ca="1" si="66"/>
        <v>0</v>
      </c>
      <c r="AP124" s="369">
        <f t="shared" ca="1" si="66"/>
        <v>0</v>
      </c>
      <c r="AQ124" s="369">
        <f t="shared" ca="1" si="66"/>
        <v>0</v>
      </c>
      <c r="AR124" s="369">
        <f t="shared" ca="1" si="66"/>
        <v>0</v>
      </c>
      <c r="AS124" s="369">
        <f t="shared" ca="1" si="66"/>
        <v>0</v>
      </c>
      <c r="AT124" s="369">
        <f t="shared" ca="1" si="66"/>
        <v>0</v>
      </c>
    </row>
    <row r="125" spans="1:46" hidden="1" outlineLevel="1" x14ac:dyDescent="0.2">
      <c r="A125" s="348"/>
      <c r="B125" s="348"/>
      <c r="C125" s="348"/>
      <c r="D125" s="52">
        <v>9</v>
      </c>
      <c r="E125" s="79"/>
      <c r="F125" s="599"/>
      <c r="G125" s="600"/>
      <c r="H125" s="601"/>
      <c r="I125" s="70"/>
      <c r="J125" s="133"/>
      <c r="K125" s="42"/>
      <c r="L125" s="134"/>
      <c r="M125" s="70"/>
      <c r="N125" s="208"/>
      <c r="O125" s="135" t="str">
        <f t="shared" si="67"/>
        <v/>
      </c>
      <c r="P125" s="133"/>
      <c r="Q125" s="613"/>
      <c r="R125" s="613"/>
      <c r="S125" s="613"/>
      <c r="T125" s="613"/>
      <c r="U125" s="613"/>
      <c r="W125" s="542" t="str">
        <f t="shared" si="68"/>
        <v/>
      </c>
      <c r="X125" s="542"/>
      <c r="Y125" s="542"/>
      <c r="AF125" s="65" t="str">
        <f t="shared" si="62"/>
        <v>** NOT USED **</v>
      </c>
      <c r="AG125" s="346" t="str">
        <f t="shared" si="63"/>
        <v/>
      </c>
      <c r="AH125" s="347">
        <f t="shared" ca="1" si="64"/>
        <v>0</v>
      </c>
      <c r="AI125" s="369">
        <f t="shared" ca="1" si="65"/>
        <v>0</v>
      </c>
      <c r="AJ125" s="369">
        <f t="shared" ca="1" si="65"/>
        <v>0</v>
      </c>
      <c r="AK125" s="369">
        <f t="shared" ca="1" si="65"/>
        <v>0</v>
      </c>
      <c r="AL125" s="369">
        <f t="shared" ca="1" si="65"/>
        <v>0</v>
      </c>
      <c r="AM125" s="369">
        <f t="shared" ca="1" si="65"/>
        <v>0</v>
      </c>
      <c r="AN125" s="369">
        <f t="shared" ca="1" si="65"/>
        <v>0</v>
      </c>
      <c r="AO125" s="369">
        <f t="shared" ca="1" si="66"/>
        <v>0</v>
      </c>
      <c r="AP125" s="369">
        <f t="shared" ca="1" si="66"/>
        <v>0</v>
      </c>
      <c r="AQ125" s="369">
        <f t="shared" ca="1" si="66"/>
        <v>0</v>
      </c>
      <c r="AR125" s="369">
        <f t="shared" ca="1" si="66"/>
        <v>0</v>
      </c>
      <c r="AS125" s="369">
        <f t="shared" ca="1" si="66"/>
        <v>0</v>
      </c>
      <c r="AT125" s="369">
        <f t="shared" ca="1" si="66"/>
        <v>0</v>
      </c>
    </row>
    <row r="126" spans="1:46" hidden="1" outlineLevel="1" x14ac:dyDescent="0.2">
      <c r="A126" s="348"/>
      <c r="B126" s="348"/>
      <c r="C126" s="348"/>
      <c r="D126" s="52">
        <v>10</v>
      </c>
      <c r="E126" s="79"/>
      <c r="F126" s="599"/>
      <c r="G126" s="600"/>
      <c r="H126" s="601"/>
      <c r="I126" s="70"/>
      <c r="J126" s="133"/>
      <c r="K126" s="42"/>
      <c r="L126" s="134"/>
      <c r="M126" s="70"/>
      <c r="N126" s="208"/>
      <c r="O126" s="135" t="str">
        <f t="shared" si="67"/>
        <v/>
      </c>
      <c r="P126" s="133"/>
      <c r="Q126" s="613"/>
      <c r="R126" s="613"/>
      <c r="S126" s="613"/>
      <c r="T126" s="613"/>
      <c r="U126" s="613"/>
      <c r="W126" s="542" t="str">
        <f t="shared" si="68"/>
        <v/>
      </c>
      <c r="X126" s="542"/>
      <c r="Y126" s="542"/>
      <c r="AF126" s="65" t="str">
        <f t="shared" si="62"/>
        <v>** NOT USED **</v>
      </c>
      <c r="AG126" s="346" t="str">
        <f t="shared" si="63"/>
        <v/>
      </c>
      <c r="AH126" s="347">
        <f t="shared" ca="1" si="64"/>
        <v>0</v>
      </c>
      <c r="AI126" s="369">
        <f t="shared" ca="1" si="65"/>
        <v>0</v>
      </c>
      <c r="AJ126" s="369">
        <f t="shared" ca="1" si="65"/>
        <v>0</v>
      </c>
      <c r="AK126" s="369">
        <f t="shared" ca="1" si="65"/>
        <v>0</v>
      </c>
      <c r="AL126" s="369">
        <f t="shared" ca="1" si="65"/>
        <v>0</v>
      </c>
      <c r="AM126" s="369">
        <f t="shared" ca="1" si="65"/>
        <v>0</v>
      </c>
      <c r="AN126" s="369">
        <f t="shared" ca="1" si="65"/>
        <v>0</v>
      </c>
      <c r="AO126" s="369">
        <f t="shared" ca="1" si="66"/>
        <v>0</v>
      </c>
      <c r="AP126" s="369">
        <f t="shared" ca="1" si="66"/>
        <v>0</v>
      </c>
      <c r="AQ126" s="369">
        <f t="shared" ca="1" si="66"/>
        <v>0</v>
      </c>
      <c r="AR126" s="369">
        <f t="shared" ca="1" si="66"/>
        <v>0</v>
      </c>
      <c r="AS126" s="369">
        <f t="shared" ca="1" si="66"/>
        <v>0</v>
      </c>
      <c r="AT126" s="369">
        <f t="shared" ca="1" si="66"/>
        <v>0</v>
      </c>
    </row>
    <row r="127" spans="1:46" hidden="1" outlineLevel="1" x14ac:dyDescent="0.2">
      <c r="A127" s="348"/>
      <c r="B127" s="348"/>
      <c r="C127" s="348"/>
      <c r="D127" s="52">
        <v>11</v>
      </c>
      <c r="E127" s="79"/>
      <c r="F127" s="599"/>
      <c r="G127" s="600"/>
      <c r="H127" s="601"/>
      <c r="I127" s="70"/>
      <c r="J127" s="133"/>
      <c r="K127" s="42"/>
      <c r="L127" s="134"/>
      <c r="M127" s="70"/>
      <c r="N127" s="208"/>
      <c r="O127" s="135" t="str">
        <f t="shared" si="67"/>
        <v/>
      </c>
      <c r="P127" s="133"/>
      <c r="Q127" s="613"/>
      <c r="R127" s="613"/>
      <c r="S127" s="613"/>
      <c r="T127" s="613"/>
      <c r="U127" s="613"/>
      <c r="W127" s="542" t="str">
        <f t="shared" si="68"/>
        <v/>
      </c>
      <c r="X127" s="542"/>
      <c r="Y127" s="542"/>
      <c r="AF127" s="65" t="str">
        <f t="shared" si="62"/>
        <v>** NOT USED **</v>
      </c>
      <c r="AG127" s="346" t="str">
        <f t="shared" si="63"/>
        <v/>
      </c>
      <c r="AH127" s="347">
        <f t="shared" ca="1" si="64"/>
        <v>0</v>
      </c>
      <c r="AI127" s="369">
        <f t="shared" ref="AI127:AN136" ca="1" si="69">IF($AH127&lt;&gt;0,INDEX(PxTxPhase1Adj,$AH127,AI$114),0)</f>
        <v>0</v>
      </c>
      <c r="AJ127" s="369">
        <f t="shared" ca="1" si="69"/>
        <v>0</v>
      </c>
      <c r="AK127" s="369">
        <f t="shared" ca="1" si="69"/>
        <v>0</v>
      </c>
      <c r="AL127" s="369">
        <f t="shared" ca="1" si="69"/>
        <v>0</v>
      </c>
      <c r="AM127" s="369">
        <f t="shared" ca="1" si="69"/>
        <v>0</v>
      </c>
      <c r="AN127" s="369">
        <f t="shared" ca="1" si="69"/>
        <v>0</v>
      </c>
      <c r="AO127" s="369">
        <f t="shared" ref="AO127:AT136" ca="1" si="70">IF($AH127&lt;&gt;0,INDEX(PxTxPhase2Adj,$AH127,AO$114),0)</f>
        <v>0</v>
      </c>
      <c r="AP127" s="369">
        <f t="shared" ca="1" si="70"/>
        <v>0</v>
      </c>
      <c r="AQ127" s="369">
        <f t="shared" ca="1" si="70"/>
        <v>0</v>
      </c>
      <c r="AR127" s="369">
        <f t="shared" ca="1" si="70"/>
        <v>0</v>
      </c>
      <c r="AS127" s="369">
        <f t="shared" ca="1" si="70"/>
        <v>0</v>
      </c>
      <c r="AT127" s="369">
        <f t="shared" ca="1" si="70"/>
        <v>0</v>
      </c>
    </row>
    <row r="128" spans="1:46" hidden="1" outlineLevel="1" x14ac:dyDescent="0.2">
      <c r="A128" s="348"/>
      <c r="B128" s="348"/>
      <c r="C128" s="348"/>
      <c r="D128" s="52">
        <v>12</v>
      </c>
      <c r="E128" s="79"/>
      <c r="F128" s="599"/>
      <c r="G128" s="600"/>
      <c r="H128" s="601"/>
      <c r="I128" s="70"/>
      <c r="J128" s="133"/>
      <c r="K128" s="42"/>
      <c r="L128" s="134"/>
      <c r="M128" s="70"/>
      <c r="N128" s="208"/>
      <c r="O128" s="135" t="str">
        <f t="shared" si="67"/>
        <v/>
      </c>
      <c r="P128" s="133"/>
      <c r="Q128" s="613"/>
      <c r="R128" s="613"/>
      <c r="S128" s="613"/>
      <c r="T128" s="613"/>
      <c r="U128" s="613"/>
      <c r="W128" s="542" t="str">
        <f t="shared" si="68"/>
        <v/>
      </c>
      <c r="X128" s="542"/>
      <c r="Y128" s="542"/>
      <c r="AF128" s="65" t="str">
        <f t="shared" si="62"/>
        <v>** NOT USED **</v>
      </c>
      <c r="AG128" s="346" t="str">
        <f t="shared" si="63"/>
        <v/>
      </c>
      <c r="AH128" s="347">
        <f t="shared" ca="1" si="64"/>
        <v>0</v>
      </c>
      <c r="AI128" s="369">
        <f t="shared" ca="1" si="69"/>
        <v>0</v>
      </c>
      <c r="AJ128" s="369">
        <f t="shared" ca="1" si="69"/>
        <v>0</v>
      </c>
      <c r="AK128" s="369">
        <f t="shared" ca="1" si="69"/>
        <v>0</v>
      </c>
      <c r="AL128" s="369">
        <f t="shared" ca="1" si="69"/>
        <v>0</v>
      </c>
      <c r="AM128" s="369">
        <f t="shared" ca="1" si="69"/>
        <v>0</v>
      </c>
      <c r="AN128" s="369">
        <f t="shared" ca="1" si="69"/>
        <v>0</v>
      </c>
      <c r="AO128" s="369">
        <f t="shared" ca="1" si="70"/>
        <v>0</v>
      </c>
      <c r="AP128" s="369">
        <f t="shared" ca="1" si="70"/>
        <v>0</v>
      </c>
      <c r="AQ128" s="369">
        <f t="shared" ca="1" si="70"/>
        <v>0</v>
      </c>
      <c r="AR128" s="369">
        <f t="shared" ca="1" si="70"/>
        <v>0</v>
      </c>
      <c r="AS128" s="369">
        <f t="shared" ca="1" si="70"/>
        <v>0</v>
      </c>
      <c r="AT128" s="369">
        <f t="shared" ca="1" si="70"/>
        <v>0</v>
      </c>
    </row>
    <row r="129" spans="1:46" hidden="1" outlineLevel="1" x14ac:dyDescent="0.2">
      <c r="A129" s="348"/>
      <c r="B129" s="348"/>
      <c r="C129" s="348"/>
      <c r="D129" s="52">
        <v>13</v>
      </c>
      <c r="E129" s="79"/>
      <c r="F129" s="599"/>
      <c r="G129" s="600"/>
      <c r="H129" s="601"/>
      <c r="I129" s="70"/>
      <c r="J129" s="133"/>
      <c r="K129" s="42"/>
      <c r="L129" s="134"/>
      <c r="M129" s="70"/>
      <c r="N129" s="208"/>
      <c r="O129" s="135" t="str">
        <f t="shared" si="67"/>
        <v/>
      </c>
      <c r="P129" s="133"/>
      <c r="Q129" s="613"/>
      <c r="R129" s="613"/>
      <c r="S129" s="613"/>
      <c r="T129" s="613"/>
      <c r="U129" s="613"/>
      <c r="W129" s="542" t="str">
        <f t="shared" si="68"/>
        <v/>
      </c>
      <c r="X129" s="542"/>
      <c r="Y129" s="542"/>
      <c r="AF129" s="65" t="str">
        <f t="shared" si="62"/>
        <v>** NOT USED **</v>
      </c>
      <c r="AG129" s="346" t="str">
        <f t="shared" si="63"/>
        <v/>
      </c>
      <c r="AH129" s="347">
        <f t="shared" ca="1" si="64"/>
        <v>0</v>
      </c>
      <c r="AI129" s="369">
        <f t="shared" ca="1" si="69"/>
        <v>0</v>
      </c>
      <c r="AJ129" s="369">
        <f t="shared" ca="1" si="69"/>
        <v>0</v>
      </c>
      <c r="AK129" s="369">
        <f t="shared" ca="1" si="69"/>
        <v>0</v>
      </c>
      <c r="AL129" s="369">
        <f t="shared" ca="1" si="69"/>
        <v>0</v>
      </c>
      <c r="AM129" s="369">
        <f t="shared" ca="1" si="69"/>
        <v>0</v>
      </c>
      <c r="AN129" s="369">
        <f t="shared" ca="1" si="69"/>
        <v>0</v>
      </c>
      <c r="AO129" s="369">
        <f t="shared" ca="1" si="70"/>
        <v>0</v>
      </c>
      <c r="AP129" s="369">
        <f t="shared" ca="1" si="70"/>
        <v>0</v>
      </c>
      <c r="AQ129" s="369">
        <f t="shared" ca="1" si="70"/>
        <v>0</v>
      </c>
      <c r="AR129" s="369">
        <f t="shared" ca="1" si="70"/>
        <v>0</v>
      </c>
      <c r="AS129" s="369">
        <f t="shared" ca="1" si="70"/>
        <v>0</v>
      </c>
      <c r="AT129" s="369">
        <f t="shared" ca="1" si="70"/>
        <v>0</v>
      </c>
    </row>
    <row r="130" spans="1:46" hidden="1" outlineLevel="1" x14ac:dyDescent="0.2">
      <c r="A130" s="348"/>
      <c r="B130" s="348"/>
      <c r="C130" s="348"/>
      <c r="D130" s="52">
        <v>14</v>
      </c>
      <c r="E130" s="79"/>
      <c r="F130" s="599"/>
      <c r="G130" s="600"/>
      <c r="H130" s="601"/>
      <c r="I130" s="70"/>
      <c r="J130" s="133"/>
      <c r="K130" s="42"/>
      <c r="L130" s="134"/>
      <c r="M130" s="70"/>
      <c r="N130" s="208"/>
      <c r="O130" s="135" t="str">
        <f t="shared" si="67"/>
        <v/>
      </c>
      <c r="P130" s="133"/>
      <c r="Q130" s="613"/>
      <c r="R130" s="613"/>
      <c r="S130" s="613"/>
      <c r="T130" s="613"/>
      <c r="U130" s="613"/>
      <c r="W130" s="542" t="str">
        <f t="shared" si="68"/>
        <v/>
      </c>
      <c r="X130" s="542"/>
      <c r="Y130" s="542"/>
      <c r="AF130" s="65" t="str">
        <f t="shared" si="62"/>
        <v>** NOT USED **</v>
      </c>
      <c r="AG130" s="346" t="str">
        <f t="shared" si="63"/>
        <v/>
      </c>
      <c r="AH130" s="347">
        <f t="shared" ca="1" si="64"/>
        <v>0</v>
      </c>
      <c r="AI130" s="369">
        <f t="shared" ca="1" si="69"/>
        <v>0</v>
      </c>
      <c r="AJ130" s="369">
        <f t="shared" ca="1" si="69"/>
        <v>0</v>
      </c>
      <c r="AK130" s="369">
        <f t="shared" ca="1" si="69"/>
        <v>0</v>
      </c>
      <c r="AL130" s="369">
        <f t="shared" ca="1" si="69"/>
        <v>0</v>
      </c>
      <c r="AM130" s="369">
        <f t="shared" ca="1" si="69"/>
        <v>0</v>
      </c>
      <c r="AN130" s="369">
        <f t="shared" ca="1" si="69"/>
        <v>0</v>
      </c>
      <c r="AO130" s="369">
        <f t="shared" ca="1" si="70"/>
        <v>0</v>
      </c>
      <c r="AP130" s="369">
        <f t="shared" ca="1" si="70"/>
        <v>0</v>
      </c>
      <c r="AQ130" s="369">
        <f t="shared" ca="1" si="70"/>
        <v>0</v>
      </c>
      <c r="AR130" s="369">
        <f t="shared" ca="1" si="70"/>
        <v>0</v>
      </c>
      <c r="AS130" s="369">
        <f t="shared" ca="1" si="70"/>
        <v>0</v>
      </c>
      <c r="AT130" s="369">
        <f t="shared" ca="1" si="70"/>
        <v>0</v>
      </c>
    </row>
    <row r="131" spans="1:46" hidden="1" outlineLevel="1" x14ac:dyDescent="0.2">
      <c r="A131" s="348"/>
      <c r="B131" s="348"/>
      <c r="C131" s="348"/>
      <c r="D131" s="52">
        <v>15</v>
      </c>
      <c r="E131" s="79"/>
      <c r="F131" s="599"/>
      <c r="G131" s="600"/>
      <c r="H131" s="601"/>
      <c r="I131" s="70"/>
      <c r="J131" s="133"/>
      <c r="K131" s="42"/>
      <c r="L131" s="134"/>
      <c r="M131" s="70"/>
      <c r="N131" s="208"/>
      <c r="O131" s="135" t="str">
        <f t="shared" si="67"/>
        <v/>
      </c>
      <c r="P131" s="133"/>
      <c r="Q131" s="613"/>
      <c r="R131" s="613"/>
      <c r="S131" s="613"/>
      <c r="T131" s="613"/>
      <c r="U131" s="613"/>
      <c r="W131" s="542" t="str">
        <f t="shared" si="68"/>
        <v/>
      </c>
      <c r="X131" s="542"/>
      <c r="Y131" s="542"/>
      <c r="AF131" s="65" t="str">
        <f t="shared" si="62"/>
        <v>** NOT USED **</v>
      </c>
      <c r="AG131" s="346" t="str">
        <f t="shared" si="63"/>
        <v/>
      </c>
      <c r="AH131" s="347">
        <f t="shared" ca="1" si="64"/>
        <v>0</v>
      </c>
      <c r="AI131" s="369">
        <f t="shared" ca="1" si="69"/>
        <v>0</v>
      </c>
      <c r="AJ131" s="369">
        <f t="shared" ca="1" si="69"/>
        <v>0</v>
      </c>
      <c r="AK131" s="369">
        <f t="shared" ca="1" si="69"/>
        <v>0</v>
      </c>
      <c r="AL131" s="369">
        <f t="shared" ca="1" si="69"/>
        <v>0</v>
      </c>
      <c r="AM131" s="369">
        <f t="shared" ca="1" si="69"/>
        <v>0</v>
      </c>
      <c r="AN131" s="369">
        <f t="shared" ca="1" si="69"/>
        <v>0</v>
      </c>
      <c r="AO131" s="369">
        <f t="shared" ca="1" si="70"/>
        <v>0</v>
      </c>
      <c r="AP131" s="369">
        <f t="shared" ca="1" si="70"/>
        <v>0</v>
      </c>
      <c r="AQ131" s="369">
        <f t="shared" ca="1" si="70"/>
        <v>0</v>
      </c>
      <c r="AR131" s="369">
        <f t="shared" ca="1" si="70"/>
        <v>0</v>
      </c>
      <c r="AS131" s="369">
        <f t="shared" ca="1" si="70"/>
        <v>0</v>
      </c>
      <c r="AT131" s="369">
        <f t="shared" ca="1" si="70"/>
        <v>0</v>
      </c>
    </row>
    <row r="132" spans="1:46" hidden="1" outlineLevel="1" x14ac:dyDescent="0.2">
      <c r="A132" s="348"/>
      <c r="B132" s="348"/>
      <c r="C132" s="348"/>
      <c r="D132" s="52">
        <v>16</v>
      </c>
      <c r="E132" s="79"/>
      <c r="F132" s="599"/>
      <c r="G132" s="600"/>
      <c r="H132" s="601"/>
      <c r="I132" s="70"/>
      <c r="J132" s="133"/>
      <c r="K132" s="42"/>
      <c r="L132" s="134"/>
      <c r="M132" s="70"/>
      <c r="N132" s="208"/>
      <c r="O132" s="135" t="str">
        <f t="shared" si="67"/>
        <v/>
      </c>
      <c r="P132" s="133"/>
      <c r="Q132" s="613"/>
      <c r="R132" s="613"/>
      <c r="S132" s="613"/>
      <c r="T132" s="613"/>
      <c r="U132" s="613"/>
      <c r="W132" s="542" t="str">
        <f t="shared" si="68"/>
        <v/>
      </c>
      <c r="X132" s="542"/>
      <c r="Y132" s="542"/>
      <c r="AF132" s="65" t="str">
        <f t="shared" si="62"/>
        <v>** NOT USED **</v>
      </c>
      <c r="AG132" s="346" t="str">
        <f t="shared" si="63"/>
        <v/>
      </c>
      <c r="AH132" s="347">
        <f t="shared" ca="1" si="64"/>
        <v>0</v>
      </c>
      <c r="AI132" s="369">
        <f t="shared" ca="1" si="69"/>
        <v>0</v>
      </c>
      <c r="AJ132" s="369">
        <f t="shared" ca="1" si="69"/>
        <v>0</v>
      </c>
      <c r="AK132" s="369">
        <f t="shared" ca="1" si="69"/>
        <v>0</v>
      </c>
      <c r="AL132" s="369">
        <f t="shared" ca="1" si="69"/>
        <v>0</v>
      </c>
      <c r="AM132" s="369">
        <f t="shared" ca="1" si="69"/>
        <v>0</v>
      </c>
      <c r="AN132" s="369">
        <f t="shared" ca="1" si="69"/>
        <v>0</v>
      </c>
      <c r="AO132" s="369">
        <f t="shared" ca="1" si="70"/>
        <v>0</v>
      </c>
      <c r="AP132" s="369">
        <f t="shared" ca="1" si="70"/>
        <v>0</v>
      </c>
      <c r="AQ132" s="369">
        <f t="shared" ca="1" si="70"/>
        <v>0</v>
      </c>
      <c r="AR132" s="369">
        <f t="shared" ca="1" si="70"/>
        <v>0</v>
      </c>
      <c r="AS132" s="369">
        <f t="shared" ca="1" si="70"/>
        <v>0</v>
      </c>
      <c r="AT132" s="369">
        <f t="shared" ca="1" si="70"/>
        <v>0</v>
      </c>
    </row>
    <row r="133" spans="1:46" hidden="1" outlineLevel="1" x14ac:dyDescent="0.2">
      <c r="A133" s="348"/>
      <c r="B133" s="348"/>
      <c r="C133" s="348"/>
      <c r="D133" s="52">
        <v>17</v>
      </c>
      <c r="E133" s="79"/>
      <c r="F133" s="599"/>
      <c r="G133" s="600"/>
      <c r="H133" s="601"/>
      <c r="I133" s="70"/>
      <c r="J133" s="133"/>
      <c r="K133" s="42"/>
      <c r="L133" s="134"/>
      <c r="M133" s="70"/>
      <c r="N133" s="208"/>
      <c r="O133" s="135" t="str">
        <f t="shared" si="67"/>
        <v/>
      </c>
      <c r="P133" s="133"/>
      <c r="Q133" s="613"/>
      <c r="R133" s="613"/>
      <c r="S133" s="613"/>
      <c r="T133" s="613"/>
      <c r="U133" s="613"/>
      <c r="W133" s="542" t="str">
        <f t="shared" si="68"/>
        <v/>
      </c>
      <c r="X133" s="542"/>
      <c r="Y133" s="542"/>
      <c r="AF133" s="65" t="str">
        <f t="shared" si="62"/>
        <v>** NOT USED **</v>
      </c>
      <c r="AG133" s="346" t="str">
        <f t="shared" si="63"/>
        <v/>
      </c>
      <c r="AH133" s="347">
        <f t="shared" ca="1" si="64"/>
        <v>0</v>
      </c>
      <c r="AI133" s="369">
        <f t="shared" ca="1" si="69"/>
        <v>0</v>
      </c>
      <c r="AJ133" s="369">
        <f t="shared" ca="1" si="69"/>
        <v>0</v>
      </c>
      <c r="AK133" s="369">
        <f t="shared" ca="1" si="69"/>
        <v>0</v>
      </c>
      <c r="AL133" s="369">
        <f t="shared" ca="1" si="69"/>
        <v>0</v>
      </c>
      <c r="AM133" s="369">
        <f t="shared" ca="1" si="69"/>
        <v>0</v>
      </c>
      <c r="AN133" s="369">
        <f t="shared" ca="1" si="69"/>
        <v>0</v>
      </c>
      <c r="AO133" s="369">
        <f t="shared" ca="1" si="70"/>
        <v>0</v>
      </c>
      <c r="AP133" s="369">
        <f t="shared" ca="1" si="70"/>
        <v>0</v>
      </c>
      <c r="AQ133" s="369">
        <f t="shared" ca="1" si="70"/>
        <v>0</v>
      </c>
      <c r="AR133" s="369">
        <f t="shared" ca="1" si="70"/>
        <v>0</v>
      </c>
      <c r="AS133" s="369">
        <f t="shared" ca="1" si="70"/>
        <v>0</v>
      </c>
      <c r="AT133" s="369">
        <f t="shared" ca="1" si="70"/>
        <v>0</v>
      </c>
    </row>
    <row r="134" spans="1:46" hidden="1" outlineLevel="1" x14ac:dyDescent="0.2">
      <c r="A134" s="348"/>
      <c r="B134" s="348"/>
      <c r="C134" s="348"/>
      <c r="D134" s="52">
        <v>18</v>
      </c>
      <c r="E134" s="79"/>
      <c r="F134" s="599"/>
      <c r="G134" s="600"/>
      <c r="H134" s="601"/>
      <c r="I134" s="70"/>
      <c r="J134" s="133"/>
      <c r="K134" s="42"/>
      <c r="L134" s="134"/>
      <c r="M134" s="70"/>
      <c r="N134" s="208"/>
      <c r="O134" s="135" t="str">
        <f t="shared" si="67"/>
        <v/>
      </c>
      <c r="P134" s="133"/>
      <c r="Q134" s="613"/>
      <c r="R134" s="613"/>
      <c r="S134" s="613"/>
      <c r="T134" s="613"/>
      <c r="U134" s="613"/>
      <c r="W134" s="542" t="str">
        <f t="shared" si="68"/>
        <v/>
      </c>
      <c r="X134" s="542"/>
      <c r="Y134" s="542"/>
      <c r="AF134" s="65" t="str">
        <f t="shared" si="62"/>
        <v>** NOT USED **</v>
      </c>
      <c r="AG134" s="346" t="str">
        <f t="shared" si="63"/>
        <v/>
      </c>
      <c r="AH134" s="347">
        <f t="shared" ca="1" si="64"/>
        <v>0</v>
      </c>
      <c r="AI134" s="369">
        <f t="shared" ca="1" si="69"/>
        <v>0</v>
      </c>
      <c r="AJ134" s="369">
        <f t="shared" ca="1" si="69"/>
        <v>0</v>
      </c>
      <c r="AK134" s="369">
        <f t="shared" ca="1" si="69"/>
        <v>0</v>
      </c>
      <c r="AL134" s="369">
        <f t="shared" ca="1" si="69"/>
        <v>0</v>
      </c>
      <c r="AM134" s="369">
        <f t="shared" ca="1" si="69"/>
        <v>0</v>
      </c>
      <c r="AN134" s="369">
        <f t="shared" ca="1" si="69"/>
        <v>0</v>
      </c>
      <c r="AO134" s="369">
        <f t="shared" ca="1" si="70"/>
        <v>0</v>
      </c>
      <c r="AP134" s="369">
        <f t="shared" ca="1" si="70"/>
        <v>0</v>
      </c>
      <c r="AQ134" s="369">
        <f t="shared" ca="1" si="70"/>
        <v>0</v>
      </c>
      <c r="AR134" s="369">
        <f t="shared" ca="1" si="70"/>
        <v>0</v>
      </c>
      <c r="AS134" s="369">
        <f t="shared" ca="1" si="70"/>
        <v>0</v>
      </c>
      <c r="AT134" s="369">
        <f t="shared" ca="1" si="70"/>
        <v>0</v>
      </c>
    </row>
    <row r="135" spans="1:46" hidden="1" outlineLevel="1" x14ac:dyDescent="0.2">
      <c r="A135" s="348"/>
      <c r="B135" s="348"/>
      <c r="C135" s="348"/>
      <c r="D135" s="52">
        <v>19</v>
      </c>
      <c r="E135" s="79"/>
      <c r="F135" s="599"/>
      <c r="G135" s="600"/>
      <c r="H135" s="601"/>
      <c r="I135" s="70"/>
      <c r="J135" s="133"/>
      <c r="K135" s="42"/>
      <c r="L135" s="134"/>
      <c r="M135" s="70"/>
      <c r="N135" s="208"/>
      <c r="O135" s="135" t="str">
        <f t="shared" si="67"/>
        <v/>
      </c>
      <c r="P135" s="133"/>
      <c r="Q135" s="613"/>
      <c r="R135" s="613"/>
      <c r="S135" s="613"/>
      <c r="T135" s="613"/>
      <c r="U135" s="613"/>
      <c r="W135" s="542" t="str">
        <f t="shared" si="68"/>
        <v/>
      </c>
      <c r="X135" s="542"/>
      <c r="Y135" s="542"/>
      <c r="AF135" s="65" t="str">
        <f t="shared" si="62"/>
        <v>** NOT USED **</v>
      </c>
      <c r="AG135" s="346" t="str">
        <f t="shared" si="63"/>
        <v/>
      </c>
      <c r="AH135" s="347">
        <f t="shared" ca="1" si="64"/>
        <v>0</v>
      </c>
      <c r="AI135" s="369">
        <f t="shared" ca="1" si="69"/>
        <v>0</v>
      </c>
      <c r="AJ135" s="369">
        <f t="shared" ca="1" si="69"/>
        <v>0</v>
      </c>
      <c r="AK135" s="369">
        <f t="shared" ca="1" si="69"/>
        <v>0</v>
      </c>
      <c r="AL135" s="369">
        <f t="shared" ca="1" si="69"/>
        <v>0</v>
      </c>
      <c r="AM135" s="369">
        <f t="shared" ca="1" si="69"/>
        <v>0</v>
      </c>
      <c r="AN135" s="369">
        <f t="shared" ca="1" si="69"/>
        <v>0</v>
      </c>
      <c r="AO135" s="369">
        <f t="shared" ca="1" si="70"/>
        <v>0</v>
      </c>
      <c r="AP135" s="369">
        <f t="shared" ca="1" si="70"/>
        <v>0</v>
      </c>
      <c r="AQ135" s="369">
        <f t="shared" ca="1" si="70"/>
        <v>0</v>
      </c>
      <c r="AR135" s="369">
        <f t="shared" ca="1" si="70"/>
        <v>0</v>
      </c>
      <c r="AS135" s="369">
        <f t="shared" ca="1" si="70"/>
        <v>0</v>
      </c>
      <c r="AT135" s="369">
        <f t="shared" ca="1" si="70"/>
        <v>0</v>
      </c>
    </row>
    <row r="136" spans="1:46" hidden="1" outlineLevel="1" x14ac:dyDescent="0.2">
      <c r="A136" s="348"/>
      <c r="B136" s="348"/>
      <c r="C136" s="348"/>
      <c r="D136" s="52">
        <v>20</v>
      </c>
      <c r="E136" s="79"/>
      <c r="F136" s="599"/>
      <c r="G136" s="600"/>
      <c r="H136" s="601"/>
      <c r="I136" s="70"/>
      <c r="J136" s="133"/>
      <c r="K136" s="42"/>
      <c r="L136" s="134"/>
      <c r="M136" s="70"/>
      <c r="N136" s="208"/>
      <c r="O136" s="135" t="str">
        <f t="shared" si="67"/>
        <v/>
      </c>
      <c r="P136" s="133"/>
      <c r="Q136" s="613"/>
      <c r="R136" s="613"/>
      <c r="S136" s="613"/>
      <c r="T136" s="613"/>
      <c r="U136" s="613"/>
      <c r="W136" s="542" t="str">
        <f t="shared" si="68"/>
        <v/>
      </c>
      <c r="X136" s="542"/>
      <c r="Y136" s="542"/>
      <c r="AF136" s="65" t="str">
        <f t="shared" si="62"/>
        <v>** NOT USED **</v>
      </c>
      <c r="AG136" s="346" t="str">
        <f t="shared" si="63"/>
        <v/>
      </c>
      <c r="AH136" s="347">
        <f t="shared" ca="1" si="64"/>
        <v>0</v>
      </c>
      <c r="AI136" s="369">
        <f t="shared" ca="1" si="69"/>
        <v>0</v>
      </c>
      <c r="AJ136" s="369">
        <f t="shared" ca="1" si="69"/>
        <v>0</v>
      </c>
      <c r="AK136" s="369">
        <f t="shared" ca="1" si="69"/>
        <v>0</v>
      </c>
      <c r="AL136" s="369">
        <f t="shared" ca="1" si="69"/>
        <v>0</v>
      </c>
      <c r="AM136" s="369">
        <f t="shared" ca="1" si="69"/>
        <v>0</v>
      </c>
      <c r="AN136" s="369">
        <f t="shared" ca="1" si="69"/>
        <v>0</v>
      </c>
      <c r="AO136" s="369">
        <f t="shared" ca="1" si="70"/>
        <v>0</v>
      </c>
      <c r="AP136" s="369">
        <f t="shared" ca="1" si="70"/>
        <v>0</v>
      </c>
      <c r="AQ136" s="369">
        <f t="shared" ca="1" si="70"/>
        <v>0</v>
      </c>
      <c r="AR136" s="369">
        <f t="shared" ca="1" si="70"/>
        <v>0</v>
      </c>
      <c r="AS136" s="369">
        <f t="shared" ca="1" si="70"/>
        <v>0</v>
      </c>
      <c r="AT136" s="369">
        <f t="shared" ca="1" si="70"/>
        <v>0</v>
      </c>
    </row>
    <row r="137" spans="1:46" hidden="1" outlineLevel="1" x14ac:dyDescent="0.2">
      <c r="D137" s="209">
        <f>COUNTA(E117:E136)</f>
        <v>0</v>
      </c>
    </row>
    <row r="138" spans="1:46" collapsed="1" x14ac:dyDescent="0.2">
      <c r="F138" s="455"/>
    </row>
    <row r="139" spans="1:46" ht="15.75" x14ac:dyDescent="0.2">
      <c r="E139" s="111" t="s">
        <v>854</v>
      </c>
      <c r="F139" s="126"/>
      <c r="G139" s="113"/>
      <c r="H139" s="113"/>
      <c r="I139" s="113"/>
      <c r="J139" s="605" t="str">
        <f>IF(AND(ScriptSourceCode&lt;&gt;2,ScriptSourceCode&lt;&gt;3),MsgNotRequired,"")</f>
        <v>** NOT REQUIRED **</v>
      </c>
      <c r="K139" s="606"/>
      <c r="L139" s="113"/>
      <c r="M139" s="113"/>
      <c r="N139" s="113"/>
      <c r="O139" s="113"/>
      <c r="P139" s="113"/>
      <c r="Q139" s="113"/>
      <c r="R139" s="113"/>
      <c r="S139" s="113"/>
      <c r="T139" s="113"/>
      <c r="U139" s="113"/>
      <c r="V139" s="113"/>
      <c r="W139" s="21"/>
      <c r="X139" s="21"/>
      <c r="Y139" s="21"/>
      <c r="Z139" s="21"/>
      <c r="AA139" s="21"/>
      <c r="AB139" s="21"/>
      <c r="AC139" s="21"/>
      <c r="AD139" s="21"/>
      <c r="AE139" s="21"/>
      <c r="AF139" s="21"/>
      <c r="AG139" s="21"/>
      <c r="AH139" s="21"/>
      <c r="AI139" s="21"/>
      <c r="AJ139" s="21"/>
      <c r="AK139" s="21"/>
      <c r="AL139" s="21"/>
      <c r="AM139" s="21"/>
      <c r="AN139" s="21"/>
      <c r="AO139" s="21"/>
      <c r="AP139" s="21"/>
      <c r="AQ139" s="21"/>
      <c r="AR139" s="21"/>
      <c r="AS139" s="21"/>
      <c r="AT139" s="21"/>
    </row>
    <row r="140" spans="1:46" hidden="1" outlineLevel="1" x14ac:dyDescent="0.2">
      <c r="E140" s="260"/>
      <c r="F140" s="455"/>
      <c r="H140" s="119"/>
      <c r="M140" s="119"/>
      <c r="N140" s="119"/>
      <c r="Q140" s="119"/>
      <c r="R140" s="119"/>
      <c r="S140" s="119"/>
      <c r="T140" s="119"/>
      <c r="U140" s="119"/>
      <c r="V140" s="119"/>
      <c r="AH140" s="425" t="s">
        <v>280</v>
      </c>
      <c r="AI140" s="425" t="s">
        <v>139</v>
      </c>
      <c r="AJ140" s="425" t="s">
        <v>281</v>
      </c>
    </row>
    <row r="141" spans="1:46" hidden="1" outlineLevel="1" x14ac:dyDescent="0.2">
      <c r="E141" t="s">
        <v>810</v>
      </c>
      <c r="F141" s="455"/>
      <c r="AG141" s="426" t="s">
        <v>73</v>
      </c>
      <c r="AH141" s="388">
        <f>IF(COUNTIF($AG$117:$AG$136,AH140)&gt;=1,1,0)</f>
        <v>0</v>
      </c>
      <c r="AI141" s="388">
        <f>IF(COUNTIF($AG$117:$AG$136,AI140)&gt;=1,1,0)</f>
        <v>0</v>
      </c>
      <c r="AJ141" s="388">
        <f>IF(COUNTIF($AG$117:$AG$136,AJ140)&gt;=1,1,0)</f>
        <v>0</v>
      </c>
    </row>
    <row r="142" spans="1:46" hidden="1" outlineLevel="1" x14ac:dyDescent="0.2">
      <c r="E142" s="492"/>
      <c r="F142" s="492"/>
      <c r="G142" s="492"/>
      <c r="H142" s="492"/>
      <c r="J142" s="593" t="s">
        <v>135</v>
      </c>
      <c r="K142" s="593"/>
      <c r="L142" s="593"/>
      <c r="M142" s="602" t="s">
        <v>124</v>
      </c>
      <c r="N142" s="602"/>
      <c r="O142" s="602"/>
      <c r="P142" s="602"/>
      <c r="Q142" s="602"/>
      <c r="R142" s="602"/>
    </row>
    <row r="143" spans="1:46" ht="25.5" hidden="1" outlineLevel="1" x14ac:dyDescent="0.2">
      <c r="E143" s="5" t="s">
        <v>801</v>
      </c>
      <c r="F143" s="593" t="s">
        <v>839</v>
      </c>
      <c r="G143" s="612"/>
      <c r="H143" s="612"/>
      <c r="I143" s="61" t="str">
        <f>IF(ScriptSplit=2,"Percentage of current scripts","")</f>
        <v/>
      </c>
      <c r="J143" s="5" t="s">
        <v>311</v>
      </c>
      <c r="K143" s="5" t="s">
        <v>842</v>
      </c>
      <c r="L143" s="5" t="s">
        <v>124</v>
      </c>
      <c r="M143" s="74">
        <f>FirstYear</f>
        <v>2026</v>
      </c>
      <c r="N143" s="74">
        <f>M143+1</f>
        <v>2027</v>
      </c>
      <c r="O143" s="74">
        <f>N143+1</f>
        <v>2028</v>
      </c>
      <c r="P143" s="74">
        <f>O143+1</f>
        <v>2029</v>
      </c>
      <c r="Q143" s="74">
        <f>P143+1</f>
        <v>2030</v>
      </c>
      <c r="R143" s="74">
        <f>Q143+1</f>
        <v>2031</v>
      </c>
      <c r="S143" s="5" t="s">
        <v>743</v>
      </c>
      <c r="T143" s="480"/>
      <c r="U143" s="480"/>
      <c r="V143" s="480"/>
      <c r="AF143" s="202" t="s">
        <v>270</v>
      </c>
      <c r="AG143" s="203" t="s">
        <v>282</v>
      </c>
      <c r="AI143" s="614" t="s">
        <v>270</v>
      </c>
      <c r="AJ143" s="615"/>
      <c r="AK143" s="615"/>
      <c r="AL143" s="616"/>
      <c r="AM143" s="203" t="s">
        <v>761</v>
      </c>
    </row>
    <row r="144" spans="1:46" hidden="1" outlineLevel="1" x14ac:dyDescent="0.2">
      <c r="B144" s="209" t="str">
        <f t="shared" ref="B144:B163" si="71">IF(AND(E144="",F144&lt;&gt;""),1,IF(AND(E144&lt;&gt;"",F144=""),2,""))</f>
        <v/>
      </c>
      <c r="C144" s="209" t="str">
        <f t="shared" ref="C144:C163" si="72">IF(AND(E144&lt;&gt;"",F144&lt;&gt;"",OR(ScriptSourceCode=2,ScriptSourceCode=3)),VLOOKUP(E144,NamesOverallChangedCode,2,FALSE),"")</f>
        <v/>
      </c>
      <c r="D144" s="209" t="str">
        <f t="shared" ref="D144:D163" si="73">IF(AND(E144&lt;&gt;"",F144&lt;&gt;"",OR(ScriptSourceCode=2,ScriptSourceCode=3)),VLOOKUP(F144,CoPayBandLink,6,FALSE),"")</f>
        <v/>
      </c>
      <c r="E144" s="351"/>
      <c r="F144" s="610"/>
      <c r="G144" s="611"/>
      <c r="H144" s="611"/>
      <c r="I144" s="407"/>
      <c r="J144" s="389"/>
      <c r="K144" s="389"/>
      <c r="L144" s="352" t="str">
        <f t="shared" ref="L144:L163" si="74">IF(AND(J144&lt;&gt;"",K144&lt;&gt;""),ROUND(K144/J144,2),IF(AF144&lt;&gt;MsgNotUsed,1,""))</f>
        <v/>
      </c>
      <c r="M144" s="50"/>
      <c r="N144" s="50"/>
      <c r="O144" s="50"/>
      <c r="P144" s="50"/>
      <c r="Q144" s="50"/>
      <c r="R144" s="50"/>
      <c r="S144" s="379" t="str">
        <f t="shared" ref="S144:S163" si="75">IF(AF144&lt;&gt;MsgNotUsed,AM144,"")</f>
        <v/>
      </c>
      <c r="W144" s="542" t="str">
        <f t="shared" ref="W144:W163" si="76">IF(B144&lt;&gt;"",MsgError,"")&amp;IF(B144=1,VLOOKUP("NoMS",ErrorMessages,2,FALSE),IF(B144=2,VLOOKUP("NoNew",ErrorMessages,2,FALSE),""))</f>
        <v/>
      </c>
      <c r="X144" s="542"/>
      <c r="Y144" s="542"/>
      <c r="Z144" s="444"/>
      <c r="AA144" s="542" t="str">
        <f t="shared" ref="AA144:AA163" si="77">IF(AND(ScriptSplit=2,E144&lt;&gt;"",SUM(M144:R144)=0),MsgError &amp; VLOOKUP("NoSplit",ErrorMessages,2,FALSE),IF(AT144=1,MsgError &amp; VLOOKUP("SplitErr",ErrorMessages,2,FALSE),""))</f>
        <v/>
      </c>
      <c r="AB144" s="542"/>
      <c r="AC144" s="542"/>
      <c r="AD144" s="444"/>
      <c r="AF144" s="65" t="str">
        <f t="shared" ref="AF144:AF163" si="78">IF(AND(E144&lt;&gt;"",F144&lt;&gt;"",OR(ScriptSourceCode=2,ScriptSourceCode=3)),CONCATENATE(F144," &lt;= ",E144),MsgNotUsed)</f>
        <v>** NOT USED **</v>
      </c>
      <c r="AG144" s="346" t="str">
        <f t="shared" ref="AG144:AG163" si="79">IF(AF144&lt;&gt;MsgNotUsed,VLOOKUP(F144,TxPhaseNew,2,FALSE),"")</f>
        <v/>
      </c>
      <c r="AI144" s="609" t="str">
        <f t="shared" ref="AI144:AI163" si="80">IF(AF144&lt;&gt;MsgNotUsed,F144,IF(AF117&lt;&gt;MsgNotUsed,AF117,""))</f>
        <v/>
      </c>
      <c r="AJ144" s="609"/>
      <c r="AK144" s="609"/>
      <c r="AL144" s="609"/>
      <c r="AM144" s="209" t="str">
        <f t="shared" ref="AM144:AM163" ca="1" si="81">IF(AF144&lt;&gt;MsgNotUsed,INDEX(CoPayBandMS,C144),IF($AH117&lt;&gt;0,INDEX(PxTxPhase1Adj,$AH117,8),""))</f>
        <v/>
      </c>
      <c r="AN144" s="209">
        <v>1</v>
      </c>
      <c r="AP144" s="406">
        <f t="shared" ref="AP144:AP163" si="82">IFERROR(IF(ScriptSplit=2,$I144,1) *$L144,0)</f>
        <v>0</v>
      </c>
      <c r="AR144" s="209">
        <v>1</v>
      </c>
      <c r="AS144" s="65">
        <f>SUMPRODUCT(($C$144:$C$163=AR144)*($M$144:$R$163))</f>
        <v>0</v>
      </c>
      <c r="AT144" s="65">
        <f>IF(OR(AS144=6,AS144=0),0,1)</f>
        <v>0</v>
      </c>
    </row>
    <row r="145" spans="2:46" hidden="1" outlineLevel="1" x14ac:dyDescent="0.2">
      <c r="B145" s="209" t="str">
        <f t="shared" si="71"/>
        <v/>
      </c>
      <c r="C145" s="209" t="str">
        <f t="shared" si="72"/>
        <v/>
      </c>
      <c r="D145" s="209" t="str">
        <f t="shared" si="73"/>
        <v/>
      </c>
      <c r="E145" s="351"/>
      <c r="F145" s="610"/>
      <c r="G145" s="611"/>
      <c r="H145" s="611"/>
      <c r="I145" s="407"/>
      <c r="J145" s="390"/>
      <c r="K145" s="390"/>
      <c r="L145" s="352" t="str">
        <f t="shared" si="74"/>
        <v/>
      </c>
      <c r="M145" s="50"/>
      <c r="N145" s="50"/>
      <c r="O145" s="50"/>
      <c r="P145" s="50"/>
      <c r="Q145" s="50"/>
      <c r="R145" s="50"/>
      <c r="S145" s="379" t="str">
        <f t="shared" si="75"/>
        <v/>
      </c>
      <c r="W145" s="542" t="str">
        <f t="shared" si="76"/>
        <v/>
      </c>
      <c r="X145" s="542"/>
      <c r="Y145" s="542"/>
      <c r="Z145" s="444"/>
      <c r="AA145" s="542" t="str">
        <f t="shared" si="77"/>
        <v/>
      </c>
      <c r="AB145" s="542"/>
      <c r="AC145" s="542"/>
      <c r="AD145" s="444"/>
      <c r="AF145" s="65" t="str">
        <f t="shared" si="78"/>
        <v>** NOT USED **</v>
      </c>
      <c r="AG145" s="346" t="str">
        <f t="shared" si="79"/>
        <v/>
      </c>
      <c r="AI145" s="609" t="str">
        <f t="shared" si="80"/>
        <v/>
      </c>
      <c r="AJ145" s="609"/>
      <c r="AK145" s="609"/>
      <c r="AL145" s="609"/>
      <c r="AM145" s="209" t="str">
        <f t="shared" ca="1" si="81"/>
        <v/>
      </c>
      <c r="AN145" s="209">
        <v>2</v>
      </c>
      <c r="AP145" s="406">
        <f t="shared" si="82"/>
        <v>0</v>
      </c>
      <c r="AR145" s="209">
        <v>2</v>
      </c>
      <c r="AS145" s="65">
        <f t="shared" ref="AS145:AS163" si="83">SUMPRODUCT(($C$144:$C$163=AR145)*($M$144:$R$163))</f>
        <v>0</v>
      </c>
      <c r="AT145" s="65">
        <f t="shared" ref="AT145:AT163" si="84">IF(OR(AS145=6,AS145=0),0,1)</f>
        <v>0</v>
      </c>
    </row>
    <row r="146" spans="2:46" hidden="1" outlineLevel="1" x14ac:dyDescent="0.2">
      <c r="B146" s="209" t="str">
        <f t="shared" si="71"/>
        <v/>
      </c>
      <c r="C146" s="209" t="str">
        <f t="shared" si="72"/>
        <v/>
      </c>
      <c r="D146" s="209" t="str">
        <f t="shared" si="73"/>
        <v/>
      </c>
      <c r="E146" s="351"/>
      <c r="F146" s="610"/>
      <c r="G146" s="611"/>
      <c r="H146" s="611"/>
      <c r="I146" s="407"/>
      <c r="J146" s="390"/>
      <c r="K146" s="390"/>
      <c r="L146" s="352" t="str">
        <f t="shared" si="74"/>
        <v/>
      </c>
      <c r="M146" s="50"/>
      <c r="N146" s="50"/>
      <c r="O146" s="50"/>
      <c r="P146" s="50"/>
      <c r="Q146" s="50"/>
      <c r="R146" s="50"/>
      <c r="S146" s="379" t="str">
        <f t="shared" si="75"/>
        <v/>
      </c>
      <c r="W146" s="542" t="str">
        <f t="shared" si="76"/>
        <v/>
      </c>
      <c r="X146" s="542"/>
      <c r="Y146" s="542"/>
      <c r="Z146" s="444"/>
      <c r="AA146" s="542" t="str">
        <f t="shared" si="77"/>
        <v/>
      </c>
      <c r="AB146" s="542"/>
      <c r="AC146" s="542"/>
      <c r="AD146" s="444"/>
      <c r="AF146" s="65" t="str">
        <f t="shared" si="78"/>
        <v>** NOT USED **</v>
      </c>
      <c r="AG146" s="346" t="str">
        <f t="shared" si="79"/>
        <v/>
      </c>
      <c r="AI146" s="609" t="str">
        <f t="shared" si="80"/>
        <v/>
      </c>
      <c r="AJ146" s="609"/>
      <c r="AK146" s="609"/>
      <c r="AL146" s="609"/>
      <c r="AM146" s="209" t="str">
        <f t="shared" ca="1" si="81"/>
        <v/>
      </c>
      <c r="AN146" s="209">
        <v>3</v>
      </c>
      <c r="AP146" s="406">
        <f t="shared" si="82"/>
        <v>0</v>
      </c>
      <c r="AR146" s="209">
        <v>3</v>
      </c>
      <c r="AS146" s="65">
        <f t="shared" si="83"/>
        <v>0</v>
      </c>
      <c r="AT146" s="65">
        <f t="shared" si="84"/>
        <v>0</v>
      </c>
    </row>
    <row r="147" spans="2:46" hidden="1" outlineLevel="1" x14ac:dyDescent="0.2">
      <c r="B147" s="209" t="str">
        <f t="shared" si="71"/>
        <v/>
      </c>
      <c r="C147" s="209" t="str">
        <f t="shared" si="72"/>
        <v/>
      </c>
      <c r="D147" s="209" t="str">
        <f t="shared" si="73"/>
        <v/>
      </c>
      <c r="E147" s="351"/>
      <c r="F147" s="610"/>
      <c r="G147" s="611"/>
      <c r="H147" s="611"/>
      <c r="I147" s="407"/>
      <c r="J147" s="390"/>
      <c r="K147" s="390"/>
      <c r="L147" s="352" t="str">
        <f t="shared" si="74"/>
        <v/>
      </c>
      <c r="M147" s="50"/>
      <c r="N147" s="50"/>
      <c r="O147" s="50"/>
      <c r="P147" s="50"/>
      <c r="Q147" s="50"/>
      <c r="R147" s="50"/>
      <c r="S147" s="379" t="str">
        <f t="shared" si="75"/>
        <v/>
      </c>
      <c r="W147" s="542" t="str">
        <f t="shared" si="76"/>
        <v/>
      </c>
      <c r="X147" s="542"/>
      <c r="Y147" s="542"/>
      <c r="Z147" s="444"/>
      <c r="AA147" s="542" t="str">
        <f t="shared" si="77"/>
        <v/>
      </c>
      <c r="AB147" s="542"/>
      <c r="AC147" s="542"/>
      <c r="AD147" s="444"/>
      <c r="AF147" s="65" t="str">
        <f t="shared" si="78"/>
        <v>** NOT USED **</v>
      </c>
      <c r="AG147" s="346" t="str">
        <f t="shared" si="79"/>
        <v/>
      </c>
      <c r="AI147" s="609" t="str">
        <f t="shared" si="80"/>
        <v/>
      </c>
      <c r="AJ147" s="609"/>
      <c r="AK147" s="609"/>
      <c r="AL147" s="609"/>
      <c r="AM147" s="209" t="str">
        <f t="shared" ca="1" si="81"/>
        <v/>
      </c>
      <c r="AN147" s="209">
        <v>4</v>
      </c>
      <c r="AP147" s="406">
        <f t="shared" si="82"/>
        <v>0</v>
      </c>
      <c r="AR147" s="209">
        <v>4</v>
      </c>
      <c r="AS147" s="65">
        <f t="shared" si="83"/>
        <v>0</v>
      </c>
      <c r="AT147" s="65">
        <f t="shared" si="84"/>
        <v>0</v>
      </c>
    </row>
    <row r="148" spans="2:46" hidden="1" outlineLevel="1" x14ac:dyDescent="0.2">
      <c r="B148" s="209" t="str">
        <f t="shared" si="71"/>
        <v/>
      </c>
      <c r="C148" s="209" t="str">
        <f t="shared" si="72"/>
        <v/>
      </c>
      <c r="D148" s="209" t="str">
        <f t="shared" si="73"/>
        <v/>
      </c>
      <c r="E148" s="351"/>
      <c r="F148" s="610"/>
      <c r="G148" s="611"/>
      <c r="H148" s="611"/>
      <c r="I148" s="407"/>
      <c r="J148" s="390"/>
      <c r="K148" s="390"/>
      <c r="L148" s="352" t="str">
        <f t="shared" si="74"/>
        <v/>
      </c>
      <c r="M148" s="50"/>
      <c r="N148" s="50"/>
      <c r="O148" s="50"/>
      <c r="P148" s="50"/>
      <c r="Q148" s="50"/>
      <c r="R148" s="50"/>
      <c r="S148" s="379" t="str">
        <f t="shared" si="75"/>
        <v/>
      </c>
      <c r="W148" s="542" t="str">
        <f t="shared" si="76"/>
        <v/>
      </c>
      <c r="X148" s="542"/>
      <c r="Y148" s="542"/>
      <c r="Z148" s="444"/>
      <c r="AA148" s="542" t="str">
        <f t="shared" si="77"/>
        <v/>
      </c>
      <c r="AB148" s="542"/>
      <c r="AC148" s="542"/>
      <c r="AD148" s="444"/>
      <c r="AF148" s="65" t="str">
        <f t="shared" si="78"/>
        <v>** NOT USED **</v>
      </c>
      <c r="AG148" s="346" t="str">
        <f t="shared" si="79"/>
        <v/>
      </c>
      <c r="AI148" s="609" t="str">
        <f t="shared" si="80"/>
        <v/>
      </c>
      <c r="AJ148" s="609"/>
      <c r="AK148" s="609"/>
      <c r="AL148" s="609"/>
      <c r="AM148" s="209" t="str">
        <f t="shared" ca="1" si="81"/>
        <v/>
      </c>
      <c r="AN148" s="209">
        <v>5</v>
      </c>
      <c r="AP148" s="406">
        <f t="shared" si="82"/>
        <v>0</v>
      </c>
      <c r="AR148" s="209">
        <v>5</v>
      </c>
      <c r="AS148" s="65">
        <f t="shared" si="83"/>
        <v>0</v>
      </c>
      <c r="AT148" s="65">
        <f t="shared" si="84"/>
        <v>0</v>
      </c>
    </row>
    <row r="149" spans="2:46" hidden="1" outlineLevel="1" x14ac:dyDescent="0.2">
      <c r="B149" s="209" t="str">
        <f t="shared" si="71"/>
        <v/>
      </c>
      <c r="C149" s="209" t="str">
        <f t="shared" si="72"/>
        <v/>
      </c>
      <c r="D149" s="209" t="str">
        <f t="shared" si="73"/>
        <v/>
      </c>
      <c r="E149" s="351"/>
      <c r="F149" s="610"/>
      <c r="G149" s="611"/>
      <c r="H149" s="611"/>
      <c r="I149" s="407"/>
      <c r="J149" s="390"/>
      <c r="K149" s="390"/>
      <c r="L149" s="352" t="str">
        <f t="shared" si="74"/>
        <v/>
      </c>
      <c r="M149" s="50"/>
      <c r="N149" s="50"/>
      <c r="O149" s="50"/>
      <c r="P149" s="50"/>
      <c r="Q149" s="50"/>
      <c r="R149" s="50"/>
      <c r="S149" s="379" t="str">
        <f t="shared" si="75"/>
        <v/>
      </c>
      <c r="W149" s="542" t="str">
        <f t="shared" si="76"/>
        <v/>
      </c>
      <c r="X149" s="542"/>
      <c r="Y149" s="542"/>
      <c r="Z149" s="444"/>
      <c r="AA149" s="542" t="str">
        <f t="shared" si="77"/>
        <v/>
      </c>
      <c r="AB149" s="542"/>
      <c r="AC149" s="542"/>
      <c r="AD149" s="444"/>
      <c r="AF149" s="65" t="str">
        <f t="shared" si="78"/>
        <v>** NOT USED **</v>
      </c>
      <c r="AG149" s="346" t="str">
        <f t="shared" si="79"/>
        <v/>
      </c>
      <c r="AI149" s="609" t="str">
        <f t="shared" si="80"/>
        <v/>
      </c>
      <c r="AJ149" s="609"/>
      <c r="AK149" s="609"/>
      <c r="AL149" s="609"/>
      <c r="AM149" s="209" t="str">
        <f t="shared" ca="1" si="81"/>
        <v/>
      </c>
      <c r="AN149" s="209">
        <v>6</v>
      </c>
      <c r="AP149" s="406">
        <f t="shared" si="82"/>
        <v>0</v>
      </c>
      <c r="AR149" s="209">
        <v>6</v>
      </c>
      <c r="AS149" s="65">
        <f t="shared" si="83"/>
        <v>0</v>
      </c>
      <c r="AT149" s="65">
        <f t="shared" si="84"/>
        <v>0</v>
      </c>
    </row>
    <row r="150" spans="2:46" hidden="1" outlineLevel="1" x14ac:dyDescent="0.2">
      <c r="B150" s="209" t="str">
        <f t="shared" si="71"/>
        <v/>
      </c>
      <c r="C150" s="209" t="str">
        <f t="shared" si="72"/>
        <v/>
      </c>
      <c r="D150" s="209" t="str">
        <f t="shared" si="73"/>
        <v/>
      </c>
      <c r="E150" s="351"/>
      <c r="F150" s="610"/>
      <c r="G150" s="611"/>
      <c r="H150" s="611"/>
      <c r="I150" s="407"/>
      <c r="J150" s="390"/>
      <c r="K150" s="390"/>
      <c r="L150" s="352" t="str">
        <f t="shared" si="74"/>
        <v/>
      </c>
      <c r="M150" s="50"/>
      <c r="N150" s="50"/>
      <c r="O150" s="50"/>
      <c r="P150" s="50"/>
      <c r="Q150" s="50"/>
      <c r="R150" s="50"/>
      <c r="S150" s="379" t="str">
        <f t="shared" si="75"/>
        <v/>
      </c>
      <c r="W150" s="542" t="str">
        <f t="shared" si="76"/>
        <v/>
      </c>
      <c r="X150" s="542"/>
      <c r="Y150" s="542"/>
      <c r="Z150" s="444"/>
      <c r="AA150" s="542" t="str">
        <f t="shared" si="77"/>
        <v/>
      </c>
      <c r="AB150" s="542"/>
      <c r="AC150" s="542"/>
      <c r="AD150" s="444"/>
      <c r="AF150" s="65" t="str">
        <f t="shared" si="78"/>
        <v>** NOT USED **</v>
      </c>
      <c r="AG150" s="346" t="str">
        <f t="shared" si="79"/>
        <v/>
      </c>
      <c r="AI150" s="609" t="str">
        <f t="shared" si="80"/>
        <v/>
      </c>
      <c r="AJ150" s="609"/>
      <c r="AK150" s="609"/>
      <c r="AL150" s="609"/>
      <c r="AM150" s="209" t="str">
        <f t="shared" ca="1" si="81"/>
        <v/>
      </c>
      <c r="AN150" s="209">
        <v>7</v>
      </c>
      <c r="AP150" s="406">
        <f t="shared" si="82"/>
        <v>0</v>
      </c>
      <c r="AR150" s="209">
        <v>7</v>
      </c>
      <c r="AS150" s="65">
        <f t="shared" si="83"/>
        <v>0</v>
      </c>
      <c r="AT150" s="65">
        <f t="shared" si="84"/>
        <v>0</v>
      </c>
    </row>
    <row r="151" spans="2:46" hidden="1" outlineLevel="1" x14ac:dyDescent="0.2">
      <c r="B151" s="209" t="str">
        <f t="shared" si="71"/>
        <v/>
      </c>
      <c r="C151" s="209" t="str">
        <f t="shared" si="72"/>
        <v/>
      </c>
      <c r="D151" s="209" t="str">
        <f t="shared" si="73"/>
        <v/>
      </c>
      <c r="E151" s="351"/>
      <c r="F151" s="610"/>
      <c r="G151" s="611"/>
      <c r="H151" s="611"/>
      <c r="I151" s="407"/>
      <c r="J151" s="390"/>
      <c r="K151" s="390"/>
      <c r="L151" s="352" t="str">
        <f t="shared" si="74"/>
        <v/>
      </c>
      <c r="M151" s="50"/>
      <c r="N151" s="50"/>
      <c r="O151" s="50"/>
      <c r="P151" s="50"/>
      <c r="Q151" s="50"/>
      <c r="R151" s="50"/>
      <c r="S151" s="379" t="str">
        <f t="shared" si="75"/>
        <v/>
      </c>
      <c r="W151" s="542" t="str">
        <f t="shared" si="76"/>
        <v/>
      </c>
      <c r="X151" s="542"/>
      <c r="Y151" s="542"/>
      <c r="Z151" s="444"/>
      <c r="AA151" s="542" t="str">
        <f t="shared" si="77"/>
        <v/>
      </c>
      <c r="AB151" s="542"/>
      <c r="AC151" s="542"/>
      <c r="AD151" s="444"/>
      <c r="AF151" s="65" t="str">
        <f t="shared" si="78"/>
        <v>** NOT USED **</v>
      </c>
      <c r="AG151" s="346" t="str">
        <f t="shared" si="79"/>
        <v/>
      </c>
      <c r="AI151" s="609" t="str">
        <f t="shared" si="80"/>
        <v/>
      </c>
      <c r="AJ151" s="609"/>
      <c r="AK151" s="609"/>
      <c r="AL151" s="609"/>
      <c r="AM151" s="209" t="str">
        <f t="shared" ca="1" si="81"/>
        <v/>
      </c>
      <c r="AN151" s="209">
        <v>8</v>
      </c>
      <c r="AP151" s="406">
        <f t="shared" si="82"/>
        <v>0</v>
      </c>
      <c r="AR151" s="209">
        <v>8</v>
      </c>
      <c r="AS151" s="65">
        <f t="shared" si="83"/>
        <v>0</v>
      </c>
      <c r="AT151" s="65">
        <f t="shared" si="84"/>
        <v>0</v>
      </c>
    </row>
    <row r="152" spans="2:46" hidden="1" outlineLevel="1" x14ac:dyDescent="0.2">
      <c r="B152" s="209" t="str">
        <f t="shared" si="71"/>
        <v/>
      </c>
      <c r="C152" s="209" t="str">
        <f t="shared" si="72"/>
        <v/>
      </c>
      <c r="D152" s="209" t="str">
        <f t="shared" si="73"/>
        <v/>
      </c>
      <c r="E152" s="351"/>
      <c r="F152" s="610"/>
      <c r="G152" s="611"/>
      <c r="H152" s="611"/>
      <c r="I152" s="407"/>
      <c r="J152" s="390"/>
      <c r="K152" s="390"/>
      <c r="L152" s="352" t="str">
        <f t="shared" si="74"/>
        <v/>
      </c>
      <c r="M152" s="50"/>
      <c r="N152" s="50"/>
      <c r="O152" s="50"/>
      <c r="P152" s="50"/>
      <c r="Q152" s="50"/>
      <c r="R152" s="50"/>
      <c r="S152" s="379" t="str">
        <f t="shared" si="75"/>
        <v/>
      </c>
      <c r="W152" s="542" t="str">
        <f t="shared" si="76"/>
        <v/>
      </c>
      <c r="X152" s="542"/>
      <c r="Y152" s="542"/>
      <c r="Z152" s="444"/>
      <c r="AA152" s="542" t="str">
        <f t="shared" si="77"/>
        <v/>
      </c>
      <c r="AB152" s="542"/>
      <c r="AC152" s="542"/>
      <c r="AD152" s="444"/>
      <c r="AF152" s="65" t="str">
        <f t="shared" si="78"/>
        <v>** NOT USED **</v>
      </c>
      <c r="AG152" s="346" t="str">
        <f t="shared" si="79"/>
        <v/>
      </c>
      <c r="AI152" s="609" t="str">
        <f t="shared" si="80"/>
        <v/>
      </c>
      <c r="AJ152" s="609"/>
      <c r="AK152" s="609"/>
      <c r="AL152" s="609"/>
      <c r="AM152" s="209" t="str">
        <f t="shared" ca="1" si="81"/>
        <v/>
      </c>
      <c r="AN152" s="209">
        <v>9</v>
      </c>
      <c r="AP152" s="406">
        <f t="shared" si="82"/>
        <v>0</v>
      </c>
      <c r="AR152" s="209">
        <v>9</v>
      </c>
      <c r="AS152" s="65">
        <f t="shared" si="83"/>
        <v>0</v>
      </c>
      <c r="AT152" s="65">
        <f t="shared" si="84"/>
        <v>0</v>
      </c>
    </row>
    <row r="153" spans="2:46" hidden="1" outlineLevel="1" x14ac:dyDescent="0.2">
      <c r="B153" s="209" t="str">
        <f t="shared" si="71"/>
        <v/>
      </c>
      <c r="C153" s="209" t="str">
        <f t="shared" si="72"/>
        <v/>
      </c>
      <c r="D153" s="209" t="str">
        <f t="shared" si="73"/>
        <v/>
      </c>
      <c r="E153" s="351"/>
      <c r="F153" s="610"/>
      <c r="G153" s="611"/>
      <c r="H153" s="611"/>
      <c r="I153" s="407"/>
      <c r="J153" s="390"/>
      <c r="K153" s="390"/>
      <c r="L153" s="352" t="str">
        <f t="shared" si="74"/>
        <v/>
      </c>
      <c r="M153" s="50"/>
      <c r="N153" s="50"/>
      <c r="O153" s="50"/>
      <c r="P153" s="50"/>
      <c r="Q153" s="50"/>
      <c r="R153" s="50"/>
      <c r="S153" s="379" t="str">
        <f t="shared" si="75"/>
        <v/>
      </c>
      <c r="W153" s="542" t="str">
        <f t="shared" si="76"/>
        <v/>
      </c>
      <c r="X153" s="542"/>
      <c r="Y153" s="542"/>
      <c r="Z153" s="444"/>
      <c r="AA153" s="542" t="str">
        <f t="shared" si="77"/>
        <v/>
      </c>
      <c r="AB153" s="542"/>
      <c r="AC153" s="542"/>
      <c r="AD153" s="444"/>
      <c r="AF153" s="65" t="str">
        <f t="shared" si="78"/>
        <v>** NOT USED **</v>
      </c>
      <c r="AG153" s="346" t="str">
        <f t="shared" si="79"/>
        <v/>
      </c>
      <c r="AI153" s="609" t="str">
        <f t="shared" si="80"/>
        <v/>
      </c>
      <c r="AJ153" s="609"/>
      <c r="AK153" s="609"/>
      <c r="AL153" s="609"/>
      <c r="AM153" s="209" t="str">
        <f t="shared" ca="1" si="81"/>
        <v/>
      </c>
      <c r="AN153" s="209">
        <v>10</v>
      </c>
      <c r="AP153" s="406">
        <f t="shared" si="82"/>
        <v>0</v>
      </c>
      <c r="AR153" s="209">
        <v>10</v>
      </c>
      <c r="AS153" s="65">
        <f t="shared" si="83"/>
        <v>0</v>
      </c>
      <c r="AT153" s="65">
        <f t="shared" si="84"/>
        <v>0</v>
      </c>
    </row>
    <row r="154" spans="2:46" hidden="1" outlineLevel="1" x14ac:dyDescent="0.2">
      <c r="B154" s="209" t="str">
        <f t="shared" si="71"/>
        <v/>
      </c>
      <c r="C154" s="209" t="str">
        <f t="shared" si="72"/>
        <v/>
      </c>
      <c r="D154" s="209" t="str">
        <f t="shared" si="73"/>
        <v/>
      </c>
      <c r="E154" s="351"/>
      <c r="F154" s="610"/>
      <c r="G154" s="611"/>
      <c r="H154" s="611"/>
      <c r="I154" s="407"/>
      <c r="J154" s="390"/>
      <c r="K154" s="390"/>
      <c r="L154" s="352" t="str">
        <f t="shared" si="74"/>
        <v/>
      </c>
      <c r="M154" s="50"/>
      <c r="N154" s="50"/>
      <c r="O154" s="50"/>
      <c r="P154" s="50"/>
      <c r="Q154" s="50"/>
      <c r="R154" s="50"/>
      <c r="S154" s="379" t="str">
        <f t="shared" si="75"/>
        <v/>
      </c>
      <c r="W154" s="542" t="str">
        <f t="shared" si="76"/>
        <v/>
      </c>
      <c r="X154" s="542"/>
      <c r="Y154" s="542"/>
      <c r="Z154" s="444"/>
      <c r="AA154" s="542" t="str">
        <f t="shared" si="77"/>
        <v/>
      </c>
      <c r="AB154" s="542"/>
      <c r="AC154" s="542"/>
      <c r="AD154" s="444"/>
      <c r="AF154" s="65" t="str">
        <f t="shared" si="78"/>
        <v>** NOT USED **</v>
      </c>
      <c r="AG154" s="346" t="str">
        <f t="shared" si="79"/>
        <v/>
      </c>
      <c r="AI154" s="609" t="str">
        <f t="shared" si="80"/>
        <v/>
      </c>
      <c r="AJ154" s="609"/>
      <c r="AK154" s="609"/>
      <c r="AL154" s="609"/>
      <c r="AM154" s="209" t="str">
        <f t="shared" ca="1" si="81"/>
        <v/>
      </c>
      <c r="AN154" s="209">
        <v>11</v>
      </c>
      <c r="AP154" s="406">
        <f t="shared" si="82"/>
        <v>0</v>
      </c>
      <c r="AR154" s="209">
        <v>11</v>
      </c>
      <c r="AS154" s="65">
        <f t="shared" si="83"/>
        <v>0</v>
      </c>
      <c r="AT154" s="65">
        <f t="shared" si="84"/>
        <v>0</v>
      </c>
    </row>
    <row r="155" spans="2:46" hidden="1" outlineLevel="1" x14ac:dyDescent="0.2">
      <c r="B155" s="209" t="str">
        <f t="shared" si="71"/>
        <v/>
      </c>
      <c r="C155" s="209" t="str">
        <f t="shared" si="72"/>
        <v/>
      </c>
      <c r="D155" s="209" t="str">
        <f t="shared" si="73"/>
        <v/>
      </c>
      <c r="E155" s="351"/>
      <c r="F155" s="610"/>
      <c r="G155" s="611"/>
      <c r="H155" s="611"/>
      <c r="I155" s="407"/>
      <c r="J155" s="390"/>
      <c r="K155" s="390"/>
      <c r="L155" s="352" t="str">
        <f t="shared" si="74"/>
        <v/>
      </c>
      <c r="M155" s="50"/>
      <c r="N155" s="50"/>
      <c r="O155" s="50"/>
      <c r="P155" s="50"/>
      <c r="Q155" s="50"/>
      <c r="R155" s="50"/>
      <c r="S155" s="379" t="str">
        <f t="shared" si="75"/>
        <v/>
      </c>
      <c r="W155" s="542" t="str">
        <f t="shared" si="76"/>
        <v/>
      </c>
      <c r="X155" s="542"/>
      <c r="Y155" s="542"/>
      <c r="Z155" s="444"/>
      <c r="AA155" s="542" t="str">
        <f t="shared" si="77"/>
        <v/>
      </c>
      <c r="AB155" s="542"/>
      <c r="AC155" s="542"/>
      <c r="AD155" s="444"/>
      <c r="AF155" s="65" t="str">
        <f t="shared" si="78"/>
        <v>** NOT USED **</v>
      </c>
      <c r="AG155" s="346" t="str">
        <f t="shared" si="79"/>
        <v/>
      </c>
      <c r="AI155" s="609" t="str">
        <f t="shared" si="80"/>
        <v/>
      </c>
      <c r="AJ155" s="609"/>
      <c r="AK155" s="609"/>
      <c r="AL155" s="609"/>
      <c r="AM155" s="209" t="str">
        <f t="shared" ca="1" si="81"/>
        <v/>
      </c>
      <c r="AN155" s="209">
        <v>12</v>
      </c>
      <c r="AP155" s="406">
        <f t="shared" si="82"/>
        <v>0</v>
      </c>
      <c r="AR155" s="209">
        <v>12</v>
      </c>
      <c r="AS155" s="65">
        <f t="shared" si="83"/>
        <v>0</v>
      </c>
      <c r="AT155" s="65">
        <f t="shared" si="84"/>
        <v>0</v>
      </c>
    </row>
    <row r="156" spans="2:46" hidden="1" outlineLevel="1" x14ac:dyDescent="0.2">
      <c r="B156" s="209" t="str">
        <f t="shared" si="71"/>
        <v/>
      </c>
      <c r="C156" s="209" t="str">
        <f t="shared" si="72"/>
        <v/>
      </c>
      <c r="D156" s="209" t="str">
        <f t="shared" si="73"/>
        <v/>
      </c>
      <c r="E156" s="351"/>
      <c r="F156" s="610"/>
      <c r="G156" s="611"/>
      <c r="H156" s="611"/>
      <c r="I156" s="407"/>
      <c r="J156" s="390"/>
      <c r="K156" s="390"/>
      <c r="L156" s="352" t="str">
        <f t="shared" si="74"/>
        <v/>
      </c>
      <c r="M156" s="50"/>
      <c r="N156" s="50"/>
      <c r="O156" s="50"/>
      <c r="P156" s="50"/>
      <c r="Q156" s="50"/>
      <c r="R156" s="50"/>
      <c r="S156" s="379" t="str">
        <f t="shared" si="75"/>
        <v/>
      </c>
      <c r="W156" s="542" t="str">
        <f t="shared" si="76"/>
        <v/>
      </c>
      <c r="X156" s="542"/>
      <c r="Y156" s="542"/>
      <c r="Z156" s="444"/>
      <c r="AA156" s="542" t="str">
        <f t="shared" si="77"/>
        <v/>
      </c>
      <c r="AB156" s="542"/>
      <c r="AC156" s="542"/>
      <c r="AD156" s="444"/>
      <c r="AF156" s="65" t="str">
        <f t="shared" si="78"/>
        <v>** NOT USED **</v>
      </c>
      <c r="AG156" s="346" t="str">
        <f t="shared" si="79"/>
        <v/>
      </c>
      <c r="AI156" s="609" t="str">
        <f t="shared" si="80"/>
        <v/>
      </c>
      <c r="AJ156" s="609"/>
      <c r="AK156" s="609"/>
      <c r="AL156" s="609"/>
      <c r="AM156" s="209" t="str">
        <f t="shared" ca="1" si="81"/>
        <v/>
      </c>
      <c r="AN156" s="209">
        <v>13</v>
      </c>
      <c r="AP156" s="406">
        <f t="shared" si="82"/>
        <v>0</v>
      </c>
      <c r="AR156" s="209">
        <v>13</v>
      </c>
      <c r="AS156" s="65">
        <f t="shared" si="83"/>
        <v>0</v>
      </c>
      <c r="AT156" s="65">
        <f t="shared" si="84"/>
        <v>0</v>
      </c>
    </row>
    <row r="157" spans="2:46" hidden="1" outlineLevel="1" x14ac:dyDescent="0.2">
      <c r="B157" s="209" t="str">
        <f t="shared" si="71"/>
        <v/>
      </c>
      <c r="C157" s="209" t="str">
        <f t="shared" si="72"/>
        <v/>
      </c>
      <c r="D157" s="209" t="str">
        <f t="shared" si="73"/>
        <v/>
      </c>
      <c r="E157" s="351"/>
      <c r="F157" s="610"/>
      <c r="G157" s="611"/>
      <c r="H157" s="611"/>
      <c r="I157" s="407"/>
      <c r="J157" s="390"/>
      <c r="K157" s="390"/>
      <c r="L157" s="352" t="str">
        <f t="shared" si="74"/>
        <v/>
      </c>
      <c r="M157" s="50"/>
      <c r="N157" s="50"/>
      <c r="O157" s="50"/>
      <c r="P157" s="50"/>
      <c r="Q157" s="50"/>
      <c r="R157" s="50"/>
      <c r="S157" s="379" t="str">
        <f t="shared" si="75"/>
        <v/>
      </c>
      <c r="W157" s="542" t="str">
        <f t="shared" si="76"/>
        <v/>
      </c>
      <c r="X157" s="542"/>
      <c r="Y157" s="542"/>
      <c r="Z157" s="444"/>
      <c r="AA157" s="542" t="str">
        <f t="shared" si="77"/>
        <v/>
      </c>
      <c r="AB157" s="542"/>
      <c r="AC157" s="542"/>
      <c r="AD157" s="444"/>
      <c r="AF157" s="65" t="str">
        <f t="shared" si="78"/>
        <v>** NOT USED **</v>
      </c>
      <c r="AG157" s="346" t="str">
        <f t="shared" si="79"/>
        <v/>
      </c>
      <c r="AI157" s="609" t="str">
        <f t="shared" si="80"/>
        <v/>
      </c>
      <c r="AJ157" s="609"/>
      <c r="AK157" s="609"/>
      <c r="AL157" s="609"/>
      <c r="AM157" s="209" t="str">
        <f t="shared" ca="1" si="81"/>
        <v/>
      </c>
      <c r="AN157" s="209">
        <v>14</v>
      </c>
      <c r="AP157" s="406">
        <f t="shared" si="82"/>
        <v>0</v>
      </c>
      <c r="AR157" s="209">
        <v>14</v>
      </c>
      <c r="AS157" s="65">
        <f t="shared" si="83"/>
        <v>0</v>
      </c>
      <c r="AT157" s="65">
        <f t="shared" si="84"/>
        <v>0</v>
      </c>
    </row>
    <row r="158" spans="2:46" hidden="1" outlineLevel="1" x14ac:dyDescent="0.2">
      <c r="B158" s="209" t="str">
        <f t="shared" si="71"/>
        <v/>
      </c>
      <c r="C158" s="209" t="str">
        <f t="shared" si="72"/>
        <v/>
      </c>
      <c r="D158" s="209" t="str">
        <f t="shared" si="73"/>
        <v/>
      </c>
      <c r="E158" s="351"/>
      <c r="F158" s="610"/>
      <c r="G158" s="611"/>
      <c r="H158" s="611"/>
      <c r="I158" s="407"/>
      <c r="J158" s="390"/>
      <c r="K158" s="390"/>
      <c r="L158" s="352" t="str">
        <f t="shared" si="74"/>
        <v/>
      </c>
      <c r="M158" s="50"/>
      <c r="N158" s="50"/>
      <c r="O158" s="50"/>
      <c r="P158" s="50"/>
      <c r="Q158" s="50"/>
      <c r="R158" s="50"/>
      <c r="S158" s="379" t="str">
        <f t="shared" si="75"/>
        <v/>
      </c>
      <c r="W158" s="542" t="str">
        <f t="shared" si="76"/>
        <v/>
      </c>
      <c r="X158" s="542"/>
      <c r="Y158" s="542"/>
      <c r="Z158" s="444"/>
      <c r="AA158" s="542" t="str">
        <f t="shared" si="77"/>
        <v/>
      </c>
      <c r="AB158" s="542"/>
      <c r="AC158" s="542"/>
      <c r="AD158" s="444"/>
      <c r="AF158" s="65" t="str">
        <f t="shared" si="78"/>
        <v>** NOT USED **</v>
      </c>
      <c r="AG158" s="346" t="str">
        <f t="shared" si="79"/>
        <v/>
      </c>
      <c r="AI158" s="609" t="str">
        <f t="shared" si="80"/>
        <v/>
      </c>
      <c r="AJ158" s="609"/>
      <c r="AK158" s="609"/>
      <c r="AL158" s="609"/>
      <c r="AM158" s="209" t="str">
        <f t="shared" ca="1" si="81"/>
        <v/>
      </c>
      <c r="AN158" s="209">
        <v>15</v>
      </c>
      <c r="AP158" s="406">
        <f t="shared" si="82"/>
        <v>0</v>
      </c>
      <c r="AR158" s="209">
        <v>15</v>
      </c>
      <c r="AS158" s="65">
        <f t="shared" si="83"/>
        <v>0</v>
      </c>
      <c r="AT158" s="65">
        <f t="shared" si="84"/>
        <v>0</v>
      </c>
    </row>
    <row r="159" spans="2:46" hidden="1" outlineLevel="1" x14ac:dyDescent="0.2">
      <c r="B159" s="209" t="str">
        <f t="shared" si="71"/>
        <v/>
      </c>
      <c r="C159" s="209" t="str">
        <f t="shared" si="72"/>
        <v/>
      </c>
      <c r="D159" s="209" t="str">
        <f t="shared" si="73"/>
        <v/>
      </c>
      <c r="E159" s="351"/>
      <c r="F159" s="610"/>
      <c r="G159" s="611"/>
      <c r="H159" s="611"/>
      <c r="I159" s="407"/>
      <c r="J159" s="390"/>
      <c r="K159" s="390"/>
      <c r="L159" s="352" t="str">
        <f t="shared" si="74"/>
        <v/>
      </c>
      <c r="M159" s="50"/>
      <c r="N159" s="50"/>
      <c r="O159" s="50"/>
      <c r="P159" s="50"/>
      <c r="Q159" s="50"/>
      <c r="R159" s="50"/>
      <c r="S159" s="379" t="str">
        <f t="shared" si="75"/>
        <v/>
      </c>
      <c r="W159" s="542" t="str">
        <f t="shared" si="76"/>
        <v/>
      </c>
      <c r="X159" s="542"/>
      <c r="Y159" s="542"/>
      <c r="Z159" s="444"/>
      <c r="AA159" s="542" t="str">
        <f t="shared" si="77"/>
        <v/>
      </c>
      <c r="AB159" s="542"/>
      <c r="AC159" s="542"/>
      <c r="AD159" s="444"/>
      <c r="AF159" s="65" t="str">
        <f t="shared" si="78"/>
        <v>** NOT USED **</v>
      </c>
      <c r="AG159" s="346" t="str">
        <f t="shared" si="79"/>
        <v/>
      </c>
      <c r="AI159" s="609" t="str">
        <f t="shared" si="80"/>
        <v/>
      </c>
      <c r="AJ159" s="609"/>
      <c r="AK159" s="609"/>
      <c r="AL159" s="609"/>
      <c r="AM159" s="209" t="str">
        <f t="shared" ca="1" si="81"/>
        <v/>
      </c>
      <c r="AN159" s="209">
        <v>16</v>
      </c>
      <c r="AP159" s="406">
        <f t="shared" si="82"/>
        <v>0</v>
      </c>
      <c r="AR159" s="209">
        <v>16</v>
      </c>
      <c r="AS159" s="65">
        <f t="shared" si="83"/>
        <v>0</v>
      </c>
      <c r="AT159" s="65">
        <f t="shared" si="84"/>
        <v>0</v>
      </c>
    </row>
    <row r="160" spans="2:46" hidden="1" outlineLevel="1" x14ac:dyDescent="0.2">
      <c r="B160" s="209" t="str">
        <f t="shared" si="71"/>
        <v/>
      </c>
      <c r="C160" s="209" t="str">
        <f t="shared" si="72"/>
        <v/>
      </c>
      <c r="D160" s="209" t="str">
        <f t="shared" si="73"/>
        <v/>
      </c>
      <c r="E160" s="351"/>
      <c r="F160" s="610"/>
      <c r="G160" s="611"/>
      <c r="H160" s="611"/>
      <c r="I160" s="407"/>
      <c r="J160" s="390"/>
      <c r="K160" s="390"/>
      <c r="L160" s="352" t="str">
        <f t="shared" si="74"/>
        <v/>
      </c>
      <c r="M160" s="50"/>
      <c r="N160" s="50"/>
      <c r="O160" s="50"/>
      <c r="P160" s="50"/>
      <c r="Q160" s="50"/>
      <c r="R160" s="50"/>
      <c r="S160" s="379" t="str">
        <f t="shared" si="75"/>
        <v/>
      </c>
      <c r="W160" s="542" t="str">
        <f t="shared" si="76"/>
        <v/>
      </c>
      <c r="X160" s="542"/>
      <c r="Y160" s="542"/>
      <c r="Z160" s="444"/>
      <c r="AA160" s="542" t="str">
        <f t="shared" si="77"/>
        <v/>
      </c>
      <c r="AB160" s="542"/>
      <c r="AC160" s="542"/>
      <c r="AD160" s="444"/>
      <c r="AF160" s="65" t="str">
        <f t="shared" si="78"/>
        <v>** NOT USED **</v>
      </c>
      <c r="AG160" s="346" t="str">
        <f t="shared" si="79"/>
        <v/>
      </c>
      <c r="AI160" s="609" t="str">
        <f t="shared" si="80"/>
        <v/>
      </c>
      <c r="AJ160" s="609"/>
      <c r="AK160" s="609"/>
      <c r="AL160" s="609"/>
      <c r="AM160" s="209" t="str">
        <f t="shared" ca="1" si="81"/>
        <v/>
      </c>
      <c r="AN160" s="209">
        <v>17</v>
      </c>
      <c r="AP160" s="406">
        <f t="shared" si="82"/>
        <v>0</v>
      </c>
      <c r="AR160" s="209">
        <v>17</v>
      </c>
      <c r="AS160" s="65">
        <f t="shared" si="83"/>
        <v>0</v>
      </c>
      <c r="AT160" s="65">
        <f t="shared" si="84"/>
        <v>0</v>
      </c>
    </row>
    <row r="161" spans="2:46" hidden="1" outlineLevel="1" x14ac:dyDescent="0.2">
      <c r="B161" s="209" t="str">
        <f t="shared" si="71"/>
        <v/>
      </c>
      <c r="C161" s="209" t="str">
        <f t="shared" si="72"/>
        <v/>
      </c>
      <c r="D161" s="209" t="str">
        <f t="shared" si="73"/>
        <v/>
      </c>
      <c r="E161" s="351"/>
      <c r="F161" s="610"/>
      <c r="G161" s="611"/>
      <c r="H161" s="611"/>
      <c r="I161" s="407"/>
      <c r="J161" s="390"/>
      <c r="K161" s="390"/>
      <c r="L161" s="352" t="str">
        <f t="shared" si="74"/>
        <v/>
      </c>
      <c r="M161" s="50"/>
      <c r="N161" s="50"/>
      <c r="O161" s="50"/>
      <c r="P161" s="50"/>
      <c r="Q161" s="50"/>
      <c r="R161" s="50"/>
      <c r="S161" s="379" t="str">
        <f t="shared" si="75"/>
        <v/>
      </c>
      <c r="W161" s="542" t="str">
        <f t="shared" si="76"/>
        <v/>
      </c>
      <c r="X161" s="542"/>
      <c r="Y161" s="542"/>
      <c r="Z161" s="444"/>
      <c r="AA161" s="542" t="str">
        <f t="shared" si="77"/>
        <v/>
      </c>
      <c r="AB161" s="542"/>
      <c r="AC161" s="542"/>
      <c r="AD161" s="444"/>
      <c r="AF161" s="65" t="str">
        <f t="shared" si="78"/>
        <v>** NOT USED **</v>
      </c>
      <c r="AG161" s="346" t="str">
        <f t="shared" si="79"/>
        <v/>
      </c>
      <c r="AI161" s="609" t="str">
        <f t="shared" si="80"/>
        <v/>
      </c>
      <c r="AJ161" s="609"/>
      <c r="AK161" s="609"/>
      <c r="AL161" s="609"/>
      <c r="AM161" s="209" t="str">
        <f t="shared" ca="1" si="81"/>
        <v/>
      </c>
      <c r="AN161" s="209">
        <v>18</v>
      </c>
      <c r="AP161" s="406">
        <f t="shared" si="82"/>
        <v>0</v>
      </c>
      <c r="AR161" s="209">
        <v>18</v>
      </c>
      <c r="AS161" s="65">
        <f t="shared" si="83"/>
        <v>0</v>
      </c>
      <c r="AT161" s="65">
        <f t="shared" si="84"/>
        <v>0</v>
      </c>
    </row>
    <row r="162" spans="2:46" hidden="1" outlineLevel="1" x14ac:dyDescent="0.2">
      <c r="B162" s="209" t="str">
        <f t="shared" si="71"/>
        <v/>
      </c>
      <c r="C162" s="209" t="str">
        <f t="shared" si="72"/>
        <v/>
      </c>
      <c r="D162" s="209" t="str">
        <f t="shared" si="73"/>
        <v/>
      </c>
      <c r="E162" s="351"/>
      <c r="F162" s="610"/>
      <c r="G162" s="611"/>
      <c r="H162" s="611"/>
      <c r="I162" s="407"/>
      <c r="J162" s="390"/>
      <c r="K162" s="390"/>
      <c r="L162" s="352" t="str">
        <f t="shared" si="74"/>
        <v/>
      </c>
      <c r="M162" s="50"/>
      <c r="N162" s="50"/>
      <c r="O162" s="50"/>
      <c r="P162" s="50"/>
      <c r="Q162" s="50"/>
      <c r="R162" s="50"/>
      <c r="S162" s="379" t="str">
        <f t="shared" si="75"/>
        <v/>
      </c>
      <c r="W162" s="542" t="str">
        <f t="shared" si="76"/>
        <v/>
      </c>
      <c r="X162" s="542"/>
      <c r="Y162" s="542"/>
      <c r="Z162" s="444"/>
      <c r="AA162" s="542" t="str">
        <f t="shared" si="77"/>
        <v/>
      </c>
      <c r="AB162" s="542"/>
      <c r="AC162" s="542"/>
      <c r="AD162" s="444"/>
      <c r="AF162" s="65" t="str">
        <f t="shared" si="78"/>
        <v>** NOT USED **</v>
      </c>
      <c r="AG162" s="346" t="str">
        <f t="shared" si="79"/>
        <v/>
      </c>
      <c r="AI162" s="609" t="str">
        <f t="shared" si="80"/>
        <v/>
      </c>
      <c r="AJ162" s="609"/>
      <c r="AK162" s="609"/>
      <c r="AL162" s="609"/>
      <c r="AM162" s="209" t="str">
        <f t="shared" ca="1" si="81"/>
        <v/>
      </c>
      <c r="AN162" s="209">
        <v>19</v>
      </c>
      <c r="AP162" s="406">
        <f t="shared" si="82"/>
        <v>0</v>
      </c>
      <c r="AR162" s="209">
        <v>19</v>
      </c>
      <c r="AS162" s="65">
        <f t="shared" si="83"/>
        <v>0</v>
      </c>
      <c r="AT162" s="65">
        <f t="shared" si="84"/>
        <v>0</v>
      </c>
    </row>
    <row r="163" spans="2:46" hidden="1" outlineLevel="1" x14ac:dyDescent="0.2">
      <c r="B163" s="209" t="str">
        <f t="shared" si="71"/>
        <v/>
      </c>
      <c r="C163" s="209" t="str">
        <f t="shared" si="72"/>
        <v/>
      </c>
      <c r="D163" s="209" t="str">
        <f t="shared" si="73"/>
        <v/>
      </c>
      <c r="E163" s="351"/>
      <c r="F163" s="610"/>
      <c r="G163" s="611"/>
      <c r="H163" s="611"/>
      <c r="I163" s="407"/>
      <c r="J163" s="390"/>
      <c r="K163" s="390"/>
      <c r="L163" s="352" t="str">
        <f t="shared" si="74"/>
        <v/>
      </c>
      <c r="M163" s="50"/>
      <c r="N163" s="50"/>
      <c r="O163" s="50"/>
      <c r="P163" s="50"/>
      <c r="Q163" s="50"/>
      <c r="R163" s="50"/>
      <c r="S163" s="379" t="str">
        <f t="shared" si="75"/>
        <v/>
      </c>
      <c r="W163" s="542" t="str">
        <f t="shared" si="76"/>
        <v/>
      </c>
      <c r="X163" s="542"/>
      <c r="Y163" s="542"/>
      <c r="Z163" s="444"/>
      <c r="AA163" s="542" t="str">
        <f t="shared" si="77"/>
        <v/>
      </c>
      <c r="AB163" s="542"/>
      <c r="AC163" s="542"/>
      <c r="AD163" s="444"/>
      <c r="AF163" s="65" t="str">
        <f t="shared" si="78"/>
        <v>** NOT USED **</v>
      </c>
      <c r="AG163" s="346" t="str">
        <f t="shared" si="79"/>
        <v/>
      </c>
      <c r="AI163" s="609" t="str">
        <f t="shared" si="80"/>
        <v/>
      </c>
      <c r="AJ163" s="609"/>
      <c r="AK163" s="609"/>
      <c r="AL163" s="609"/>
      <c r="AM163" s="209" t="str">
        <f t="shared" ca="1" si="81"/>
        <v/>
      </c>
      <c r="AN163" s="209">
        <v>20</v>
      </c>
      <c r="AP163" s="406">
        <f t="shared" si="82"/>
        <v>0</v>
      </c>
      <c r="AR163" s="209">
        <v>20</v>
      </c>
      <c r="AS163" s="65">
        <f t="shared" si="83"/>
        <v>0</v>
      </c>
      <c r="AT163" s="65">
        <f t="shared" si="84"/>
        <v>0</v>
      </c>
    </row>
    <row r="164" spans="2:46" ht="14.25" collapsed="1" x14ac:dyDescent="0.2">
      <c r="C164" s="209">
        <f>COUNTIF(C144:C163,"&gt;1")</f>
        <v>0</v>
      </c>
      <c r="F164" s="455"/>
      <c r="L164" s="483"/>
      <c r="M164" s="483"/>
    </row>
    <row r="165" spans="2:46" ht="15.75" x14ac:dyDescent="0.2">
      <c r="E165" s="111" t="s">
        <v>855</v>
      </c>
      <c r="F165" s="112"/>
      <c r="G165" s="112"/>
      <c r="H165" s="112"/>
      <c r="I165" s="112"/>
      <c r="J165" s="112"/>
      <c r="K165" s="112"/>
      <c r="L165" s="112"/>
      <c r="M165" s="112"/>
      <c r="N165" s="112"/>
      <c r="O165" s="112"/>
      <c r="P165" s="112"/>
      <c r="Q165" s="112"/>
      <c r="R165" s="112"/>
      <c r="S165" s="21"/>
      <c r="T165" s="21"/>
      <c r="U165" s="21"/>
      <c r="V165" s="21"/>
      <c r="W165" s="21"/>
      <c r="X165" s="21"/>
      <c r="Y165" s="21"/>
      <c r="Z165" s="21"/>
      <c r="AA165" s="21"/>
      <c r="AB165" s="21"/>
      <c r="AC165" s="21"/>
      <c r="AD165" s="21"/>
      <c r="AE165" s="21"/>
      <c r="AF165" s="21"/>
      <c r="AG165" s="21"/>
      <c r="AH165" s="21"/>
      <c r="AI165" s="21"/>
      <c r="AJ165" s="21"/>
      <c r="AK165" s="21"/>
      <c r="AL165" s="21"/>
      <c r="AM165" s="21"/>
      <c r="AN165" s="21"/>
      <c r="AO165" s="21"/>
      <c r="AP165" s="21"/>
      <c r="AQ165" s="21"/>
      <c r="AR165" s="21"/>
      <c r="AS165" s="21"/>
      <c r="AT165" s="21"/>
    </row>
    <row r="166" spans="2:46" x14ac:dyDescent="0.2"/>
    <row r="167" spans="2:46" x14ac:dyDescent="0.2">
      <c r="E167" s="484" t="s">
        <v>23</v>
      </c>
      <c r="F167" s="484"/>
      <c r="G167" s="484"/>
      <c r="H167" s="484"/>
      <c r="I167" s="484"/>
      <c r="J167" s="484"/>
      <c r="K167" s="484"/>
      <c r="L167" s="484"/>
    </row>
  </sheetData>
  <mergeCells count="168">
    <mergeCell ref="F160:H160"/>
    <mergeCell ref="W162:Y162"/>
    <mergeCell ref="W163:Y163"/>
    <mergeCell ref="W153:Y153"/>
    <mergeCell ref="W154:Y154"/>
    <mergeCell ref="W155:Y155"/>
    <mergeCell ref="W156:Y156"/>
    <mergeCell ref="W157:Y157"/>
    <mergeCell ref="W158:Y158"/>
    <mergeCell ref="W159:Y159"/>
    <mergeCell ref="W160:Y160"/>
    <mergeCell ref="W161:Y161"/>
    <mergeCell ref="F162:H162"/>
    <mergeCell ref="F163:H163"/>
    <mergeCell ref="F157:H157"/>
    <mergeCell ref="F158:H158"/>
    <mergeCell ref="F159:H159"/>
    <mergeCell ref="F153:H153"/>
    <mergeCell ref="F144:H144"/>
    <mergeCell ref="F133:H133"/>
    <mergeCell ref="F136:H136"/>
    <mergeCell ref="Q126:U126"/>
    <mergeCell ref="Q127:U127"/>
    <mergeCell ref="Q128:U128"/>
    <mergeCell ref="Q129:U129"/>
    <mergeCell ref="Q130:U130"/>
    <mergeCell ref="Q131:U131"/>
    <mergeCell ref="F118:H118"/>
    <mergeCell ref="F119:H119"/>
    <mergeCell ref="W119:Y119"/>
    <mergeCell ref="Q116:U116"/>
    <mergeCell ref="Q117:U117"/>
    <mergeCell ref="Q118:U118"/>
    <mergeCell ref="Q119:U119"/>
    <mergeCell ref="F161:H161"/>
    <mergeCell ref="F154:H154"/>
    <mergeCell ref="F155:H155"/>
    <mergeCell ref="F156:H156"/>
    <mergeCell ref="F134:H134"/>
    <mergeCell ref="F127:H127"/>
    <mergeCell ref="F130:H130"/>
    <mergeCell ref="W118:Y118"/>
    <mergeCell ref="Q120:U120"/>
    <mergeCell ref="Q121:U121"/>
    <mergeCell ref="Q122:U122"/>
    <mergeCell ref="Q123:U123"/>
    <mergeCell ref="Q124:U124"/>
    <mergeCell ref="Q125:U125"/>
    <mergeCell ref="W146:Y146"/>
    <mergeCell ref="F128:H128"/>
    <mergeCell ref="F129:H129"/>
    <mergeCell ref="F14:K14"/>
    <mergeCell ref="M14:R14"/>
    <mergeCell ref="F46:K46"/>
    <mergeCell ref="M46:R46"/>
    <mergeCell ref="J42:K42"/>
    <mergeCell ref="Q42:R42"/>
    <mergeCell ref="AO115:AT115"/>
    <mergeCell ref="F116:H116"/>
    <mergeCell ref="F117:H117"/>
    <mergeCell ref="AI115:AN115"/>
    <mergeCell ref="AI83:AT83"/>
    <mergeCell ref="AI84:AN84"/>
    <mergeCell ref="AO84:AT84"/>
    <mergeCell ref="AI45:AT45"/>
    <mergeCell ref="AI46:AN46"/>
    <mergeCell ref="AO46:AT46"/>
    <mergeCell ref="W117:Y117"/>
    <mergeCell ref="F78:K78"/>
    <mergeCell ref="F84:K84"/>
    <mergeCell ref="Q74:R74"/>
    <mergeCell ref="M78:R78"/>
    <mergeCell ref="M84:R84"/>
    <mergeCell ref="J74:K74"/>
    <mergeCell ref="AA117:AC117"/>
    <mergeCell ref="AI143:AL143"/>
    <mergeCell ref="AI144:AL144"/>
    <mergeCell ref="F125:H125"/>
    <mergeCell ref="J142:L142"/>
    <mergeCell ref="F126:H126"/>
    <mergeCell ref="F120:H120"/>
    <mergeCell ref="F121:H121"/>
    <mergeCell ref="F122:H122"/>
    <mergeCell ref="F135:H135"/>
    <mergeCell ref="W120:Y120"/>
    <mergeCell ref="W121:Y121"/>
    <mergeCell ref="W122:Y122"/>
    <mergeCell ref="W123:Y123"/>
    <mergeCell ref="W124:Y124"/>
    <mergeCell ref="W125:Y125"/>
    <mergeCell ref="W126:Y126"/>
    <mergeCell ref="F123:H123"/>
    <mergeCell ref="W127:Y127"/>
    <mergeCell ref="W131:Y131"/>
    <mergeCell ref="W132:Y132"/>
    <mergeCell ref="W133:Y133"/>
    <mergeCell ref="W134:Y134"/>
    <mergeCell ref="W135:Y135"/>
    <mergeCell ref="F124:H124"/>
    <mergeCell ref="W128:Y128"/>
    <mergeCell ref="W129:Y129"/>
    <mergeCell ref="W130:Y130"/>
    <mergeCell ref="W147:Y147"/>
    <mergeCell ref="W148:Y148"/>
    <mergeCell ref="W149:Y149"/>
    <mergeCell ref="W150:Y150"/>
    <mergeCell ref="W151:Y151"/>
    <mergeCell ref="F148:H148"/>
    <mergeCell ref="F131:H131"/>
    <mergeCell ref="F132:H132"/>
    <mergeCell ref="W144:Y144"/>
    <mergeCell ref="F143:H143"/>
    <mergeCell ref="M142:R142"/>
    <mergeCell ref="W136:Y136"/>
    <mergeCell ref="W145:Y145"/>
    <mergeCell ref="Q132:U132"/>
    <mergeCell ref="Q133:U133"/>
    <mergeCell ref="Q134:U134"/>
    <mergeCell ref="Q135:U135"/>
    <mergeCell ref="Q136:U136"/>
    <mergeCell ref="J139:K139"/>
    <mergeCell ref="F145:H145"/>
    <mergeCell ref="F146:H146"/>
    <mergeCell ref="W152:Y152"/>
    <mergeCell ref="F147:H147"/>
    <mergeCell ref="F151:H151"/>
    <mergeCell ref="F152:H152"/>
    <mergeCell ref="F149:H149"/>
    <mergeCell ref="F150:H150"/>
    <mergeCell ref="AA163:AC163"/>
    <mergeCell ref="AA144:AC144"/>
    <mergeCell ref="AI162:AL162"/>
    <mergeCell ref="AI163:AL163"/>
    <mergeCell ref="AI152:AL152"/>
    <mergeCell ref="AI153:AL153"/>
    <mergeCell ref="AI154:AL154"/>
    <mergeCell ref="AI155:AL155"/>
    <mergeCell ref="AI156:AL156"/>
    <mergeCell ref="AI157:AL157"/>
    <mergeCell ref="AI158:AL158"/>
    <mergeCell ref="AI159:AL159"/>
    <mergeCell ref="AI160:AL160"/>
    <mergeCell ref="AI161:AL161"/>
    <mergeCell ref="AI150:AL150"/>
    <mergeCell ref="AI151:AL151"/>
    <mergeCell ref="AI147:AL147"/>
    <mergeCell ref="AI148:AL148"/>
    <mergeCell ref="AI149:AL149"/>
    <mergeCell ref="AI145:AL145"/>
    <mergeCell ref="AI146:AL146"/>
    <mergeCell ref="AA154:AC154"/>
    <mergeCell ref="AA155:AC155"/>
    <mergeCell ref="AA156:AC156"/>
    <mergeCell ref="AA157:AC157"/>
    <mergeCell ref="AA158:AC158"/>
    <mergeCell ref="AA159:AC159"/>
    <mergeCell ref="AA160:AC160"/>
    <mergeCell ref="AA161:AC161"/>
    <mergeCell ref="AA162:AC162"/>
    <mergeCell ref="AA145:AC145"/>
    <mergeCell ref="AA146:AC146"/>
    <mergeCell ref="AA147:AC147"/>
    <mergeCell ref="AA148:AC148"/>
    <mergeCell ref="AA149:AC149"/>
    <mergeCell ref="AA150:AC150"/>
    <mergeCell ref="AA151:AC151"/>
    <mergeCell ref="AA152:AC152"/>
    <mergeCell ref="AA153:AC153"/>
  </mergeCells>
  <conditionalFormatting sqref="E144:E163">
    <cfRule type="duplicateValues" dxfId="170" priority="13"/>
  </conditionalFormatting>
  <conditionalFormatting sqref="E81:K81 M81:R81">
    <cfRule type="expression" dxfId="169" priority="180">
      <formula>$E$81=""</formula>
    </cfRule>
  </conditionalFormatting>
  <conditionalFormatting sqref="E144:S163">
    <cfRule type="expression" dxfId="168" priority="9">
      <formula>AND(ScriptSourceCode&lt;&gt;2,ScriptSourceCode&lt;&gt;3)</formula>
    </cfRule>
  </conditionalFormatting>
  <conditionalFormatting sqref="F144:H163">
    <cfRule type="duplicateValues" dxfId="167" priority="7"/>
  </conditionalFormatting>
  <conditionalFormatting sqref="F144:S163">
    <cfRule type="expression" dxfId="166" priority="133">
      <formula>$E144=""</formula>
    </cfRule>
  </conditionalFormatting>
  <conditionalFormatting sqref="F117:U136">
    <cfRule type="expression" dxfId="165" priority="77">
      <formula>$E117=""</formula>
    </cfRule>
  </conditionalFormatting>
  <conditionalFormatting sqref="I143:I163">
    <cfRule type="expression" dxfId="164" priority="1">
      <formula>ScriptSplit &lt;&gt; 2</formula>
    </cfRule>
  </conditionalFormatting>
  <conditionalFormatting sqref="J117:Q136">
    <cfRule type="expression" dxfId="163" priority="2">
      <formula>ScriptSourceCode = 2</formula>
    </cfRule>
  </conditionalFormatting>
  <conditionalFormatting sqref="W144:Y163">
    <cfRule type="notContainsBlanks" dxfId="162" priority="3">
      <formula>LEN(TRIM(W144))&gt;0</formula>
    </cfRule>
  </conditionalFormatting>
  <conditionalFormatting sqref="AA117:AC117 W117:Y136">
    <cfRule type="notContainsBlanks" dxfId="161" priority="4">
      <formula>LEN(TRIM(W117))&gt;0</formula>
    </cfRule>
  </conditionalFormatting>
  <conditionalFormatting sqref="AA144:AC163">
    <cfRule type="notContainsBlanks" dxfId="160" priority="6">
      <formula>LEN(TRIM(AA144))&gt;0</formula>
    </cfRule>
  </conditionalFormatting>
  <dataValidations count="5">
    <dataValidation type="list" allowBlank="1" showInputMessage="1" showErrorMessage="1" sqref="I117:I136" xr:uid="{00000000-0002-0000-0700-000000000000}">
      <formula1>TPShort</formula1>
    </dataValidation>
    <dataValidation type="list" allowBlank="1" showInputMessage="1" showErrorMessage="1" sqref="F144:H163" xr:uid="{00000000-0002-0000-0700-000001000000}">
      <formula1>NamesNewTx</formula1>
    </dataValidation>
    <dataValidation type="list" allowBlank="1" showInputMessage="1" showErrorMessage="1" sqref="M117:M136" xr:uid="{00000000-0002-0000-0700-000002000000}">
      <formula1>TimeUnit</formula1>
    </dataValidation>
    <dataValidation type="list" allowBlank="1" showInputMessage="1" showErrorMessage="1" sqref="E144:E163" xr:uid="{00000000-0002-0000-0700-000003000000}">
      <formula1>NamesScriptsChangedTx</formula1>
    </dataValidation>
    <dataValidation type="list" allowBlank="1" showInputMessage="1" showErrorMessage="1" sqref="Q117:U136" xr:uid="{00000000-0002-0000-0700-000004000000}">
      <formula1>DTGPops</formula1>
    </dataValidation>
  </dataValidations>
  <pageMargins left="0.25" right="0.25" top="0.75" bottom="0.75" header="0.3" footer="0.3"/>
  <pageSetup paperSize="8" scale="43" orientation="portrait" verticalDpi="300" r:id="rId1"/>
  <headerFooter>
    <oddHeader>&amp;C&amp;"Calibri"&amp;12&amp;KFF0000 OFFICIAL&amp;1#_x000D_</oddHeader>
    <oddFooter>&amp;C_x000D_&amp;1#&amp;"Calibri"&amp;12&amp;KFF0000 OFFICIAL</oddFooter>
  </headerFooter>
  <ignoredErrors>
    <ignoredError sqref="AO47" formula="1"/>
  </ignoredError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6">
    <tabColor theme="4"/>
    <pageSetUpPr fitToPage="1"/>
  </sheetPr>
  <dimension ref="A1:T298"/>
  <sheetViews>
    <sheetView showGridLines="0" zoomScaleNormal="100" workbookViewId="0">
      <pane ySplit="3" topLeftCell="A4" activePane="bottomLeft" state="frozen"/>
      <selection activeCell="B7" sqref="B7:G7"/>
      <selection pane="bottomLeft" activeCell="A4" sqref="A4"/>
    </sheetView>
  </sheetViews>
  <sheetFormatPr defaultRowHeight="12.75" customHeight="1" outlineLevelRow="1" x14ac:dyDescent="0.2"/>
  <cols>
    <col min="1" max="1" width="3.7109375" customWidth="1"/>
    <col min="2" max="2" width="3.7109375" hidden="1" customWidth="1"/>
    <col min="3" max="3" width="20.7109375" customWidth="1"/>
    <col min="4" max="14" width="15.7109375" customWidth="1"/>
    <col min="15" max="15" width="3.7109375" hidden="1" customWidth="1"/>
    <col min="16" max="20" width="10.7109375" hidden="1" customWidth="1"/>
  </cols>
  <sheetData>
    <row r="1" spans="1:14" ht="23.25" x14ac:dyDescent="0.2">
      <c r="A1" s="284">
        <f>IF((SUM(D24:I24)&lt;&gt;0),2,0)</f>
        <v>0</v>
      </c>
      <c r="B1" s="280"/>
      <c r="C1" s="281" t="s">
        <v>923</v>
      </c>
      <c r="D1" s="281"/>
      <c r="E1" s="281"/>
      <c r="F1" s="280"/>
      <c r="G1" s="280"/>
      <c r="H1" s="280"/>
      <c r="I1" s="280"/>
      <c r="J1" s="280"/>
      <c r="K1" s="280"/>
      <c r="L1" s="628" t="str">
        <f>IF(A1=0,MsgNotUsed,"")</f>
        <v>** NOT USED **</v>
      </c>
      <c r="M1" s="628"/>
      <c r="N1" s="628"/>
    </row>
    <row r="2" spans="1:14" ht="15.75" x14ac:dyDescent="0.2">
      <c r="A2" s="280"/>
      <c r="B2" s="280"/>
      <c r="C2" s="282" t="str">
        <f>CONCATENATE("Name of medicine: ", MedicineBrand)</f>
        <v xml:space="preserve">Name of medicine: </v>
      </c>
      <c r="D2" s="283"/>
      <c r="E2" s="283"/>
      <c r="F2" s="280"/>
      <c r="G2" s="280"/>
      <c r="H2" s="280"/>
      <c r="I2" s="280"/>
      <c r="J2" s="280"/>
      <c r="K2" s="280"/>
      <c r="L2" s="280"/>
      <c r="M2" s="280"/>
      <c r="N2" s="280"/>
    </row>
    <row r="3" spans="1:14" ht="15.75" x14ac:dyDescent="0.2">
      <c r="A3" s="280"/>
      <c r="B3" s="280"/>
      <c r="C3" s="282" t="str">
        <f>CONCATENATE("Indication: ",Indication)</f>
        <v xml:space="preserve">Indication: </v>
      </c>
      <c r="D3" s="283"/>
      <c r="E3" s="283"/>
      <c r="F3" s="280"/>
      <c r="G3" s="280"/>
      <c r="H3" s="280"/>
      <c r="I3" s="280"/>
      <c r="J3" s="280"/>
      <c r="K3" s="280"/>
      <c r="L3" s="280"/>
      <c r="M3" s="280"/>
      <c r="N3" s="280"/>
    </row>
    <row r="4" spans="1:14" x14ac:dyDescent="0.2">
      <c r="A4" s="319"/>
      <c r="B4" s="319"/>
      <c r="C4" s="461"/>
      <c r="D4" s="461"/>
      <c r="E4" s="461"/>
      <c r="F4" s="319"/>
      <c r="G4" s="319"/>
      <c r="H4" s="319"/>
      <c r="I4" s="319"/>
      <c r="J4" s="319"/>
      <c r="K4" s="319"/>
      <c r="L4" s="319"/>
      <c r="M4" s="319"/>
      <c r="N4" s="319"/>
    </row>
    <row r="5" spans="1:14" ht="15.75" x14ac:dyDescent="0.2">
      <c r="A5" s="110"/>
      <c r="B5" s="110"/>
      <c r="C5" s="111" t="s">
        <v>2</v>
      </c>
      <c r="D5" s="111"/>
      <c r="E5" s="111"/>
      <c r="F5" s="126"/>
      <c r="G5" s="113"/>
      <c r="H5" s="113"/>
      <c r="I5" s="113"/>
      <c r="J5" s="113"/>
      <c r="K5" s="113"/>
      <c r="L5" s="113"/>
      <c r="M5" s="113"/>
      <c r="N5" s="113"/>
    </row>
    <row r="6" spans="1:14" ht="14.25" x14ac:dyDescent="0.2">
      <c r="C6" s="449"/>
      <c r="D6" s="449"/>
      <c r="E6" s="449"/>
      <c r="F6" s="455"/>
    </row>
    <row r="7" spans="1:14" x14ac:dyDescent="0.2">
      <c r="C7" t="s">
        <v>811</v>
      </c>
      <c r="F7" s="455"/>
      <c r="G7" s="455"/>
      <c r="H7" s="455"/>
      <c r="I7" s="455"/>
      <c r="J7" s="455"/>
      <c r="K7" s="455"/>
      <c r="L7" s="455"/>
      <c r="M7" s="455"/>
      <c r="N7" s="455"/>
    </row>
    <row r="8" spans="1:14" x14ac:dyDescent="0.2">
      <c r="C8" s="447"/>
      <c r="D8" s="447"/>
      <c r="E8" s="447"/>
      <c r="F8" s="459"/>
      <c r="G8" s="459"/>
      <c r="H8" s="459"/>
      <c r="I8" s="459"/>
      <c r="J8" s="459"/>
      <c r="K8" s="459"/>
      <c r="L8" s="459"/>
      <c r="M8" s="459"/>
      <c r="N8" s="459"/>
    </row>
    <row r="9" spans="1:14" x14ac:dyDescent="0.2"/>
    <row r="10" spans="1:14" ht="15.75" x14ac:dyDescent="0.2">
      <c r="C10" s="111" t="s">
        <v>856</v>
      </c>
      <c r="D10" s="111"/>
      <c r="E10" s="111"/>
      <c r="F10" s="126"/>
      <c r="G10" s="113"/>
      <c r="H10" s="113"/>
      <c r="I10" s="113"/>
      <c r="J10" s="113"/>
      <c r="K10" s="113"/>
      <c r="L10" s="113"/>
      <c r="M10" s="113"/>
      <c r="N10" s="113"/>
    </row>
    <row r="11" spans="1:14" ht="15.75" x14ac:dyDescent="0.2">
      <c r="C11" s="454"/>
      <c r="D11" s="454"/>
      <c r="E11" s="454"/>
      <c r="F11" s="455"/>
    </row>
    <row r="12" spans="1:14" x14ac:dyDescent="0.2">
      <c r="C12" s="172" t="s">
        <v>812</v>
      </c>
      <c r="D12" s="172"/>
      <c r="E12" s="172"/>
      <c r="F12" s="172"/>
      <c r="G12" s="172"/>
      <c r="H12" s="172"/>
      <c r="I12" s="172"/>
      <c r="J12" s="172"/>
      <c r="K12" s="172"/>
      <c r="L12" s="172"/>
      <c r="M12" s="172"/>
      <c r="N12" s="172"/>
    </row>
    <row r="13" spans="1:14" x14ac:dyDescent="0.2">
      <c r="C13" s="456"/>
      <c r="D13" s="456"/>
      <c r="E13" s="456"/>
      <c r="M13" s="456"/>
      <c r="N13" s="456"/>
    </row>
    <row r="14" spans="1:14" ht="15.75" x14ac:dyDescent="0.2">
      <c r="C14" s="454" t="s">
        <v>98</v>
      </c>
      <c r="D14" s="74">
        <f>FirstYear</f>
        <v>2026</v>
      </c>
      <c r="E14" s="74">
        <f>D14+1</f>
        <v>2027</v>
      </c>
      <c r="F14" s="74">
        <f>E14+1</f>
        <v>2028</v>
      </c>
      <c r="G14" s="74">
        <f>F14+1</f>
        <v>2029</v>
      </c>
      <c r="H14" s="74">
        <f>G14+1</f>
        <v>2030</v>
      </c>
      <c r="I14" s="74">
        <f>H14+1</f>
        <v>2031</v>
      </c>
    </row>
    <row r="15" spans="1:14" x14ac:dyDescent="0.2">
      <c r="C15" s="76" t="s">
        <v>83</v>
      </c>
      <c r="D15" s="239">
        <f>D31+D43+D55+D67+D79+D91+D103+D115+D127+D139+D151+D163+D175+D187+D199+D211+D223+D235+D247+D259</f>
        <v>0</v>
      </c>
      <c r="E15" s="239">
        <f t="shared" ref="E15:I16" si="0">E31+E43+E55+E67+E79+E91+E103+E115+E127+E139+E151+E163+E175+E187+E199+E211+E223+E235+E247+E259</f>
        <v>0</v>
      </c>
      <c r="F15" s="239">
        <f t="shared" si="0"/>
        <v>0</v>
      </c>
      <c r="G15" s="239">
        <f t="shared" si="0"/>
        <v>0</v>
      </c>
      <c r="H15" s="239">
        <f t="shared" si="0"/>
        <v>0</v>
      </c>
      <c r="I15" s="239">
        <f t="shared" si="0"/>
        <v>0</v>
      </c>
    </row>
    <row r="16" spans="1:14" x14ac:dyDescent="0.2">
      <c r="C16" s="3" t="s">
        <v>108</v>
      </c>
      <c r="D16" s="239">
        <f>D32+D44+D56+D68+D80+D92+D104+D116+D128+D140+D152+D164+D176+D188+D200+D212+D224+D236+D248+D260</f>
        <v>0</v>
      </c>
      <c r="E16" s="239">
        <f t="shared" si="0"/>
        <v>0</v>
      </c>
      <c r="F16" s="239">
        <f t="shared" si="0"/>
        <v>0</v>
      </c>
      <c r="G16" s="239">
        <f t="shared" si="0"/>
        <v>0</v>
      </c>
      <c r="H16" s="239">
        <f t="shared" si="0"/>
        <v>0</v>
      </c>
      <c r="I16" s="239">
        <f t="shared" si="0"/>
        <v>0</v>
      </c>
    </row>
    <row r="17" spans="2:14" x14ac:dyDescent="0.2">
      <c r="C17" s="3" t="s">
        <v>85</v>
      </c>
      <c r="D17" s="240">
        <f t="shared" ref="D17:I17" si="1">D15+D16</f>
        <v>0</v>
      </c>
      <c r="E17" s="240">
        <f t="shared" si="1"/>
        <v>0</v>
      </c>
      <c r="F17" s="240">
        <f t="shared" si="1"/>
        <v>0</v>
      </c>
      <c r="G17" s="240">
        <f t="shared" si="1"/>
        <v>0</v>
      </c>
      <c r="H17" s="240">
        <f t="shared" si="1"/>
        <v>0</v>
      </c>
      <c r="I17" s="240">
        <f t="shared" si="1"/>
        <v>0</v>
      </c>
    </row>
    <row r="18" spans="2:14" x14ac:dyDescent="0.2">
      <c r="C18" s="457"/>
      <c r="D18" s="457"/>
      <c r="E18" s="457"/>
      <c r="F18" s="31"/>
      <c r="G18" s="31"/>
      <c r="H18" s="31"/>
      <c r="I18" s="31"/>
      <c r="J18" s="31"/>
      <c r="K18" s="31"/>
      <c r="L18" s="31"/>
    </row>
    <row r="19" spans="2:14" ht="15.75" x14ac:dyDescent="0.2">
      <c r="C19" s="454" t="s">
        <v>99</v>
      </c>
      <c r="D19" s="74">
        <f>FirstYear</f>
        <v>2026</v>
      </c>
      <c r="E19" s="74">
        <f>D19+1</f>
        <v>2027</v>
      </c>
      <c r="F19" s="74">
        <f>E19+1</f>
        <v>2028</v>
      </c>
      <c r="G19" s="74">
        <f>F19+1</f>
        <v>2029</v>
      </c>
      <c r="H19" s="74">
        <f>G19+1</f>
        <v>2030</v>
      </c>
      <c r="I19" s="74">
        <f>H19+1</f>
        <v>2031</v>
      </c>
    </row>
    <row r="20" spans="2:14" x14ac:dyDescent="0.2">
      <c r="C20" s="76" t="s">
        <v>84</v>
      </c>
      <c r="D20" s="238">
        <f>D36+D48+D60+D72+D84+D96+D108+D120+D132+D144+D156+D168+D180+D192+D204+D216+D228+D240+D252+D264</f>
        <v>0</v>
      </c>
      <c r="E20" s="238">
        <f t="shared" ref="E20:I21" si="2">E36+E48+E60+E72+E84+E96+E108+E120+E132+E144+E156+E168+E180+E192+E204+E216+E228+E240+E252+E264</f>
        <v>0</v>
      </c>
      <c r="F20" s="238">
        <f t="shared" si="2"/>
        <v>0</v>
      </c>
      <c r="G20" s="238">
        <f t="shared" si="2"/>
        <v>0</v>
      </c>
      <c r="H20" s="238">
        <f t="shared" si="2"/>
        <v>0</v>
      </c>
      <c r="I20" s="238">
        <f t="shared" si="2"/>
        <v>0</v>
      </c>
    </row>
    <row r="21" spans="2:14" x14ac:dyDescent="0.2">
      <c r="C21" s="3" t="s">
        <v>108</v>
      </c>
      <c r="D21" s="238">
        <f>D37+D49+D61+D73+D85+D97+D109+D121+D133+D145+D157+D169+D181+D193+D205+D217+D229+D241+D253+D265</f>
        <v>0</v>
      </c>
      <c r="E21" s="238">
        <f t="shared" si="2"/>
        <v>0</v>
      </c>
      <c r="F21" s="238">
        <f t="shared" si="2"/>
        <v>0</v>
      </c>
      <c r="G21" s="238">
        <f t="shared" si="2"/>
        <v>0</v>
      </c>
      <c r="H21" s="238">
        <f t="shared" si="2"/>
        <v>0</v>
      </c>
      <c r="I21" s="238">
        <f t="shared" si="2"/>
        <v>0</v>
      </c>
    </row>
    <row r="22" spans="2:14" x14ac:dyDescent="0.2">
      <c r="C22" s="3" t="s">
        <v>86</v>
      </c>
      <c r="D22" s="242">
        <f t="shared" ref="D22:I22" si="3">D20+D21</f>
        <v>0</v>
      </c>
      <c r="E22" s="242">
        <f t="shared" si="3"/>
        <v>0</v>
      </c>
      <c r="F22" s="242">
        <f t="shared" si="3"/>
        <v>0</v>
      </c>
      <c r="G22" s="242">
        <f t="shared" si="3"/>
        <v>0</v>
      </c>
      <c r="H22" s="242">
        <f t="shared" si="3"/>
        <v>0</v>
      </c>
      <c r="I22" s="242">
        <f t="shared" si="3"/>
        <v>0</v>
      </c>
    </row>
    <row r="23" spans="2:14" x14ac:dyDescent="0.2">
      <c r="C23" s="457"/>
      <c r="D23" s="457"/>
      <c r="E23" s="457"/>
      <c r="F23" s="31"/>
      <c r="G23" s="31"/>
      <c r="H23" s="31"/>
      <c r="I23" s="31"/>
      <c r="J23" s="31"/>
      <c r="K23" s="31"/>
      <c r="L23" s="31"/>
    </row>
    <row r="24" spans="2:14" x14ac:dyDescent="0.2">
      <c r="C24" s="233" t="s">
        <v>832</v>
      </c>
      <c r="D24" s="241">
        <f t="shared" ref="D24:I24" si="4">D22+D17</f>
        <v>0</v>
      </c>
      <c r="E24" s="241">
        <f t="shared" si="4"/>
        <v>0</v>
      </c>
      <c r="F24" s="241">
        <f t="shared" si="4"/>
        <v>0</v>
      </c>
      <c r="G24" s="241">
        <f t="shared" si="4"/>
        <v>0</v>
      </c>
      <c r="H24" s="241">
        <f t="shared" si="4"/>
        <v>0</v>
      </c>
      <c r="I24" s="241">
        <f t="shared" si="4"/>
        <v>0</v>
      </c>
      <c r="J24" s="31"/>
      <c r="K24" s="31"/>
      <c r="L24" s="31"/>
    </row>
    <row r="25" spans="2:14" x14ac:dyDescent="0.2">
      <c r="C25" s="457"/>
      <c r="D25" s="457"/>
      <c r="E25" s="457"/>
      <c r="F25" s="31"/>
      <c r="G25" s="31"/>
      <c r="H25" s="31"/>
      <c r="I25" s="31"/>
      <c r="J25" s="31"/>
      <c r="K25" s="31"/>
      <c r="L25" s="31"/>
    </row>
    <row r="26" spans="2:14" ht="15.75" x14ac:dyDescent="0.2">
      <c r="C26" s="111" t="s">
        <v>857</v>
      </c>
      <c r="D26" s="111"/>
      <c r="E26" s="111"/>
      <c r="F26" s="116"/>
      <c r="G26" s="116"/>
      <c r="H26" s="116"/>
      <c r="I26" s="116"/>
      <c r="J26" s="116"/>
      <c r="K26" s="116"/>
      <c r="L26" s="116"/>
      <c r="M26" s="113"/>
      <c r="N26" s="113"/>
    </row>
    <row r="27" spans="2:14" x14ac:dyDescent="0.2">
      <c r="C27" s="457"/>
      <c r="D27" s="457"/>
      <c r="E27" s="457"/>
      <c r="F27" s="31"/>
      <c r="G27" s="31"/>
      <c r="H27" s="31"/>
      <c r="I27" s="31"/>
      <c r="J27" s="31"/>
      <c r="K27" s="31"/>
      <c r="L27" s="31"/>
      <c r="M27" s="31"/>
      <c r="N27" s="31"/>
    </row>
    <row r="28" spans="2:14" ht="15" x14ac:dyDescent="0.2">
      <c r="B28" s="249">
        <v>1</v>
      </c>
      <c r="C28" s="129" t="str">
        <f>INDEX(PBSScriptsNew,B28,1)</f>
        <v>** NOT USED **</v>
      </c>
      <c r="D28" s="123"/>
      <c r="E28" s="123"/>
      <c r="F28" s="123"/>
      <c r="G28" s="123"/>
      <c r="H28" s="123"/>
      <c r="I28" s="123"/>
      <c r="J28" s="117"/>
      <c r="K28" s="116"/>
      <c r="L28" s="588" t="str">
        <f>IF(C28&lt;&gt;MsgNotUsed,"Co-payment group " &amp; INDEX(DPMQCoPayNewPub,B28,3),"")</f>
        <v/>
      </c>
      <c r="M28" s="588"/>
      <c r="N28" s="380"/>
    </row>
    <row r="29" spans="2:14" hidden="1" outlineLevel="1" x14ac:dyDescent="0.2">
      <c r="B29" s="209">
        <f>INDEX(SANew,B28,5)</f>
        <v>0</v>
      </c>
      <c r="C29" s="457"/>
      <c r="D29" s="319">
        <v>2</v>
      </c>
      <c r="E29" s="319">
        <v>3</v>
      </c>
      <c r="F29" s="319">
        <v>4</v>
      </c>
      <c r="G29" s="319">
        <v>5</v>
      </c>
      <c r="H29" s="319">
        <v>6</v>
      </c>
      <c r="I29" s="319">
        <v>7</v>
      </c>
      <c r="K29" s="31"/>
      <c r="L29" s="31"/>
      <c r="M29" s="31"/>
      <c r="N29" s="31"/>
    </row>
    <row r="30" spans="2:14" hidden="1" outlineLevel="1" x14ac:dyDescent="0.2">
      <c r="B30" s="130"/>
      <c r="D30" s="74">
        <f>FirstYear</f>
        <v>2026</v>
      </c>
      <c r="E30" s="74">
        <f>D30+1</f>
        <v>2027</v>
      </c>
      <c r="F30" s="74">
        <f>E30+1</f>
        <v>2028</v>
      </c>
      <c r="G30" s="74">
        <f>F30+1</f>
        <v>2029</v>
      </c>
      <c r="H30" s="74">
        <f>G30+1</f>
        <v>2030</v>
      </c>
      <c r="I30" s="74">
        <f>H30+1</f>
        <v>2031</v>
      </c>
    </row>
    <row r="31" spans="2:14" hidden="1" outlineLevel="1" x14ac:dyDescent="0.2">
      <c r="B31" s="249">
        <v>1</v>
      </c>
      <c r="C31" s="76" t="s">
        <v>83</v>
      </c>
      <c r="D31" s="238">
        <f t="shared" ref="D31:I31" si="5">INDEX(PBSScriptsNew,$B28,D29)*INDEX(DPMQCoPayNewPub,$B28,$B31)</f>
        <v>0</v>
      </c>
      <c r="E31" s="238">
        <f t="shared" si="5"/>
        <v>0</v>
      </c>
      <c r="F31" s="238">
        <f t="shared" si="5"/>
        <v>0</v>
      </c>
      <c r="G31" s="238">
        <f t="shared" si="5"/>
        <v>0</v>
      </c>
      <c r="H31" s="238">
        <f t="shared" si="5"/>
        <v>0</v>
      </c>
      <c r="I31" s="238">
        <f t="shared" si="5"/>
        <v>0</v>
      </c>
    </row>
    <row r="32" spans="2:14" hidden="1" outlineLevel="1" x14ac:dyDescent="0.2">
      <c r="B32" s="249">
        <v>4</v>
      </c>
      <c r="C32" s="3" t="s">
        <v>108</v>
      </c>
      <c r="D32" s="238">
        <f t="shared" ref="D32:I32" si="6">INDEX(PBSScriptsNew,$B28,D29)*(INDEX(DPMQCoPayNewPub,$B28,$B32)/INDEX(CoPayCountNew,$B28))</f>
        <v>0</v>
      </c>
      <c r="E32" s="238">
        <f t="shared" si="6"/>
        <v>0</v>
      </c>
      <c r="F32" s="238">
        <f t="shared" si="6"/>
        <v>0</v>
      </c>
      <c r="G32" s="238">
        <f t="shared" si="6"/>
        <v>0</v>
      </c>
      <c r="H32" s="238">
        <f t="shared" si="6"/>
        <v>0</v>
      </c>
      <c r="I32" s="238">
        <f t="shared" si="6"/>
        <v>0</v>
      </c>
      <c r="K32" s="579" t="str">
        <f>IF(B29&lt;&gt;0,MsgNote&amp;IF(B29="Yes",INDEX(CoPayMethod,1),INDEX(CoPayMethod,2)),"")</f>
        <v/>
      </c>
      <c r="L32" s="579"/>
      <c r="M32" s="579"/>
      <c r="N32" s="443"/>
    </row>
    <row r="33" spans="2:14" hidden="1" outlineLevel="1" x14ac:dyDescent="0.2">
      <c r="B33" s="121"/>
      <c r="C33" s="3" t="s">
        <v>85</v>
      </c>
      <c r="D33" s="238">
        <f t="shared" ref="D33:I33" si="7">D31+D32</f>
        <v>0</v>
      </c>
      <c r="E33" s="238">
        <f t="shared" si="7"/>
        <v>0</v>
      </c>
      <c r="F33" s="238">
        <f t="shared" si="7"/>
        <v>0</v>
      </c>
      <c r="G33" s="238">
        <f t="shared" si="7"/>
        <v>0</v>
      </c>
      <c r="H33" s="238">
        <f t="shared" si="7"/>
        <v>0</v>
      </c>
      <c r="I33" s="238">
        <f t="shared" si="7"/>
        <v>0</v>
      </c>
    </row>
    <row r="34" spans="2:14" hidden="1" outlineLevel="1" x14ac:dyDescent="0.2">
      <c r="B34" s="121"/>
    </row>
    <row r="35" spans="2:14" ht="15.75" hidden="1" outlineLevel="1" x14ac:dyDescent="0.2">
      <c r="B35" s="121"/>
      <c r="C35" s="454"/>
      <c r="D35" s="74">
        <f>FirstYear</f>
        <v>2026</v>
      </c>
      <c r="E35" s="74">
        <f>D35+1</f>
        <v>2027</v>
      </c>
      <c r="F35" s="74">
        <f>E35+1</f>
        <v>2028</v>
      </c>
      <c r="G35" s="74">
        <f>F35+1</f>
        <v>2029</v>
      </c>
      <c r="H35" s="74">
        <f>G35+1</f>
        <v>2030</v>
      </c>
      <c r="I35" s="74">
        <f>H35+1</f>
        <v>2031</v>
      </c>
    </row>
    <row r="36" spans="2:14" hidden="1" outlineLevel="1" x14ac:dyDescent="0.2">
      <c r="B36" s="249">
        <v>1</v>
      </c>
      <c r="C36" s="76" t="s">
        <v>84</v>
      </c>
      <c r="D36" s="238">
        <f t="shared" ref="D36:I36" si="8">INDEX(RPBSScriptsNew,$B28,D29)*INDEX(DPMQCoPayNewPub,$B28,$B36)</f>
        <v>0</v>
      </c>
      <c r="E36" s="238">
        <f t="shared" si="8"/>
        <v>0</v>
      </c>
      <c r="F36" s="238">
        <f t="shared" si="8"/>
        <v>0</v>
      </c>
      <c r="G36" s="238">
        <f t="shared" si="8"/>
        <v>0</v>
      </c>
      <c r="H36" s="238">
        <f t="shared" si="8"/>
        <v>0</v>
      </c>
      <c r="I36" s="238">
        <f t="shared" si="8"/>
        <v>0</v>
      </c>
    </row>
    <row r="37" spans="2:14" hidden="1" outlineLevel="1" x14ac:dyDescent="0.2">
      <c r="B37" s="249">
        <v>5</v>
      </c>
      <c r="C37" s="3" t="s">
        <v>108</v>
      </c>
      <c r="D37" s="238">
        <f t="shared" ref="D37:I37" si="9">INDEX(RPBSScriptsNew,$B28,D29)*(INDEX(DPMQCoPayNewPub,$B28,$B37)/INDEX(CoPayCountNew,$B28))</f>
        <v>0</v>
      </c>
      <c r="E37" s="238">
        <f t="shared" si="9"/>
        <v>0</v>
      </c>
      <c r="F37" s="238">
        <f t="shared" si="9"/>
        <v>0</v>
      </c>
      <c r="G37" s="238">
        <f t="shared" si="9"/>
        <v>0</v>
      </c>
      <c r="H37" s="238">
        <f t="shared" si="9"/>
        <v>0</v>
      </c>
      <c r="I37" s="238">
        <f t="shared" si="9"/>
        <v>0</v>
      </c>
    </row>
    <row r="38" spans="2:14" hidden="1" outlineLevel="1" x14ac:dyDescent="0.2">
      <c r="B38" s="121"/>
      <c r="C38" s="3" t="s">
        <v>86</v>
      </c>
      <c r="D38" s="238">
        <f t="shared" ref="D38:I38" si="10">D36+D37</f>
        <v>0</v>
      </c>
      <c r="E38" s="238">
        <f t="shared" si="10"/>
        <v>0</v>
      </c>
      <c r="F38" s="238">
        <f t="shared" si="10"/>
        <v>0</v>
      </c>
      <c r="G38" s="238">
        <f t="shared" si="10"/>
        <v>0</v>
      </c>
      <c r="H38" s="238">
        <f t="shared" si="10"/>
        <v>0</v>
      </c>
      <c r="I38" s="238">
        <f t="shared" si="10"/>
        <v>0</v>
      </c>
    </row>
    <row r="39" spans="2:14" collapsed="1" x14ac:dyDescent="0.2">
      <c r="B39" s="121"/>
      <c r="C39" s="457"/>
      <c r="D39" s="457"/>
      <c r="E39" s="457"/>
      <c r="F39" s="31"/>
      <c r="G39" s="31"/>
      <c r="H39" s="31"/>
      <c r="I39" s="31"/>
      <c r="J39" s="31"/>
      <c r="K39" s="31"/>
      <c r="L39" s="31"/>
      <c r="M39" s="31"/>
      <c r="N39" s="31"/>
    </row>
    <row r="40" spans="2:14" ht="15" x14ac:dyDescent="0.2">
      <c r="B40" s="249">
        <v>2</v>
      </c>
      <c r="C40" s="129" t="str">
        <f>INDEX(PBSScriptsNew,B40,1)</f>
        <v>** NOT USED **</v>
      </c>
      <c r="D40" s="123"/>
      <c r="E40" s="123"/>
      <c r="F40" s="123"/>
      <c r="G40" s="123"/>
      <c r="H40" s="123"/>
      <c r="I40" s="123"/>
      <c r="J40" s="117"/>
      <c r="K40" s="116"/>
      <c r="L40" s="588" t="str">
        <f>IF(C40&lt;&gt;MsgNotUsed,"Co-payment group " &amp; INDEX(DPMQCoPayNewPub,B40,3),"")</f>
        <v/>
      </c>
      <c r="M40" s="588"/>
      <c r="N40" s="380"/>
    </row>
    <row r="41" spans="2:14" hidden="1" outlineLevel="1" x14ac:dyDescent="0.2">
      <c r="B41" s="209">
        <f>INDEX(SANew,B40,5)</f>
        <v>0</v>
      </c>
      <c r="C41" s="457"/>
      <c r="D41" s="319">
        <v>2</v>
      </c>
      <c r="E41" s="319">
        <v>3</v>
      </c>
      <c r="F41" s="319">
        <v>4</v>
      </c>
      <c r="G41" s="319">
        <v>5</v>
      </c>
      <c r="H41" s="319">
        <v>6</v>
      </c>
      <c r="I41" s="319">
        <v>7</v>
      </c>
      <c r="K41" s="31"/>
      <c r="L41" s="31"/>
      <c r="M41" s="31"/>
      <c r="N41" s="31"/>
    </row>
    <row r="42" spans="2:14" hidden="1" outlineLevel="1" x14ac:dyDescent="0.2">
      <c r="B42" s="130"/>
      <c r="D42" s="74">
        <f>FirstYear</f>
        <v>2026</v>
      </c>
      <c r="E42" s="74">
        <f>D42+1</f>
        <v>2027</v>
      </c>
      <c r="F42" s="74">
        <f>E42+1</f>
        <v>2028</v>
      </c>
      <c r="G42" s="74">
        <f>F42+1</f>
        <v>2029</v>
      </c>
      <c r="H42" s="74">
        <f>G42+1</f>
        <v>2030</v>
      </c>
      <c r="I42" s="74">
        <f>H42+1</f>
        <v>2031</v>
      </c>
    </row>
    <row r="43" spans="2:14" hidden="1" outlineLevel="1" x14ac:dyDescent="0.2">
      <c r="B43" s="249">
        <v>1</v>
      </c>
      <c r="C43" s="76" t="s">
        <v>83</v>
      </c>
      <c r="D43" s="238">
        <f t="shared" ref="D43:I43" si="11">INDEX(PBSScriptsNew,$B40,D41)*INDEX(DPMQCoPayNewPub,$B40,$B43)</f>
        <v>0</v>
      </c>
      <c r="E43" s="238">
        <f t="shared" si="11"/>
        <v>0</v>
      </c>
      <c r="F43" s="238">
        <f t="shared" si="11"/>
        <v>0</v>
      </c>
      <c r="G43" s="238">
        <f t="shared" si="11"/>
        <v>0</v>
      </c>
      <c r="H43" s="238">
        <f t="shared" si="11"/>
        <v>0</v>
      </c>
      <c r="I43" s="238">
        <f t="shared" si="11"/>
        <v>0</v>
      </c>
    </row>
    <row r="44" spans="2:14" hidden="1" outlineLevel="1" x14ac:dyDescent="0.2">
      <c r="B44" s="249">
        <v>4</v>
      </c>
      <c r="C44" s="3" t="s">
        <v>108</v>
      </c>
      <c r="D44" s="238">
        <f t="shared" ref="D44:I44" si="12">INDEX(PBSScriptsNew,$B40,D41)*(INDEX(DPMQCoPayNewPub,$B40,$B44)/INDEX(CoPayCountNew,$B40))</f>
        <v>0</v>
      </c>
      <c r="E44" s="238">
        <f t="shared" si="12"/>
        <v>0</v>
      </c>
      <c r="F44" s="238">
        <f t="shared" si="12"/>
        <v>0</v>
      </c>
      <c r="G44" s="238">
        <f t="shared" si="12"/>
        <v>0</v>
      </c>
      <c r="H44" s="238">
        <f t="shared" si="12"/>
        <v>0</v>
      </c>
      <c r="I44" s="238">
        <f t="shared" si="12"/>
        <v>0</v>
      </c>
      <c r="K44" s="579" t="str">
        <f>IF(B41&lt;&gt;0,MsgNote&amp;IF(B41="Yes",INDEX(CoPayMethod,1),INDEX(CoPayMethod,2)),"")</f>
        <v/>
      </c>
      <c r="L44" s="579"/>
      <c r="M44" s="579"/>
      <c r="N44" s="443"/>
    </row>
    <row r="45" spans="2:14" hidden="1" outlineLevel="1" x14ac:dyDescent="0.2">
      <c r="B45" s="121"/>
      <c r="C45" s="3" t="s">
        <v>85</v>
      </c>
      <c r="D45" s="238">
        <f t="shared" ref="D45:I45" si="13">D43+D44</f>
        <v>0</v>
      </c>
      <c r="E45" s="238">
        <f t="shared" si="13"/>
        <v>0</v>
      </c>
      <c r="F45" s="238">
        <f t="shared" si="13"/>
        <v>0</v>
      </c>
      <c r="G45" s="238">
        <f t="shared" si="13"/>
        <v>0</v>
      </c>
      <c r="H45" s="238">
        <f t="shared" si="13"/>
        <v>0</v>
      </c>
      <c r="I45" s="238">
        <f t="shared" si="13"/>
        <v>0</v>
      </c>
    </row>
    <row r="46" spans="2:14" hidden="1" outlineLevel="1" x14ac:dyDescent="0.2">
      <c r="B46" s="121"/>
    </row>
    <row r="47" spans="2:14" ht="15.75" hidden="1" outlineLevel="1" x14ac:dyDescent="0.2">
      <c r="B47" s="121"/>
      <c r="C47" s="454"/>
      <c r="D47" s="74">
        <f>FirstYear</f>
        <v>2026</v>
      </c>
      <c r="E47" s="74">
        <f>D47+1</f>
        <v>2027</v>
      </c>
      <c r="F47" s="74">
        <f>E47+1</f>
        <v>2028</v>
      </c>
      <c r="G47" s="74">
        <f>F47+1</f>
        <v>2029</v>
      </c>
      <c r="H47" s="74">
        <f>G47+1</f>
        <v>2030</v>
      </c>
      <c r="I47" s="74">
        <f>H47+1</f>
        <v>2031</v>
      </c>
    </row>
    <row r="48" spans="2:14" hidden="1" outlineLevel="1" x14ac:dyDescent="0.2">
      <c r="B48" s="249">
        <v>1</v>
      </c>
      <c r="C48" s="76" t="s">
        <v>84</v>
      </c>
      <c r="D48" s="238">
        <f t="shared" ref="D48:I48" si="14">INDEX(RPBSScriptsNew,$B40,D41)*INDEX(DPMQCoPayNewPub,$B40,$B48)</f>
        <v>0</v>
      </c>
      <c r="E48" s="238">
        <f t="shared" si="14"/>
        <v>0</v>
      </c>
      <c r="F48" s="238">
        <f t="shared" si="14"/>
        <v>0</v>
      </c>
      <c r="G48" s="238">
        <f t="shared" si="14"/>
        <v>0</v>
      </c>
      <c r="H48" s="238">
        <f t="shared" si="14"/>
        <v>0</v>
      </c>
      <c r="I48" s="238">
        <f t="shared" si="14"/>
        <v>0</v>
      </c>
    </row>
    <row r="49" spans="2:14" hidden="1" outlineLevel="1" x14ac:dyDescent="0.2">
      <c r="B49" s="249">
        <v>5</v>
      </c>
      <c r="C49" s="3" t="s">
        <v>108</v>
      </c>
      <c r="D49" s="238">
        <f t="shared" ref="D49:I49" si="15">INDEX(RPBSScriptsNew,$B40,D41)*(INDEX(DPMQCoPayNewPub,$B40,$B49)/INDEX(CoPayCountNew,$B40))</f>
        <v>0</v>
      </c>
      <c r="E49" s="238">
        <f t="shared" si="15"/>
        <v>0</v>
      </c>
      <c r="F49" s="238">
        <f t="shared" si="15"/>
        <v>0</v>
      </c>
      <c r="G49" s="238">
        <f t="shared" si="15"/>
        <v>0</v>
      </c>
      <c r="H49" s="238">
        <f t="shared" si="15"/>
        <v>0</v>
      </c>
      <c r="I49" s="238">
        <f t="shared" si="15"/>
        <v>0</v>
      </c>
    </row>
    <row r="50" spans="2:14" hidden="1" outlineLevel="1" x14ac:dyDescent="0.2">
      <c r="B50" s="121"/>
      <c r="C50" s="3" t="s">
        <v>86</v>
      </c>
      <c r="D50" s="238">
        <f t="shared" ref="D50:I50" si="16">D48+D49</f>
        <v>0</v>
      </c>
      <c r="E50" s="238">
        <f t="shared" si="16"/>
        <v>0</v>
      </c>
      <c r="F50" s="238">
        <f t="shared" si="16"/>
        <v>0</v>
      </c>
      <c r="G50" s="238">
        <f t="shared" si="16"/>
        <v>0</v>
      </c>
      <c r="H50" s="238">
        <f t="shared" si="16"/>
        <v>0</v>
      </c>
      <c r="I50" s="238">
        <f t="shared" si="16"/>
        <v>0</v>
      </c>
    </row>
    <row r="51" spans="2:14" collapsed="1" x14ac:dyDescent="0.2">
      <c r="B51" s="121"/>
      <c r="C51" s="457"/>
      <c r="D51" s="457"/>
      <c r="E51" s="457"/>
      <c r="F51" s="31"/>
      <c r="G51" s="31"/>
      <c r="H51" s="31"/>
      <c r="I51" s="31"/>
      <c r="J51" s="31"/>
      <c r="K51" s="31"/>
      <c r="L51" s="31"/>
      <c r="M51" s="31"/>
      <c r="N51" s="31"/>
    </row>
    <row r="52" spans="2:14" ht="15" x14ac:dyDescent="0.2">
      <c r="B52" s="249">
        <v>3</v>
      </c>
      <c r="C52" s="129" t="str">
        <f>INDEX(PBSScriptsNew,B52,1)</f>
        <v>** NOT USED **</v>
      </c>
      <c r="D52" s="123"/>
      <c r="E52" s="123"/>
      <c r="F52" s="123"/>
      <c r="G52" s="123"/>
      <c r="H52" s="123"/>
      <c r="I52" s="123"/>
      <c r="J52" s="117"/>
      <c r="K52" s="116"/>
      <c r="L52" s="588" t="str">
        <f>IF(C52&lt;&gt;MsgNotUsed,"Co-payment group " &amp; INDEX(DPMQCoPayNewPub,B52,3),"")</f>
        <v/>
      </c>
      <c r="M52" s="588"/>
      <c r="N52" s="380"/>
    </row>
    <row r="53" spans="2:14" hidden="1" outlineLevel="1" x14ac:dyDescent="0.2">
      <c r="B53" s="209">
        <f>INDEX(SANew,B52,5)</f>
        <v>0</v>
      </c>
      <c r="C53" s="457"/>
      <c r="D53" s="319">
        <v>2</v>
      </c>
      <c r="E53" s="319">
        <v>3</v>
      </c>
      <c r="F53" s="319">
        <v>4</v>
      </c>
      <c r="G53" s="319">
        <v>5</v>
      </c>
      <c r="H53" s="319">
        <v>6</v>
      </c>
      <c r="I53" s="319">
        <v>7</v>
      </c>
      <c r="K53" s="31"/>
      <c r="L53" s="31"/>
      <c r="M53" s="31"/>
      <c r="N53" s="31"/>
    </row>
    <row r="54" spans="2:14" hidden="1" outlineLevel="1" x14ac:dyDescent="0.2">
      <c r="B54" s="130"/>
      <c r="D54" s="74">
        <f>FirstYear</f>
        <v>2026</v>
      </c>
      <c r="E54" s="74">
        <f>D54+1</f>
        <v>2027</v>
      </c>
      <c r="F54" s="74">
        <f>E54+1</f>
        <v>2028</v>
      </c>
      <c r="G54" s="74">
        <f>F54+1</f>
        <v>2029</v>
      </c>
      <c r="H54" s="74">
        <f>G54+1</f>
        <v>2030</v>
      </c>
      <c r="I54" s="74">
        <f>H54+1</f>
        <v>2031</v>
      </c>
    </row>
    <row r="55" spans="2:14" hidden="1" outlineLevel="1" x14ac:dyDescent="0.2">
      <c r="B55" s="249">
        <v>1</v>
      </c>
      <c r="C55" s="76" t="s">
        <v>83</v>
      </c>
      <c r="D55" s="238">
        <f t="shared" ref="D55:I55" si="17">INDEX(PBSScriptsNew,$B52,D53)*INDEX(DPMQCoPayNewPub,$B52,$B55)</f>
        <v>0</v>
      </c>
      <c r="E55" s="238">
        <f t="shared" si="17"/>
        <v>0</v>
      </c>
      <c r="F55" s="238">
        <f t="shared" si="17"/>
        <v>0</v>
      </c>
      <c r="G55" s="238">
        <f t="shared" si="17"/>
        <v>0</v>
      </c>
      <c r="H55" s="238">
        <f t="shared" si="17"/>
        <v>0</v>
      </c>
      <c r="I55" s="238">
        <f t="shared" si="17"/>
        <v>0</v>
      </c>
    </row>
    <row r="56" spans="2:14" hidden="1" outlineLevel="1" x14ac:dyDescent="0.2">
      <c r="B56" s="249">
        <v>4</v>
      </c>
      <c r="C56" s="3" t="s">
        <v>108</v>
      </c>
      <c r="D56" s="238">
        <f t="shared" ref="D56:I56" si="18">INDEX(PBSScriptsNew,$B52,D53)*(INDEX(DPMQCoPayNewPub,$B52,$B56)/INDEX(CoPayCountNew,$B52))</f>
        <v>0</v>
      </c>
      <c r="E56" s="238">
        <f t="shared" si="18"/>
        <v>0</v>
      </c>
      <c r="F56" s="238">
        <f t="shared" si="18"/>
        <v>0</v>
      </c>
      <c r="G56" s="238">
        <f t="shared" si="18"/>
        <v>0</v>
      </c>
      <c r="H56" s="238">
        <f t="shared" si="18"/>
        <v>0</v>
      </c>
      <c r="I56" s="238">
        <f t="shared" si="18"/>
        <v>0</v>
      </c>
      <c r="K56" s="579" t="str">
        <f>IF(B53&lt;&gt;0,MsgNote&amp;IF(B53="Yes",INDEX(CoPayMethod,1),INDEX(CoPayMethod,2)),"")</f>
        <v/>
      </c>
      <c r="L56" s="579"/>
      <c r="M56" s="579"/>
      <c r="N56" s="443"/>
    </row>
    <row r="57" spans="2:14" hidden="1" outlineLevel="1" x14ac:dyDescent="0.2">
      <c r="B57" s="121"/>
      <c r="C57" s="3" t="s">
        <v>85</v>
      </c>
      <c r="D57" s="238">
        <f t="shared" ref="D57:I57" si="19">D55+D56</f>
        <v>0</v>
      </c>
      <c r="E57" s="238">
        <f t="shared" si="19"/>
        <v>0</v>
      </c>
      <c r="F57" s="238">
        <f t="shared" si="19"/>
        <v>0</v>
      </c>
      <c r="G57" s="238">
        <f t="shared" si="19"/>
        <v>0</v>
      </c>
      <c r="H57" s="238">
        <f t="shared" si="19"/>
        <v>0</v>
      </c>
      <c r="I57" s="238">
        <f t="shared" si="19"/>
        <v>0</v>
      </c>
    </row>
    <row r="58" spans="2:14" hidden="1" outlineLevel="1" x14ac:dyDescent="0.2">
      <c r="B58" s="121"/>
    </row>
    <row r="59" spans="2:14" ht="15.75" hidden="1" outlineLevel="1" x14ac:dyDescent="0.2">
      <c r="B59" s="121"/>
      <c r="C59" s="454"/>
      <c r="D59" s="74">
        <f>FirstYear</f>
        <v>2026</v>
      </c>
      <c r="E59" s="74">
        <f>D59+1</f>
        <v>2027</v>
      </c>
      <c r="F59" s="74">
        <f>E59+1</f>
        <v>2028</v>
      </c>
      <c r="G59" s="74">
        <f>F59+1</f>
        <v>2029</v>
      </c>
      <c r="H59" s="74">
        <f>G59+1</f>
        <v>2030</v>
      </c>
      <c r="I59" s="74">
        <f>H59+1</f>
        <v>2031</v>
      </c>
    </row>
    <row r="60" spans="2:14" hidden="1" outlineLevel="1" x14ac:dyDescent="0.2">
      <c r="B60" s="249">
        <v>1</v>
      </c>
      <c r="C60" s="76" t="s">
        <v>84</v>
      </c>
      <c r="D60" s="238">
        <f t="shared" ref="D60:I60" si="20">INDEX(RPBSScriptsNew,$B52,D53)*INDEX(DPMQCoPayNewPub,$B52,$B60)</f>
        <v>0</v>
      </c>
      <c r="E60" s="238">
        <f t="shared" si="20"/>
        <v>0</v>
      </c>
      <c r="F60" s="238">
        <f t="shared" si="20"/>
        <v>0</v>
      </c>
      <c r="G60" s="238">
        <f t="shared" si="20"/>
        <v>0</v>
      </c>
      <c r="H60" s="238">
        <f t="shared" si="20"/>
        <v>0</v>
      </c>
      <c r="I60" s="238">
        <f t="shared" si="20"/>
        <v>0</v>
      </c>
    </row>
    <row r="61" spans="2:14" hidden="1" outlineLevel="1" x14ac:dyDescent="0.2">
      <c r="B61" s="249">
        <v>5</v>
      </c>
      <c r="C61" s="3" t="s">
        <v>108</v>
      </c>
      <c r="D61" s="238">
        <f t="shared" ref="D61:I61" si="21">INDEX(RPBSScriptsNew,$B52,D53)*(INDEX(DPMQCoPayNewPub,$B52,$B61)/INDEX(CoPayCountNew,$B52))</f>
        <v>0</v>
      </c>
      <c r="E61" s="238">
        <f t="shared" si="21"/>
        <v>0</v>
      </c>
      <c r="F61" s="238">
        <f t="shared" si="21"/>
        <v>0</v>
      </c>
      <c r="G61" s="238">
        <f t="shared" si="21"/>
        <v>0</v>
      </c>
      <c r="H61" s="238">
        <f t="shared" si="21"/>
        <v>0</v>
      </c>
      <c r="I61" s="238">
        <f t="shared" si="21"/>
        <v>0</v>
      </c>
    </row>
    <row r="62" spans="2:14" hidden="1" outlineLevel="1" x14ac:dyDescent="0.2">
      <c r="B62" s="121"/>
      <c r="C62" s="3" t="s">
        <v>86</v>
      </c>
      <c r="D62" s="238">
        <f t="shared" ref="D62:I62" si="22">D60+D61</f>
        <v>0</v>
      </c>
      <c r="E62" s="238">
        <f t="shared" si="22"/>
        <v>0</v>
      </c>
      <c r="F62" s="238">
        <f t="shared" si="22"/>
        <v>0</v>
      </c>
      <c r="G62" s="238">
        <f t="shared" si="22"/>
        <v>0</v>
      </c>
      <c r="H62" s="238">
        <f t="shared" si="22"/>
        <v>0</v>
      </c>
      <c r="I62" s="238">
        <f t="shared" si="22"/>
        <v>0</v>
      </c>
    </row>
    <row r="63" spans="2:14" collapsed="1" x14ac:dyDescent="0.2">
      <c r="B63" s="121"/>
      <c r="C63" s="457"/>
      <c r="D63" s="457"/>
      <c r="E63" s="457"/>
      <c r="F63" s="31"/>
      <c r="G63" s="31"/>
      <c r="H63" s="31"/>
      <c r="I63" s="31"/>
      <c r="J63" s="31"/>
      <c r="K63" s="31"/>
      <c r="L63" s="31"/>
      <c r="M63" s="31"/>
      <c r="N63" s="31"/>
    </row>
    <row r="64" spans="2:14" ht="15" x14ac:dyDescent="0.2">
      <c r="B64" s="249">
        <v>4</v>
      </c>
      <c r="C64" s="129" t="str">
        <f>INDEX(PBSScriptsNew,B64,1)</f>
        <v>** NOT USED **</v>
      </c>
      <c r="D64" s="123"/>
      <c r="E64" s="123"/>
      <c r="F64" s="123"/>
      <c r="G64" s="123"/>
      <c r="H64" s="123"/>
      <c r="I64" s="123"/>
      <c r="J64" s="117"/>
      <c r="K64" s="116"/>
      <c r="L64" s="588" t="str">
        <f>IF(C64&lt;&gt;MsgNotUsed,"Co-payment group " &amp; INDEX(DPMQCoPayNewPub,B64,3),"")</f>
        <v/>
      </c>
      <c r="M64" s="588"/>
      <c r="N64" s="380"/>
    </row>
    <row r="65" spans="2:14" hidden="1" outlineLevel="1" x14ac:dyDescent="0.2">
      <c r="B65" s="209">
        <f>INDEX(SANew,B64,5)</f>
        <v>0</v>
      </c>
      <c r="C65" s="457"/>
      <c r="D65" s="319">
        <v>2</v>
      </c>
      <c r="E65" s="319">
        <v>3</v>
      </c>
      <c r="F65" s="319">
        <v>4</v>
      </c>
      <c r="G65" s="319">
        <v>5</v>
      </c>
      <c r="H65" s="319">
        <v>6</v>
      </c>
      <c r="I65" s="319">
        <v>7</v>
      </c>
      <c r="K65" s="31"/>
      <c r="L65" s="31"/>
      <c r="M65" s="31"/>
      <c r="N65" s="31"/>
    </row>
    <row r="66" spans="2:14" hidden="1" outlineLevel="1" x14ac:dyDescent="0.2">
      <c r="B66" s="130"/>
      <c r="D66" s="74">
        <f>FirstYear</f>
        <v>2026</v>
      </c>
      <c r="E66" s="74">
        <f>D66+1</f>
        <v>2027</v>
      </c>
      <c r="F66" s="74">
        <f>E66+1</f>
        <v>2028</v>
      </c>
      <c r="G66" s="74">
        <f>F66+1</f>
        <v>2029</v>
      </c>
      <c r="H66" s="74">
        <f>G66+1</f>
        <v>2030</v>
      </c>
      <c r="I66" s="74">
        <f>H66+1</f>
        <v>2031</v>
      </c>
    </row>
    <row r="67" spans="2:14" hidden="1" outlineLevel="1" x14ac:dyDescent="0.2">
      <c r="B67" s="249">
        <v>1</v>
      </c>
      <c r="C67" s="76" t="s">
        <v>83</v>
      </c>
      <c r="D67" s="238">
        <f t="shared" ref="D67:I67" si="23">INDEX(PBSScriptsNew,$B64,D65)*INDEX(DPMQCoPayNewPub,$B64,$B67)</f>
        <v>0</v>
      </c>
      <c r="E67" s="238">
        <f t="shared" si="23"/>
        <v>0</v>
      </c>
      <c r="F67" s="238">
        <f t="shared" si="23"/>
        <v>0</v>
      </c>
      <c r="G67" s="238">
        <f t="shared" si="23"/>
        <v>0</v>
      </c>
      <c r="H67" s="238">
        <f t="shared" si="23"/>
        <v>0</v>
      </c>
      <c r="I67" s="238">
        <f t="shared" si="23"/>
        <v>0</v>
      </c>
    </row>
    <row r="68" spans="2:14" hidden="1" outlineLevel="1" x14ac:dyDescent="0.2">
      <c r="B68" s="249">
        <v>4</v>
      </c>
      <c r="C68" s="3" t="s">
        <v>108</v>
      </c>
      <c r="D68" s="238">
        <f t="shared" ref="D68:I68" si="24">INDEX(PBSScriptsNew,$B64,D65)*(INDEX(DPMQCoPayNewPub,$B64,$B68)/INDEX(CoPayCountNew,$B64))</f>
        <v>0</v>
      </c>
      <c r="E68" s="238">
        <f t="shared" si="24"/>
        <v>0</v>
      </c>
      <c r="F68" s="238">
        <f t="shared" si="24"/>
        <v>0</v>
      </c>
      <c r="G68" s="238">
        <f t="shared" si="24"/>
        <v>0</v>
      </c>
      <c r="H68" s="238">
        <f t="shared" si="24"/>
        <v>0</v>
      </c>
      <c r="I68" s="238">
        <f t="shared" si="24"/>
        <v>0</v>
      </c>
      <c r="K68" s="579" t="str">
        <f>IF(B65&lt;&gt;0,MsgNote&amp;IF(B65="Yes",INDEX(CoPayMethod,1),INDEX(CoPayMethod,2)),"")</f>
        <v/>
      </c>
      <c r="L68" s="579"/>
      <c r="M68" s="579"/>
      <c r="N68" s="443"/>
    </row>
    <row r="69" spans="2:14" hidden="1" outlineLevel="1" x14ac:dyDescent="0.2">
      <c r="B69" s="121"/>
      <c r="C69" s="3" t="s">
        <v>85</v>
      </c>
      <c r="D69" s="238">
        <f t="shared" ref="D69:I69" si="25">D67+D68</f>
        <v>0</v>
      </c>
      <c r="E69" s="238">
        <f t="shared" si="25"/>
        <v>0</v>
      </c>
      <c r="F69" s="238">
        <f t="shared" si="25"/>
        <v>0</v>
      </c>
      <c r="G69" s="238">
        <f t="shared" si="25"/>
        <v>0</v>
      </c>
      <c r="H69" s="238">
        <f t="shared" si="25"/>
        <v>0</v>
      </c>
      <c r="I69" s="238">
        <f t="shared" si="25"/>
        <v>0</v>
      </c>
    </row>
    <row r="70" spans="2:14" hidden="1" outlineLevel="1" x14ac:dyDescent="0.2">
      <c r="B70" s="121"/>
    </row>
    <row r="71" spans="2:14" ht="15.75" hidden="1" outlineLevel="1" x14ac:dyDescent="0.2">
      <c r="B71" s="121"/>
      <c r="C71" s="454"/>
      <c r="D71" s="74">
        <f>FirstYear</f>
        <v>2026</v>
      </c>
      <c r="E71" s="74">
        <f>D71+1</f>
        <v>2027</v>
      </c>
      <c r="F71" s="74">
        <f>E71+1</f>
        <v>2028</v>
      </c>
      <c r="G71" s="74">
        <f>F71+1</f>
        <v>2029</v>
      </c>
      <c r="H71" s="74">
        <f>G71+1</f>
        <v>2030</v>
      </c>
      <c r="I71" s="74">
        <f>H71+1</f>
        <v>2031</v>
      </c>
    </row>
    <row r="72" spans="2:14" hidden="1" outlineLevel="1" x14ac:dyDescent="0.2">
      <c r="B72" s="249">
        <v>1</v>
      </c>
      <c r="C72" s="76" t="s">
        <v>84</v>
      </c>
      <c r="D72" s="238">
        <f t="shared" ref="D72:I72" si="26">INDEX(RPBSScriptsNew,$B64,D65)*INDEX(DPMQCoPayNewPub,$B64,$B72)</f>
        <v>0</v>
      </c>
      <c r="E72" s="238">
        <f t="shared" si="26"/>
        <v>0</v>
      </c>
      <c r="F72" s="238">
        <f t="shared" si="26"/>
        <v>0</v>
      </c>
      <c r="G72" s="238">
        <f t="shared" si="26"/>
        <v>0</v>
      </c>
      <c r="H72" s="238">
        <f t="shared" si="26"/>
        <v>0</v>
      </c>
      <c r="I72" s="238">
        <f t="shared" si="26"/>
        <v>0</v>
      </c>
    </row>
    <row r="73" spans="2:14" hidden="1" outlineLevel="1" x14ac:dyDescent="0.2">
      <c r="B73" s="249">
        <v>5</v>
      </c>
      <c r="C73" s="3" t="s">
        <v>108</v>
      </c>
      <c r="D73" s="238">
        <f t="shared" ref="D73:I73" si="27">INDEX(RPBSScriptsNew,$B64,D65)*(INDEX(DPMQCoPayNewPub,$B64,$B73)/INDEX(CoPayCountNew,$B64))</f>
        <v>0</v>
      </c>
      <c r="E73" s="238">
        <f t="shared" si="27"/>
        <v>0</v>
      </c>
      <c r="F73" s="238">
        <f t="shared" si="27"/>
        <v>0</v>
      </c>
      <c r="G73" s="238">
        <f t="shared" si="27"/>
        <v>0</v>
      </c>
      <c r="H73" s="238">
        <f t="shared" si="27"/>
        <v>0</v>
      </c>
      <c r="I73" s="238">
        <f t="shared" si="27"/>
        <v>0</v>
      </c>
    </row>
    <row r="74" spans="2:14" hidden="1" outlineLevel="1" x14ac:dyDescent="0.2">
      <c r="B74" s="121"/>
      <c r="C74" s="3" t="s">
        <v>86</v>
      </c>
      <c r="D74" s="238">
        <f t="shared" ref="D74:I74" si="28">D72+D73</f>
        <v>0</v>
      </c>
      <c r="E74" s="238">
        <f t="shared" si="28"/>
        <v>0</v>
      </c>
      <c r="F74" s="238">
        <f t="shared" si="28"/>
        <v>0</v>
      </c>
      <c r="G74" s="238">
        <f t="shared" si="28"/>
        <v>0</v>
      </c>
      <c r="H74" s="238">
        <f t="shared" si="28"/>
        <v>0</v>
      </c>
      <c r="I74" s="238">
        <f t="shared" si="28"/>
        <v>0</v>
      </c>
    </row>
    <row r="75" spans="2:14" collapsed="1" x14ac:dyDescent="0.2">
      <c r="B75" s="121"/>
      <c r="C75" s="457"/>
      <c r="D75" s="457"/>
      <c r="E75" s="457"/>
      <c r="F75" s="31"/>
      <c r="G75" s="31"/>
      <c r="H75" s="31"/>
      <c r="I75" s="31"/>
      <c r="J75" s="31"/>
      <c r="K75" s="31"/>
      <c r="L75" s="31"/>
      <c r="M75" s="31"/>
      <c r="N75" s="31"/>
    </row>
    <row r="76" spans="2:14" ht="15" x14ac:dyDescent="0.2">
      <c r="B76" s="249">
        <v>5</v>
      </c>
      <c r="C76" s="129" t="str">
        <f>INDEX(PBSScriptsNew,B76,1)</f>
        <v>** NOT USED **</v>
      </c>
      <c r="D76" s="123"/>
      <c r="E76" s="123"/>
      <c r="F76" s="123"/>
      <c r="G76" s="123"/>
      <c r="H76" s="123"/>
      <c r="I76" s="123"/>
      <c r="J76" s="117"/>
      <c r="K76" s="116"/>
      <c r="L76" s="588" t="str">
        <f>IF(C76&lt;&gt;MsgNotUsed,"Co-payment group " &amp; INDEX(DPMQCoPayNewPub,B76,3),"")</f>
        <v/>
      </c>
      <c r="M76" s="588"/>
      <c r="N76" s="380"/>
    </row>
    <row r="77" spans="2:14" hidden="1" outlineLevel="1" x14ac:dyDescent="0.2">
      <c r="B77" s="209">
        <f>INDEX(SANew,B76,5)</f>
        <v>0</v>
      </c>
      <c r="C77" s="457"/>
      <c r="D77" s="319">
        <v>2</v>
      </c>
      <c r="E77" s="319">
        <v>3</v>
      </c>
      <c r="F77" s="319">
        <v>4</v>
      </c>
      <c r="G77" s="319">
        <v>5</v>
      </c>
      <c r="H77" s="319">
        <v>6</v>
      </c>
      <c r="I77" s="319">
        <v>7</v>
      </c>
      <c r="K77" s="31"/>
      <c r="L77" s="31"/>
      <c r="M77" s="31"/>
      <c r="N77" s="31"/>
    </row>
    <row r="78" spans="2:14" hidden="1" outlineLevel="1" x14ac:dyDescent="0.2">
      <c r="B78" s="130"/>
      <c r="D78" s="74">
        <f>FirstYear</f>
        <v>2026</v>
      </c>
      <c r="E78" s="74">
        <f>D78+1</f>
        <v>2027</v>
      </c>
      <c r="F78" s="74">
        <f>E78+1</f>
        <v>2028</v>
      </c>
      <c r="G78" s="74">
        <f>F78+1</f>
        <v>2029</v>
      </c>
      <c r="H78" s="74">
        <f>G78+1</f>
        <v>2030</v>
      </c>
      <c r="I78" s="74">
        <f>H78+1</f>
        <v>2031</v>
      </c>
    </row>
    <row r="79" spans="2:14" hidden="1" outlineLevel="1" x14ac:dyDescent="0.2">
      <c r="B79" s="249">
        <v>1</v>
      </c>
      <c r="C79" s="76" t="s">
        <v>83</v>
      </c>
      <c r="D79" s="238">
        <f t="shared" ref="D79:I79" si="29">INDEX(PBSScriptsNew,$B76,D77)*INDEX(DPMQCoPayNewPub,$B76,$B79)</f>
        <v>0</v>
      </c>
      <c r="E79" s="238">
        <f t="shared" si="29"/>
        <v>0</v>
      </c>
      <c r="F79" s="238">
        <f t="shared" si="29"/>
        <v>0</v>
      </c>
      <c r="G79" s="238">
        <f t="shared" si="29"/>
        <v>0</v>
      </c>
      <c r="H79" s="238">
        <f t="shared" si="29"/>
        <v>0</v>
      </c>
      <c r="I79" s="238">
        <f t="shared" si="29"/>
        <v>0</v>
      </c>
    </row>
    <row r="80" spans="2:14" hidden="1" outlineLevel="1" x14ac:dyDescent="0.2">
      <c r="B80" s="249">
        <v>4</v>
      </c>
      <c r="C80" s="3" t="s">
        <v>108</v>
      </c>
      <c r="D80" s="238">
        <f t="shared" ref="D80:I80" si="30">INDEX(PBSScriptsNew,$B76,D77)*(INDEX(DPMQCoPayNewPub,$B76,$B80)/INDEX(CoPayCountNew,$B76))</f>
        <v>0</v>
      </c>
      <c r="E80" s="238">
        <f t="shared" si="30"/>
        <v>0</v>
      </c>
      <c r="F80" s="238">
        <f t="shared" si="30"/>
        <v>0</v>
      </c>
      <c r="G80" s="238">
        <f t="shared" si="30"/>
        <v>0</v>
      </c>
      <c r="H80" s="238">
        <f t="shared" si="30"/>
        <v>0</v>
      </c>
      <c r="I80" s="238">
        <f t="shared" si="30"/>
        <v>0</v>
      </c>
      <c r="K80" s="579" t="str">
        <f>IF(B77&lt;&gt;0,MsgNote&amp;IF(B77="Yes",INDEX(CoPayMethod,1),INDEX(CoPayMethod,2)),"")</f>
        <v/>
      </c>
      <c r="L80" s="579"/>
      <c r="M80" s="579"/>
      <c r="N80" s="443"/>
    </row>
    <row r="81" spans="2:14" hidden="1" outlineLevel="1" x14ac:dyDescent="0.2">
      <c r="B81" s="121"/>
      <c r="C81" s="3" t="s">
        <v>85</v>
      </c>
      <c r="D81" s="238">
        <f t="shared" ref="D81:I81" si="31">D79+D80</f>
        <v>0</v>
      </c>
      <c r="E81" s="238">
        <f t="shared" si="31"/>
        <v>0</v>
      </c>
      <c r="F81" s="238">
        <f t="shared" si="31"/>
        <v>0</v>
      </c>
      <c r="G81" s="238">
        <f t="shared" si="31"/>
        <v>0</v>
      </c>
      <c r="H81" s="238">
        <f t="shared" si="31"/>
        <v>0</v>
      </c>
      <c r="I81" s="238">
        <f t="shared" si="31"/>
        <v>0</v>
      </c>
    </row>
    <row r="82" spans="2:14" hidden="1" outlineLevel="1" x14ac:dyDescent="0.2">
      <c r="B82" s="121"/>
    </row>
    <row r="83" spans="2:14" ht="15.75" hidden="1" outlineLevel="1" x14ac:dyDescent="0.2">
      <c r="B83" s="121"/>
      <c r="C83" s="454"/>
      <c r="D83" s="74">
        <f>FirstYear</f>
        <v>2026</v>
      </c>
      <c r="E83" s="74">
        <f>D83+1</f>
        <v>2027</v>
      </c>
      <c r="F83" s="74">
        <f>E83+1</f>
        <v>2028</v>
      </c>
      <c r="G83" s="74">
        <f>F83+1</f>
        <v>2029</v>
      </c>
      <c r="H83" s="74">
        <f>G83+1</f>
        <v>2030</v>
      </c>
      <c r="I83" s="74">
        <f>H83+1</f>
        <v>2031</v>
      </c>
    </row>
    <row r="84" spans="2:14" hidden="1" outlineLevel="1" x14ac:dyDescent="0.2">
      <c r="B84" s="249">
        <v>1</v>
      </c>
      <c r="C84" s="76" t="s">
        <v>84</v>
      </c>
      <c r="D84" s="238">
        <f t="shared" ref="D84:I84" si="32">INDEX(RPBSScriptsNew,$B76,D77)*INDEX(DPMQCoPayNewPub,$B76,$B84)</f>
        <v>0</v>
      </c>
      <c r="E84" s="238">
        <f t="shared" si="32"/>
        <v>0</v>
      </c>
      <c r="F84" s="238">
        <f t="shared" si="32"/>
        <v>0</v>
      </c>
      <c r="G84" s="238">
        <f t="shared" si="32"/>
        <v>0</v>
      </c>
      <c r="H84" s="238">
        <f t="shared" si="32"/>
        <v>0</v>
      </c>
      <c r="I84" s="238">
        <f t="shared" si="32"/>
        <v>0</v>
      </c>
    </row>
    <row r="85" spans="2:14" hidden="1" outlineLevel="1" x14ac:dyDescent="0.2">
      <c r="B85" s="249">
        <v>5</v>
      </c>
      <c r="C85" s="3" t="s">
        <v>108</v>
      </c>
      <c r="D85" s="238">
        <f t="shared" ref="D85:I85" si="33">INDEX(RPBSScriptsNew,$B76,D77)*(INDEX(DPMQCoPayNewPub,$B76,$B85)/INDEX(CoPayCountNew,$B76))</f>
        <v>0</v>
      </c>
      <c r="E85" s="238">
        <f t="shared" si="33"/>
        <v>0</v>
      </c>
      <c r="F85" s="238">
        <f t="shared" si="33"/>
        <v>0</v>
      </c>
      <c r="G85" s="238">
        <f t="shared" si="33"/>
        <v>0</v>
      </c>
      <c r="H85" s="238">
        <f t="shared" si="33"/>
        <v>0</v>
      </c>
      <c r="I85" s="238">
        <f t="shared" si="33"/>
        <v>0</v>
      </c>
    </row>
    <row r="86" spans="2:14" hidden="1" outlineLevel="1" x14ac:dyDescent="0.2">
      <c r="B86" s="121"/>
      <c r="C86" s="3" t="s">
        <v>86</v>
      </c>
      <c r="D86" s="238">
        <f t="shared" ref="D86:I86" si="34">D84+D85</f>
        <v>0</v>
      </c>
      <c r="E86" s="238">
        <f t="shared" si="34"/>
        <v>0</v>
      </c>
      <c r="F86" s="238">
        <f t="shared" si="34"/>
        <v>0</v>
      </c>
      <c r="G86" s="238">
        <f t="shared" si="34"/>
        <v>0</v>
      </c>
      <c r="H86" s="238">
        <f t="shared" si="34"/>
        <v>0</v>
      </c>
      <c r="I86" s="238">
        <f t="shared" si="34"/>
        <v>0</v>
      </c>
    </row>
    <row r="87" spans="2:14" collapsed="1" x14ac:dyDescent="0.2">
      <c r="B87" s="121"/>
      <c r="C87" s="457"/>
      <c r="D87" s="457"/>
      <c r="E87" s="457"/>
      <c r="F87" s="31"/>
      <c r="G87" s="31"/>
      <c r="H87" s="31"/>
      <c r="I87" s="31"/>
      <c r="J87" s="31"/>
      <c r="K87" s="31"/>
      <c r="L87" s="31"/>
      <c r="M87" s="31"/>
      <c r="N87" s="31"/>
    </row>
    <row r="88" spans="2:14" ht="15" x14ac:dyDescent="0.2">
      <c r="B88" s="249">
        <v>6</v>
      </c>
      <c r="C88" s="129" t="str">
        <f>INDEX(PBSScriptsNew,B88,1)</f>
        <v>** NOT USED **</v>
      </c>
      <c r="D88" s="123"/>
      <c r="E88" s="123"/>
      <c r="F88" s="123"/>
      <c r="G88" s="123"/>
      <c r="H88" s="123"/>
      <c r="I88" s="123"/>
      <c r="J88" s="117"/>
      <c r="K88" s="116"/>
      <c r="L88" s="588" t="str">
        <f>IF(C88&lt;&gt;MsgNotUsed,"Co-payment group " &amp; INDEX(DPMQCoPayNewPub,B88,3),"")</f>
        <v/>
      </c>
      <c r="M88" s="588"/>
      <c r="N88" s="380"/>
    </row>
    <row r="89" spans="2:14" hidden="1" outlineLevel="1" x14ac:dyDescent="0.2">
      <c r="B89" s="209">
        <f>INDEX(SANew,B88,5)</f>
        <v>0</v>
      </c>
      <c r="C89" s="457"/>
      <c r="D89" s="319">
        <v>2</v>
      </c>
      <c r="E89" s="319">
        <v>3</v>
      </c>
      <c r="F89" s="319">
        <v>4</v>
      </c>
      <c r="G89" s="319">
        <v>5</v>
      </c>
      <c r="H89" s="319">
        <v>6</v>
      </c>
      <c r="I89" s="319">
        <v>7</v>
      </c>
      <c r="K89" s="31"/>
      <c r="L89" s="31"/>
      <c r="M89" s="31"/>
      <c r="N89" s="31"/>
    </row>
    <row r="90" spans="2:14" hidden="1" outlineLevel="1" x14ac:dyDescent="0.2">
      <c r="B90" s="130"/>
      <c r="D90" s="74">
        <f>FirstYear</f>
        <v>2026</v>
      </c>
      <c r="E90" s="74">
        <f>D90+1</f>
        <v>2027</v>
      </c>
      <c r="F90" s="74">
        <f>E90+1</f>
        <v>2028</v>
      </c>
      <c r="G90" s="74">
        <f>F90+1</f>
        <v>2029</v>
      </c>
      <c r="H90" s="74">
        <f>G90+1</f>
        <v>2030</v>
      </c>
      <c r="I90" s="74">
        <f>H90+1</f>
        <v>2031</v>
      </c>
    </row>
    <row r="91" spans="2:14" hidden="1" outlineLevel="1" x14ac:dyDescent="0.2">
      <c r="B91" s="249">
        <v>1</v>
      </c>
      <c r="C91" s="76" t="s">
        <v>83</v>
      </c>
      <c r="D91" s="238">
        <f t="shared" ref="D91:I91" si="35">INDEX(PBSScriptsNew,$B88,D89)*INDEX(DPMQCoPayNewPub,$B88,$B91)</f>
        <v>0</v>
      </c>
      <c r="E91" s="238">
        <f t="shared" si="35"/>
        <v>0</v>
      </c>
      <c r="F91" s="238">
        <f t="shared" si="35"/>
        <v>0</v>
      </c>
      <c r="G91" s="238">
        <f t="shared" si="35"/>
        <v>0</v>
      </c>
      <c r="H91" s="238">
        <f t="shared" si="35"/>
        <v>0</v>
      </c>
      <c r="I91" s="238">
        <f t="shared" si="35"/>
        <v>0</v>
      </c>
    </row>
    <row r="92" spans="2:14" hidden="1" outlineLevel="1" x14ac:dyDescent="0.2">
      <c r="B92" s="249">
        <v>4</v>
      </c>
      <c r="C92" s="3" t="s">
        <v>108</v>
      </c>
      <c r="D92" s="238">
        <f t="shared" ref="D92:I92" si="36">INDEX(PBSScriptsNew,$B88,D89)*(INDEX(DPMQCoPayNewPub,$B88,$B92)/INDEX(CoPayCountNew,$B88))</f>
        <v>0</v>
      </c>
      <c r="E92" s="238">
        <f t="shared" si="36"/>
        <v>0</v>
      </c>
      <c r="F92" s="238">
        <f t="shared" si="36"/>
        <v>0</v>
      </c>
      <c r="G92" s="238">
        <f t="shared" si="36"/>
        <v>0</v>
      </c>
      <c r="H92" s="238">
        <f t="shared" si="36"/>
        <v>0</v>
      </c>
      <c r="I92" s="238">
        <f t="shared" si="36"/>
        <v>0</v>
      </c>
      <c r="K92" s="579" t="str">
        <f>IF(B89&lt;&gt;0,MsgNote&amp;IF(B89="Yes",INDEX(CoPayMethod,1),INDEX(CoPayMethod,2)),"")</f>
        <v/>
      </c>
      <c r="L92" s="579"/>
      <c r="M92" s="579"/>
      <c r="N92" s="443"/>
    </row>
    <row r="93" spans="2:14" hidden="1" outlineLevel="1" x14ac:dyDescent="0.2">
      <c r="B93" s="121"/>
      <c r="C93" s="3" t="s">
        <v>85</v>
      </c>
      <c r="D93" s="238">
        <f t="shared" ref="D93:I93" si="37">D91+D92</f>
        <v>0</v>
      </c>
      <c r="E93" s="238">
        <f t="shared" si="37"/>
        <v>0</v>
      </c>
      <c r="F93" s="238">
        <f t="shared" si="37"/>
        <v>0</v>
      </c>
      <c r="G93" s="238">
        <f t="shared" si="37"/>
        <v>0</v>
      </c>
      <c r="H93" s="238">
        <f t="shared" si="37"/>
        <v>0</v>
      </c>
      <c r="I93" s="238">
        <f t="shared" si="37"/>
        <v>0</v>
      </c>
    </row>
    <row r="94" spans="2:14" hidden="1" outlineLevel="1" x14ac:dyDescent="0.2">
      <c r="B94" s="121"/>
    </row>
    <row r="95" spans="2:14" ht="15.75" hidden="1" outlineLevel="1" x14ac:dyDescent="0.2">
      <c r="B95" s="121"/>
      <c r="C95" s="454"/>
      <c r="D95" s="74">
        <f>FirstYear</f>
        <v>2026</v>
      </c>
      <c r="E95" s="74">
        <f>D95+1</f>
        <v>2027</v>
      </c>
      <c r="F95" s="74">
        <f>E95+1</f>
        <v>2028</v>
      </c>
      <c r="G95" s="74">
        <f>F95+1</f>
        <v>2029</v>
      </c>
      <c r="H95" s="74">
        <f>G95+1</f>
        <v>2030</v>
      </c>
      <c r="I95" s="74">
        <f>H95+1</f>
        <v>2031</v>
      </c>
    </row>
    <row r="96" spans="2:14" hidden="1" outlineLevel="1" x14ac:dyDescent="0.2">
      <c r="B96" s="249">
        <v>1</v>
      </c>
      <c r="C96" s="76" t="s">
        <v>84</v>
      </c>
      <c r="D96" s="238">
        <f t="shared" ref="D96:I96" si="38">INDEX(RPBSScriptsNew,$B88,D89)*INDEX(DPMQCoPayNewPub,$B88,$B96)</f>
        <v>0</v>
      </c>
      <c r="E96" s="238">
        <f t="shared" si="38"/>
        <v>0</v>
      </c>
      <c r="F96" s="238">
        <f t="shared" si="38"/>
        <v>0</v>
      </c>
      <c r="G96" s="238">
        <f t="shared" si="38"/>
        <v>0</v>
      </c>
      <c r="H96" s="238">
        <f t="shared" si="38"/>
        <v>0</v>
      </c>
      <c r="I96" s="238">
        <f t="shared" si="38"/>
        <v>0</v>
      </c>
    </row>
    <row r="97" spans="2:14" hidden="1" outlineLevel="1" x14ac:dyDescent="0.2">
      <c r="B97" s="249">
        <v>5</v>
      </c>
      <c r="C97" s="3" t="s">
        <v>108</v>
      </c>
      <c r="D97" s="238">
        <f t="shared" ref="D97:I97" si="39">INDEX(RPBSScriptsNew,$B88,D89)*(INDEX(DPMQCoPayNewPub,$B88,$B97)/INDEX(CoPayCountNew,$B88))</f>
        <v>0</v>
      </c>
      <c r="E97" s="238">
        <f t="shared" si="39"/>
        <v>0</v>
      </c>
      <c r="F97" s="238">
        <f t="shared" si="39"/>
        <v>0</v>
      </c>
      <c r="G97" s="238">
        <f t="shared" si="39"/>
        <v>0</v>
      </c>
      <c r="H97" s="238">
        <f t="shared" si="39"/>
        <v>0</v>
      </c>
      <c r="I97" s="238">
        <f t="shared" si="39"/>
        <v>0</v>
      </c>
    </row>
    <row r="98" spans="2:14" hidden="1" outlineLevel="1" x14ac:dyDescent="0.2">
      <c r="B98" s="121"/>
      <c r="C98" s="3" t="s">
        <v>86</v>
      </c>
      <c r="D98" s="238">
        <f t="shared" ref="D98:I98" si="40">D96+D97</f>
        <v>0</v>
      </c>
      <c r="E98" s="238">
        <f t="shared" si="40"/>
        <v>0</v>
      </c>
      <c r="F98" s="238">
        <f t="shared" si="40"/>
        <v>0</v>
      </c>
      <c r="G98" s="238">
        <f t="shared" si="40"/>
        <v>0</v>
      </c>
      <c r="H98" s="238">
        <f t="shared" si="40"/>
        <v>0</v>
      </c>
      <c r="I98" s="238">
        <f t="shared" si="40"/>
        <v>0</v>
      </c>
    </row>
    <row r="99" spans="2:14" collapsed="1" x14ac:dyDescent="0.2">
      <c r="B99" s="121"/>
      <c r="C99" s="457"/>
      <c r="D99" s="457"/>
      <c r="E99" s="457"/>
      <c r="F99" s="31"/>
      <c r="G99" s="31"/>
      <c r="H99" s="31"/>
      <c r="I99" s="31"/>
      <c r="J99" s="31"/>
      <c r="K99" s="31"/>
      <c r="L99" s="31"/>
      <c r="M99" s="31"/>
      <c r="N99" s="31"/>
    </row>
    <row r="100" spans="2:14" ht="15" x14ac:dyDescent="0.2">
      <c r="B100" s="249">
        <v>7</v>
      </c>
      <c r="C100" s="129" t="str">
        <f>INDEX(PBSScriptsNew,B100,1)</f>
        <v>** NOT USED **</v>
      </c>
      <c r="D100" s="123"/>
      <c r="E100" s="123"/>
      <c r="F100" s="123"/>
      <c r="G100" s="123"/>
      <c r="H100" s="123"/>
      <c r="I100" s="123"/>
      <c r="J100" s="117"/>
      <c r="K100" s="116"/>
      <c r="L100" s="588" t="str">
        <f>IF(C100&lt;&gt;MsgNotUsed,"Co-payment group " &amp; INDEX(DPMQCoPayNewPub,B100,3),"")</f>
        <v/>
      </c>
      <c r="M100" s="588"/>
      <c r="N100" s="380"/>
    </row>
    <row r="101" spans="2:14" hidden="1" outlineLevel="1" x14ac:dyDescent="0.2">
      <c r="B101" s="209">
        <f>INDEX(SANew,B100,5)</f>
        <v>0</v>
      </c>
      <c r="C101" s="457"/>
      <c r="D101" s="319">
        <v>2</v>
      </c>
      <c r="E101" s="319">
        <v>3</v>
      </c>
      <c r="F101" s="319">
        <v>4</v>
      </c>
      <c r="G101" s="319">
        <v>5</v>
      </c>
      <c r="H101" s="319">
        <v>6</v>
      </c>
      <c r="I101" s="319">
        <v>7</v>
      </c>
      <c r="K101" s="31"/>
      <c r="L101" s="31"/>
      <c r="M101" s="31"/>
      <c r="N101" s="31"/>
    </row>
    <row r="102" spans="2:14" hidden="1" outlineLevel="1" x14ac:dyDescent="0.2">
      <c r="B102" s="130"/>
      <c r="D102" s="74">
        <f>FirstYear</f>
        <v>2026</v>
      </c>
      <c r="E102" s="74">
        <f>D102+1</f>
        <v>2027</v>
      </c>
      <c r="F102" s="74">
        <f>E102+1</f>
        <v>2028</v>
      </c>
      <c r="G102" s="74">
        <f>F102+1</f>
        <v>2029</v>
      </c>
      <c r="H102" s="74">
        <f>G102+1</f>
        <v>2030</v>
      </c>
      <c r="I102" s="74">
        <f>H102+1</f>
        <v>2031</v>
      </c>
    </row>
    <row r="103" spans="2:14" hidden="1" outlineLevel="1" x14ac:dyDescent="0.2">
      <c r="B103" s="249">
        <v>1</v>
      </c>
      <c r="C103" s="76" t="s">
        <v>83</v>
      </c>
      <c r="D103" s="238">
        <f t="shared" ref="D103:I103" si="41">INDEX(PBSScriptsNew,$B100,D101)*INDEX(DPMQCoPayNewPub,$B100,$B103)</f>
        <v>0</v>
      </c>
      <c r="E103" s="238">
        <f t="shared" si="41"/>
        <v>0</v>
      </c>
      <c r="F103" s="238">
        <f t="shared" si="41"/>
        <v>0</v>
      </c>
      <c r="G103" s="238">
        <f t="shared" si="41"/>
        <v>0</v>
      </c>
      <c r="H103" s="238">
        <f t="shared" si="41"/>
        <v>0</v>
      </c>
      <c r="I103" s="238">
        <f t="shared" si="41"/>
        <v>0</v>
      </c>
    </row>
    <row r="104" spans="2:14" hidden="1" outlineLevel="1" x14ac:dyDescent="0.2">
      <c r="B104" s="249">
        <v>4</v>
      </c>
      <c r="C104" s="3" t="s">
        <v>108</v>
      </c>
      <c r="D104" s="238">
        <f t="shared" ref="D104:I104" si="42">INDEX(PBSScriptsNew,$B100,D101)*(INDEX(DPMQCoPayNewPub,$B100,$B104)/INDEX(CoPayCountNew,$B100))</f>
        <v>0</v>
      </c>
      <c r="E104" s="238">
        <f t="shared" si="42"/>
        <v>0</v>
      </c>
      <c r="F104" s="238">
        <f t="shared" si="42"/>
        <v>0</v>
      </c>
      <c r="G104" s="238">
        <f t="shared" si="42"/>
        <v>0</v>
      </c>
      <c r="H104" s="238">
        <f t="shared" si="42"/>
        <v>0</v>
      </c>
      <c r="I104" s="238">
        <f t="shared" si="42"/>
        <v>0</v>
      </c>
      <c r="K104" s="579" t="str">
        <f>IF(B101&lt;&gt;0,MsgNote&amp;IF(B101="Yes",INDEX(CoPayMethod,1),INDEX(CoPayMethod,2)),"")</f>
        <v/>
      </c>
      <c r="L104" s="579"/>
      <c r="M104" s="579"/>
      <c r="N104" s="443"/>
    </row>
    <row r="105" spans="2:14" hidden="1" outlineLevel="1" x14ac:dyDescent="0.2">
      <c r="B105" s="121"/>
      <c r="C105" s="3" t="s">
        <v>85</v>
      </c>
      <c r="D105" s="238">
        <f t="shared" ref="D105:I105" si="43">D103+D104</f>
        <v>0</v>
      </c>
      <c r="E105" s="238">
        <f t="shared" si="43"/>
        <v>0</v>
      </c>
      <c r="F105" s="238">
        <f t="shared" si="43"/>
        <v>0</v>
      </c>
      <c r="G105" s="238">
        <f t="shared" si="43"/>
        <v>0</v>
      </c>
      <c r="H105" s="238">
        <f t="shared" si="43"/>
        <v>0</v>
      </c>
      <c r="I105" s="238">
        <f t="shared" si="43"/>
        <v>0</v>
      </c>
    </row>
    <row r="106" spans="2:14" hidden="1" outlineLevel="1" x14ac:dyDescent="0.2">
      <c r="B106" s="121"/>
    </row>
    <row r="107" spans="2:14" ht="15.75" hidden="1" outlineLevel="1" x14ac:dyDescent="0.2">
      <c r="B107" s="121"/>
      <c r="C107" s="454"/>
      <c r="D107" s="74">
        <f>FirstYear</f>
        <v>2026</v>
      </c>
      <c r="E107" s="74">
        <f>D107+1</f>
        <v>2027</v>
      </c>
      <c r="F107" s="74">
        <f>E107+1</f>
        <v>2028</v>
      </c>
      <c r="G107" s="74">
        <f>F107+1</f>
        <v>2029</v>
      </c>
      <c r="H107" s="74">
        <f>G107+1</f>
        <v>2030</v>
      </c>
      <c r="I107" s="74">
        <f>H107+1</f>
        <v>2031</v>
      </c>
    </row>
    <row r="108" spans="2:14" hidden="1" outlineLevel="1" x14ac:dyDescent="0.2">
      <c r="B108" s="249">
        <v>1</v>
      </c>
      <c r="C108" s="76" t="s">
        <v>84</v>
      </c>
      <c r="D108" s="238">
        <f t="shared" ref="D108:I108" si="44">INDEX(RPBSScriptsNew,$B100,D101)*INDEX(DPMQCoPayNewPub,$B100,$B108)</f>
        <v>0</v>
      </c>
      <c r="E108" s="238">
        <f t="shared" si="44"/>
        <v>0</v>
      </c>
      <c r="F108" s="238">
        <f t="shared" si="44"/>
        <v>0</v>
      </c>
      <c r="G108" s="238">
        <f t="shared" si="44"/>
        <v>0</v>
      </c>
      <c r="H108" s="238">
        <f t="shared" si="44"/>
        <v>0</v>
      </c>
      <c r="I108" s="238">
        <f t="shared" si="44"/>
        <v>0</v>
      </c>
    </row>
    <row r="109" spans="2:14" hidden="1" outlineLevel="1" x14ac:dyDescent="0.2">
      <c r="B109" s="249">
        <v>5</v>
      </c>
      <c r="C109" s="3" t="s">
        <v>108</v>
      </c>
      <c r="D109" s="238">
        <f t="shared" ref="D109:I109" si="45">INDEX(RPBSScriptsNew,$B100,D101)*(INDEX(DPMQCoPayNewPub,$B100,$B109)/INDEX(CoPayCountNew,$B100))</f>
        <v>0</v>
      </c>
      <c r="E109" s="238">
        <f t="shared" si="45"/>
        <v>0</v>
      </c>
      <c r="F109" s="238">
        <f t="shared" si="45"/>
        <v>0</v>
      </c>
      <c r="G109" s="238">
        <f t="shared" si="45"/>
        <v>0</v>
      </c>
      <c r="H109" s="238">
        <f t="shared" si="45"/>
        <v>0</v>
      </c>
      <c r="I109" s="238">
        <f t="shared" si="45"/>
        <v>0</v>
      </c>
    </row>
    <row r="110" spans="2:14" hidden="1" outlineLevel="1" x14ac:dyDescent="0.2">
      <c r="B110" s="121"/>
      <c r="C110" s="3" t="s">
        <v>86</v>
      </c>
      <c r="D110" s="238">
        <f t="shared" ref="D110:I110" si="46">D108+D109</f>
        <v>0</v>
      </c>
      <c r="E110" s="238">
        <f t="shared" si="46"/>
        <v>0</v>
      </c>
      <c r="F110" s="238">
        <f t="shared" si="46"/>
        <v>0</v>
      </c>
      <c r="G110" s="238">
        <f t="shared" si="46"/>
        <v>0</v>
      </c>
      <c r="H110" s="238">
        <f t="shared" si="46"/>
        <v>0</v>
      </c>
      <c r="I110" s="238">
        <f t="shared" si="46"/>
        <v>0</v>
      </c>
    </row>
    <row r="111" spans="2:14" collapsed="1" x14ac:dyDescent="0.2">
      <c r="B111" s="121"/>
      <c r="C111" s="457"/>
      <c r="D111" s="457"/>
      <c r="E111" s="457"/>
      <c r="F111" s="31"/>
      <c r="G111" s="31"/>
      <c r="H111" s="31"/>
      <c r="I111" s="31"/>
      <c r="J111" s="31"/>
      <c r="K111" s="31"/>
      <c r="L111" s="31"/>
      <c r="M111" s="31"/>
      <c r="N111" s="31"/>
    </row>
    <row r="112" spans="2:14" ht="15" x14ac:dyDescent="0.2">
      <c r="B112" s="249">
        <v>8</v>
      </c>
      <c r="C112" s="129" t="str">
        <f>INDEX(PBSScriptsNew,B112,1)</f>
        <v>** NOT USED **</v>
      </c>
      <c r="D112" s="123"/>
      <c r="E112" s="123"/>
      <c r="F112" s="123"/>
      <c r="G112" s="123"/>
      <c r="H112" s="123"/>
      <c r="I112" s="123"/>
      <c r="J112" s="117"/>
      <c r="K112" s="116"/>
      <c r="L112" s="588" t="str">
        <f>IF(C112&lt;&gt;MsgNotUsed,"Co-payment group " &amp; INDEX(DPMQCoPayNewPub,B112,3),"")</f>
        <v/>
      </c>
      <c r="M112" s="588"/>
      <c r="N112" s="380"/>
    </row>
    <row r="113" spans="2:14" hidden="1" outlineLevel="1" x14ac:dyDescent="0.2">
      <c r="B113" s="209">
        <f>INDEX(SANew,B112,5)</f>
        <v>0</v>
      </c>
      <c r="C113" s="457"/>
      <c r="D113" s="319">
        <v>2</v>
      </c>
      <c r="E113" s="319">
        <v>3</v>
      </c>
      <c r="F113" s="319">
        <v>4</v>
      </c>
      <c r="G113" s="319">
        <v>5</v>
      </c>
      <c r="H113" s="319">
        <v>6</v>
      </c>
      <c r="I113" s="319">
        <v>7</v>
      </c>
      <c r="K113" s="31"/>
      <c r="L113" s="31"/>
      <c r="M113" s="31"/>
      <c r="N113" s="31"/>
    </row>
    <row r="114" spans="2:14" hidden="1" outlineLevel="1" x14ac:dyDescent="0.2">
      <c r="B114" s="130"/>
      <c r="D114" s="74">
        <f>FirstYear</f>
        <v>2026</v>
      </c>
      <c r="E114" s="74">
        <f>D114+1</f>
        <v>2027</v>
      </c>
      <c r="F114" s="74">
        <f>E114+1</f>
        <v>2028</v>
      </c>
      <c r="G114" s="74">
        <f>F114+1</f>
        <v>2029</v>
      </c>
      <c r="H114" s="74">
        <f>G114+1</f>
        <v>2030</v>
      </c>
      <c r="I114" s="74">
        <f>H114+1</f>
        <v>2031</v>
      </c>
    </row>
    <row r="115" spans="2:14" hidden="1" outlineLevel="1" x14ac:dyDescent="0.2">
      <c r="B115" s="249">
        <v>1</v>
      </c>
      <c r="C115" s="76" t="s">
        <v>83</v>
      </c>
      <c r="D115" s="238">
        <f t="shared" ref="D115:I115" si="47">INDEX(PBSScriptsNew,$B112,D113)*INDEX(DPMQCoPayNewPub,$B112,$B115)</f>
        <v>0</v>
      </c>
      <c r="E115" s="238">
        <f t="shared" si="47"/>
        <v>0</v>
      </c>
      <c r="F115" s="238">
        <f t="shared" si="47"/>
        <v>0</v>
      </c>
      <c r="G115" s="238">
        <f t="shared" si="47"/>
        <v>0</v>
      </c>
      <c r="H115" s="238">
        <f t="shared" si="47"/>
        <v>0</v>
      </c>
      <c r="I115" s="238">
        <f t="shared" si="47"/>
        <v>0</v>
      </c>
    </row>
    <row r="116" spans="2:14" hidden="1" outlineLevel="1" x14ac:dyDescent="0.2">
      <c r="B116" s="249">
        <v>4</v>
      </c>
      <c r="C116" s="3" t="s">
        <v>108</v>
      </c>
      <c r="D116" s="238">
        <f t="shared" ref="D116:I116" si="48">INDEX(PBSScriptsNew,$B112,D113)*(INDEX(DPMQCoPayNewPub,$B112,$B116)/INDEX(CoPayCountNew,$B112))</f>
        <v>0</v>
      </c>
      <c r="E116" s="238">
        <f t="shared" si="48"/>
        <v>0</v>
      </c>
      <c r="F116" s="238">
        <f t="shared" si="48"/>
        <v>0</v>
      </c>
      <c r="G116" s="238">
        <f t="shared" si="48"/>
        <v>0</v>
      </c>
      <c r="H116" s="238">
        <f t="shared" si="48"/>
        <v>0</v>
      </c>
      <c r="I116" s="238">
        <f t="shared" si="48"/>
        <v>0</v>
      </c>
      <c r="K116" s="579" t="str">
        <f>IF(B113&lt;&gt;0,MsgNote&amp;IF(B113="Yes",INDEX(CoPayMethod,1),INDEX(CoPayMethod,2)),"")</f>
        <v/>
      </c>
      <c r="L116" s="579"/>
      <c r="M116" s="579"/>
      <c r="N116" s="443"/>
    </row>
    <row r="117" spans="2:14" hidden="1" outlineLevel="1" x14ac:dyDescent="0.2">
      <c r="B117" s="121"/>
      <c r="C117" s="3" t="s">
        <v>85</v>
      </c>
      <c r="D117" s="238">
        <f t="shared" ref="D117:I117" si="49">D115+D116</f>
        <v>0</v>
      </c>
      <c r="E117" s="238">
        <f t="shared" si="49"/>
        <v>0</v>
      </c>
      <c r="F117" s="238">
        <f t="shared" si="49"/>
        <v>0</v>
      </c>
      <c r="G117" s="238">
        <f t="shared" si="49"/>
        <v>0</v>
      </c>
      <c r="H117" s="238">
        <f t="shared" si="49"/>
        <v>0</v>
      </c>
      <c r="I117" s="238">
        <f t="shared" si="49"/>
        <v>0</v>
      </c>
    </row>
    <row r="118" spans="2:14" hidden="1" outlineLevel="1" x14ac:dyDescent="0.2">
      <c r="B118" s="121"/>
    </row>
    <row r="119" spans="2:14" ht="15.75" hidden="1" outlineLevel="1" x14ac:dyDescent="0.2">
      <c r="B119" s="121"/>
      <c r="C119" s="454"/>
      <c r="D119" s="74">
        <f>FirstYear</f>
        <v>2026</v>
      </c>
      <c r="E119" s="74">
        <f>D119+1</f>
        <v>2027</v>
      </c>
      <c r="F119" s="74">
        <f>E119+1</f>
        <v>2028</v>
      </c>
      <c r="G119" s="74">
        <f>F119+1</f>
        <v>2029</v>
      </c>
      <c r="H119" s="74">
        <f>G119+1</f>
        <v>2030</v>
      </c>
      <c r="I119" s="74">
        <f>H119+1</f>
        <v>2031</v>
      </c>
    </row>
    <row r="120" spans="2:14" hidden="1" outlineLevel="1" x14ac:dyDescent="0.2">
      <c r="B120" s="249">
        <v>1</v>
      </c>
      <c r="C120" s="76" t="s">
        <v>84</v>
      </c>
      <c r="D120" s="238">
        <f t="shared" ref="D120:I120" si="50">INDEX(RPBSScriptsNew,$B112,D113)*INDEX(DPMQCoPayNewPub,$B112,$B120)</f>
        <v>0</v>
      </c>
      <c r="E120" s="238">
        <f t="shared" si="50"/>
        <v>0</v>
      </c>
      <c r="F120" s="238">
        <f t="shared" si="50"/>
        <v>0</v>
      </c>
      <c r="G120" s="238">
        <f t="shared" si="50"/>
        <v>0</v>
      </c>
      <c r="H120" s="238">
        <f t="shared" si="50"/>
        <v>0</v>
      </c>
      <c r="I120" s="238">
        <f t="shared" si="50"/>
        <v>0</v>
      </c>
    </row>
    <row r="121" spans="2:14" hidden="1" outlineLevel="1" x14ac:dyDescent="0.2">
      <c r="B121" s="249">
        <v>5</v>
      </c>
      <c r="C121" s="3" t="s">
        <v>108</v>
      </c>
      <c r="D121" s="238">
        <f t="shared" ref="D121:I121" si="51">INDEX(RPBSScriptsNew,$B112,D113)*(INDEX(DPMQCoPayNewPub,$B112,$B121)/INDEX(CoPayCountNew,$B112))</f>
        <v>0</v>
      </c>
      <c r="E121" s="238">
        <f t="shared" si="51"/>
        <v>0</v>
      </c>
      <c r="F121" s="238">
        <f t="shared" si="51"/>
        <v>0</v>
      </c>
      <c r="G121" s="238">
        <f t="shared" si="51"/>
        <v>0</v>
      </c>
      <c r="H121" s="238">
        <f t="shared" si="51"/>
        <v>0</v>
      </c>
      <c r="I121" s="238">
        <f t="shared" si="51"/>
        <v>0</v>
      </c>
    </row>
    <row r="122" spans="2:14" hidden="1" outlineLevel="1" x14ac:dyDescent="0.2">
      <c r="B122" s="121"/>
      <c r="C122" s="3" t="s">
        <v>86</v>
      </c>
      <c r="D122" s="238">
        <f t="shared" ref="D122:I122" si="52">D120+D121</f>
        <v>0</v>
      </c>
      <c r="E122" s="238">
        <f t="shared" si="52"/>
        <v>0</v>
      </c>
      <c r="F122" s="238">
        <f t="shared" si="52"/>
        <v>0</v>
      </c>
      <c r="G122" s="238">
        <f t="shared" si="52"/>
        <v>0</v>
      </c>
      <c r="H122" s="238">
        <f t="shared" si="52"/>
        <v>0</v>
      </c>
      <c r="I122" s="238">
        <f t="shared" si="52"/>
        <v>0</v>
      </c>
    </row>
    <row r="123" spans="2:14" collapsed="1" x14ac:dyDescent="0.2">
      <c r="B123" s="121"/>
      <c r="C123" s="457"/>
      <c r="D123" s="457"/>
      <c r="E123" s="457"/>
      <c r="F123" s="31"/>
      <c r="G123" s="31"/>
      <c r="H123" s="31"/>
      <c r="I123" s="31"/>
      <c r="J123" s="31"/>
      <c r="K123" s="31"/>
      <c r="L123" s="31"/>
      <c r="M123" s="31"/>
      <c r="N123" s="31"/>
    </row>
    <row r="124" spans="2:14" ht="15" x14ac:dyDescent="0.2">
      <c r="B124" s="249">
        <v>9</v>
      </c>
      <c r="C124" s="129" t="str">
        <f>INDEX(PBSScriptsNew,B124,1)</f>
        <v>** NOT USED **</v>
      </c>
      <c r="D124" s="123"/>
      <c r="E124" s="123"/>
      <c r="F124" s="123"/>
      <c r="G124" s="123"/>
      <c r="H124" s="123"/>
      <c r="I124" s="123"/>
      <c r="J124" s="117"/>
      <c r="K124" s="116"/>
      <c r="L124" s="588" t="str">
        <f>IF(C124&lt;&gt;MsgNotUsed,"Co-payment group " &amp; INDEX(DPMQCoPayNewPub,B124,3),"")</f>
        <v/>
      </c>
      <c r="M124" s="588"/>
      <c r="N124" s="380"/>
    </row>
    <row r="125" spans="2:14" hidden="1" outlineLevel="1" x14ac:dyDescent="0.2">
      <c r="B125" s="209">
        <f>INDEX(SANew,B124,5)</f>
        <v>0</v>
      </c>
      <c r="C125" s="457"/>
      <c r="D125" s="319">
        <v>2</v>
      </c>
      <c r="E125" s="319">
        <v>3</v>
      </c>
      <c r="F125" s="319">
        <v>4</v>
      </c>
      <c r="G125" s="319">
        <v>5</v>
      </c>
      <c r="H125" s="319">
        <v>6</v>
      </c>
      <c r="I125" s="319">
        <v>7</v>
      </c>
      <c r="K125" s="31"/>
      <c r="L125" s="31"/>
      <c r="M125" s="31"/>
      <c r="N125" s="31"/>
    </row>
    <row r="126" spans="2:14" hidden="1" outlineLevel="1" x14ac:dyDescent="0.2">
      <c r="B126" s="130"/>
      <c r="D126" s="74">
        <f>FirstYear</f>
        <v>2026</v>
      </c>
      <c r="E126" s="74">
        <f>D126+1</f>
        <v>2027</v>
      </c>
      <c r="F126" s="74">
        <f>E126+1</f>
        <v>2028</v>
      </c>
      <c r="G126" s="74">
        <f>F126+1</f>
        <v>2029</v>
      </c>
      <c r="H126" s="74">
        <f>G126+1</f>
        <v>2030</v>
      </c>
      <c r="I126" s="74">
        <f>H126+1</f>
        <v>2031</v>
      </c>
    </row>
    <row r="127" spans="2:14" hidden="1" outlineLevel="1" x14ac:dyDescent="0.2">
      <c r="B127" s="249">
        <v>1</v>
      </c>
      <c r="C127" s="76" t="s">
        <v>83</v>
      </c>
      <c r="D127" s="238">
        <f t="shared" ref="D127:I127" si="53">INDEX(PBSScriptsNew,$B124,D125)*INDEX(DPMQCoPayNewPub,$B124,$B127)</f>
        <v>0</v>
      </c>
      <c r="E127" s="238">
        <f t="shared" si="53"/>
        <v>0</v>
      </c>
      <c r="F127" s="238">
        <f t="shared" si="53"/>
        <v>0</v>
      </c>
      <c r="G127" s="238">
        <f t="shared" si="53"/>
        <v>0</v>
      </c>
      <c r="H127" s="238">
        <f t="shared" si="53"/>
        <v>0</v>
      </c>
      <c r="I127" s="238">
        <f t="shared" si="53"/>
        <v>0</v>
      </c>
    </row>
    <row r="128" spans="2:14" hidden="1" outlineLevel="1" x14ac:dyDescent="0.2">
      <c r="B128" s="249">
        <v>4</v>
      </c>
      <c r="C128" s="3" t="s">
        <v>108</v>
      </c>
      <c r="D128" s="238">
        <f t="shared" ref="D128:I128" si="54">INDEX(PBSScriptsNew,$B124,D125)*(INDEX(DPMQCoPayNewPub,$B124,$B128)/INDEX(CoPayCountNew,$B124))</f>
        <v>0</v>
      </c>
      <c r="E128" s="238">
        <f t="shared" si="54"/>
        <v>0</v>
      </c>
      <c r="F128" s="238">
        <f t="shared" si="54"/>
        <v>0</v>
      </c>
      <c r="G128" s="238">
        <f t="shared" si="54"/>
        <v>0</v>
      </c>
      <c r="H128" s="238">
        <f t="shared" si="54"/>
        <v>0</v>
      </c>
      <c r="I128" s="238">
        <f t="shared" si="54"/>
        <v>0</v>
      </c>
      <c r="K128" s="579" t="str">
        <f>IF(B125&lt;&gt;0,MsgNote&amp;IF(B125="Yes",INDEX(CoPayMethod,1),INDEX(CoPayMethod,2)),"")</f>
        <v/>
      </c>
      <c r="L128" s="579"/>
      <c r="M128" s="579"/>
      <c r="N128" s="443"/>
    </row>
    <row r="129" spans="2:14" hidden="1" outlineLevel="1" x14ac:dyDescent="0.2">
      <c r="B129" s="121"/>
      <c r="C129" s="3" t="s">
        <v>85</v>
      </c>
      <c r="D129" s="238">
        <f t="shared" ref="D129:I129" si="55">D127+D128</f>
        <v>0</v>
      </c>
      <c r="E129" s="238">
        <f t="shared" si="55"/>
        <v>0</v>
      </c>
      <c r="F129" s="238">
        <f t="shared" si="55"/>
        <v>0</v>
      </c>
      <c r="G129" s="238">
        <f t="shared" si="55"/>
        <v>0</v>
      </c>
      <c r="H129" s="238">
        <f t="shared" si="55"/>
        <v>0</v>
      </c>
      <c r="I129" s="238">
        <f t="shared" si="55"/>
        <v>0</v>
      </c>
    </row>
    <row r="130" spans="2:14" hidden="1" outlineLevel="1" x14ac:dyDescent="0.2">
      <c r="B130" s="121"/>
    </row>
    <row r="131" spans="2:14" ht="15.75" hidden="1" outlineLevel="1" x14ac:dyDescent="0.2">
      <c r="B131" s="121"/>
      <c r="C131" s="454"/>
      <c r="D131" s="74">
        <f>FirstYear</f>
        <v>2026</v>
      </c>
      <c r="E131" s="74">
        <f>D131+1</f>
        <v>2027</v>
      </c>
      <c r="F131" s="74">
        <f>E131+1</f>
        <v>2028</v>
      </c>
      <c r="G131" s="74">
        <f>F131+1</f>
        <v>2029</v>
      </c>
      <c r="H131" s="74">
        <f>G131+1</f>
        <v>2030</v>
      </c>
      <c r="I131" s="74">
        <f>H131+1</f>
        <v>2031</v>
      </c>
    </row>
    <row r="132" spans="2:14" hidden="1" outlineLevel="1" x14ac:dyDescent="0.2">
      <c r="B132" s="249">
        <v>1</v>
      </c>
      <c r="C132" s="76" t="s">
        <v>84</v>
      </c>
      <c r="D132" s="238">
        <f t="shared" ref="D132:I132" si="56">INDEX(RPBSScriptsNew,$B124,D125)*INDEX(DPMQCoPayNewPub,$B124,$B132)</f>
        <v>0</v>
      </c>
      <c r="E132" s="238">
        <f t="shared" si="56"/>
        <v>0</v>
      </c>
      <c r="F132" s="238">
        <f t="shared" si="56"/>
        <v>0</v>
      </c>
      <c r="G132" s="238">
        <f t="shared" si="56"/>
        <v>0</v>
      </c>
      <c r="H132" s="238">
        <f t="shared" si="56"/>
        <v>0</v>
      </c>
      <c r="I132" s="238">
        <f t="shared" si="56"/>
        <v>0</v>
      </c>
    </row>
    <row r="133" spans="2:14" hidden="1" outlineLevel="1" x14ac:dyDescent="0.2">
      <c r="B133" s="249">
        <v>5</v>
      </c>
      <c r="C133" s="3" t="s">
        <v>108</v>
      </c>
      <c r="D133" s="238">
        <f t="shared" ref="D133:I133" si="57">INDEX(RPBSScriptsNew,$B124,D125)*(INDEX(DPMQCoPayNewPub,$B124,$B133)/INDEX(CoPayCountNew,$B124))</f>
        <v>0</v>
      </c>
      <c r="E133" s="238">
        <f t="shared" si="57"/>
        <v>0</v>
      </c>
      <c r="F133" s="238">
        <f t="shared" si="57"/>
        <v>0</v>
      </c>
      <c r="G133" s="238">
        <f t="shared" si="57"/>
        <v>0</v>
      </c>
      <c r="H133" s="238">
        <f t="shared" si="57"/>
        <v>0</v>
      </c>
      <c r="I133" s="238">
        <f t="shared" si="57"/>
        <v>0</v>
      </c>
    </row>
    <row r="134" spans="2:14" hidden="1" outlineLevel="1" x14ac:dyDescent="0.2">
      <c r="B134" s="121"/>
      <c r="C134" s="3" t="s">
        <v>86</v>
      </c>
      <c r="D134" s="238">
        <f t="shared" ref="D134:I134" si="58">D132+D133</f>
        <v>0</v>
      </c>
      <c r="E134" s="238">
        <f t="shared" si="58"/>
        <v>0</v>
      </c>
      <c r="F134" s="238">
        <f t="shared" si="58"/>
        <v>0</v>
      </c>
      <c r="G134" s="238">
        <f t="shared" si="58"/>
        <v>0</v>
      </c>
      <c r="H134" s="238">
        <f t="shared" si="58"/>
        <v>0</v>
      </c>
      <c r="I134" s="238">
        <f t="shared" si="58"/>
        <v>0</v>
      </c>
    </row>
    <row r="135" spans="2:14" collapsed="1" x14ac:dyDescent="0.2">
      <c r="B135" s="121"/>
      <c r="C135" s="457"/>
      <c r="D135" s="457"/>
      <c r="E135" s="457"/>
      <c r="F135" s="31"/>
      <c r="G135" s="31"/>
      <c r="H135" s="31"/>
      <c r="I135" s="31"/>
      <c r="J135" s="31"/>
      <c r="K135" s="31"/>
      <c r="L135" s="31"/>
      <c r="M135" s="31"/>
      <c r="N135" s="31"/>
    </row>
    <row r="136" spans="2:14" ht="15" x14ac:dyDescent="0.2">
      <c r="B136" s="249">
        <v>10</v>
      </c>
      <c r="C136" s="129" t="str">
        <f>INDEX(PBSScriptsNew,B136,1)</f>
        <v>** NOT USED **</v>
      </c>
      <c r="D136" s="123"/>
      <c r="E136" s="123"/>
      <c r="F136" s="123"/>
      <c r="G136" s="123"/>
      <c r="H136" s="123"/>
      <c r="I136" s="123"/>
      <c r="J136" s="117"/>
      <c r="K136" s="116"/>
      <c r="L136" s="588" t="str">
        <f>IF(C136&lt;&gt;MsgNotUsed,"Co-payment group " &amp; INDEX(DPMQCoPayNewPub,B136,3),"")</f>
        <v/>
      </c>
      <c r="M136" s="588"/>
      <c r="N136" s="380"/>
    </row>
    <row r="137" spans="2:14" hidden="1" outlineLevel="1" x14ac:dyDescent="0.2">
      <c r="B137" s="209">
        <f>INDEX(SANew,B136,5)</f>
        <v>0</v>
      </c>
      <c r="C137" s="457"/>
      <c r="D137" s="319">
        <v>2</v>
      </c>
      <c r="E137" s="319">
        <v>3</v>
      </c>
      <c r="F137" s="319">
        <v>4</v>
      </c>
      <c r="G137" s="319">
        <v>5</v>
      </c>
      <c r="H137" s="319">
        <v>6</v>
      </c>
      <c r="I137" s="319">
        <v>7</v>
      </c>
      <c r="K137" s="31"/>
      <c r="L137" s="31"/>
      <c r="M137" s="31"/>
      <c r="N137" s="31"/>
    </row>
    <row r="138" spans="2:14" hidden="1" outlineLevel="1" x14ac:dyDescent="0.2">
      <c r="B138" s="130"/>
      <c r="D138" s="74">
        <f>FirstYear</f>
        <v>2026</v>
      </c>
      <c r="E138" s="74">
        <f>D138+1</f>
        <v>2027</v>
      </c>
      <c r="F138" s="74">
        <f>E138+1</f>
        <v>2028</v>
      </c>
      <c r="G138" s="74">
        <f>F138+1</f>
        <v>2029</v>
      </c>
      <c r="H138" s="74">
        <f>G138+1</f>
        <v>2030</v>
      </c>
      <c r="I138" s="74">
        <f>H138+1</f>
        <v>2031</v>
      </c>
    </row>
    <row r="139" spans="2:14" hidden="1" outlineLevel="1" x14ac:dyDescent="0.2">
      <c r="B139" s="249">
        <v>1</v>
      </c>
      <c r="C139" s="76" t="s">
        <v>83</v>
      </c>
      <c r="D139" s="238">
        <f t="shared" ref="D139:I139" si="59">INDEX(PBSScriptsNew,$B136,D137)*INDEX(DPMQCoPayNewPub,$B136,$B139)</f>
        <v>0</v>
      </c>
      <c r="E139" s="238">
        <f t="shared" si="59"/>
        <v>0</v>
      </c>
      <c r="F139" s="238">
        <f t="shared" si="59"/>
        <v>0</v>
      </c>
      <c r="G139" s="238">
        <f t="shared" si="59"/>
        <v>0</v>
      </c>
      <c r="H139" s="238">
        <f t="shared" si="59"/>
        <v>0</v>
      </c>
      <c r="I139" s="238">
        <f t="shared" si="59"/>
        <v>0</v>
      </c>
    </row>
    <row r="140" spans="2:14" hidden="1" outlineLevel="1" x14ac:dyDescent="0.2">
      <c r="B140" s="249">
        <v>4</v>
      </c>
      <c r="C140" s="3" t="s">
        <v>108</v>
      </c>
      <c r="D140" s="238">
        <f t="shared" ref="D140:I140" si="60">INDEX(PBSScriptsNew,$B136,D137)*(INDEX(DPMQCoPayNewPub,$B136,$B140)/INDEX(CoPayCountNew,$B136))</f>
        <v>0</v>
      </c>
      <c r="E140" s="238">
        <f t="shared" si="60"/>
        <v>0</v>
      </c>
      <c r="F140" s="238">
        <f t="shared" si="60"/>
        <v>0</v>
      </c>
      <c r="G140" s="238">
        <f t="shared" si="60"/>
        <v>0</v>
      </c>
      <c r="H140" s="238">
        <f t="shared" si="60"/>
        <v>0</v>
      </c>
      <c r="I140" s="238">
        <f t="shared" si="60"/>
        <v>0</v>
      </c>
      <c r="K140" s="579" t="str">
        <f>IF(B137&lt;&gt;0,MsgNote&amp;IF(B137="Yes",INDEX(CoPayMethod,1),INDEX(CoPayMethod,2)),"")</f>
        <v/>
      </c>
      <c r="L140" s="579"/>
      <c r="M140" s="579"/>
      <c r="N140" s="443"/>
    </row>
    <row r="141" spans="2:14" hidden="1" outlineLevel="1" x14ac:dyDescent="0.2">
      <c r="B141" s="121"/>
      <c r="C141" s="3" t="s">
        <v>85</v>
      </c>
      <c r="D141" s="238">
        <f t="shared" ref="D141:I141" si="61">D139+D140</f>
        <v>0</v>
      </c>
      <c r="E141" s="238">
        <f t="shared" si="61"/>
        <v>0</v>
      </c>
      <c r="F141" s="238">
        <f t="shared" si="61"/>
        <v>0</v>
      </c>
      <c r="G141" s="238">
        <f t="shared" si="61"/>
        <v>0</v>
      </c>
      <c r="H141" s="238">
        <f t="shared" si="61"/>
        <v>0</v>
      </c>
      <c r="I141" s="238">
        <f t="shared" si="61"/>
        <v>0</v>
      </c>
    </row>
    <row r="142" spans="2:14" hidden="1" outlineLevel="1" x14ac:dyDescent="0.2">
      <c r="B142" s="121"/>
    </row>
    <row r="143" spans="2:14" ht="15.75" hidden="1" outlineLevel="1" x14ac:dyDescent="0.2">
      <c r="B143" s="121"/>
      <c r="C143" s="454"/>
      <c r="D143" s="74">
        <f>FirstYear</f>
        <v>2026</v>
      </c>
      <c r="E143" s="74">
        <f>D143+1</f>
        <v>2027</v>
      </c>
      <c r="F143" s="74">
        <f>E143+1</f>
        <v>2028</v>
      </c>
      <c r="G143" s="74">
        <f>F143+1</f>
        <v>2029</v>
      </c>
      <c r="H143" s="74">
        <f>G143+1</f>
        <v>2030</v>
      </c>
      <c r="I143" s="74">
        <f>H143+1</f>
        <v>2031</v>
      </c>
    </row>
    <row r="144" spans="2:14" hidden="1" outlineLevel="1" x14ac:dyDescent="0.2">
      <c r="B144" s="249">
        <v>1</v>
      </c>
      <c r="C144" s="76" t="s">
        <v>84</v>
      </c>
      <c r="D144" s="238">
        <f t="shared" ref="D144:I144" si="62">INDEX(RPBSScriptsNew,$B136,D137)*INDEX(DPMQCoPayNewPub,$B136,$B144)</f>
        <v>0</v>
      </c>
      <c r="E144" s="238">
        <f t="shared" si="62"/>
        <v>0</v>
      </c>
      <c r="F144" s="238">
        <f t="shared" si="62"/>
        <v>0</v>
      </c>
      <c r="G144" s="238">
        <f t="shared" si="62"/>
        <v>0</v>
      </c>
      <c r="H144" s="238">
        <f t="shared" si="62"/>
        <v>0</v>
      </c>
      <c r="I144" s="238">
        <f t="shared" si="62"/>
        <v>0</v>
      </c>
    </row>
    <row r="145" spans="2:14" hidden="1" outlineLevel="1" x14ac:dyDescent="0.2">
      <c r="B145" s="249">
        <v>5</v>
      </c>
      <c r="C145" s="3" t="s">
        <v>108</v>
      </c>
      <c r="D145" s="238">
        <f t="shared" ref="D145:I145" si="63">INDEX(RPBSScriptsNew,$B136,D137)*(INDEX(DPMQCoPayNewPub,$B136,$B145)/INDEX(CoPayCountNew,$B136))</f>
        <v>0</v>
      </c>
      <c r="E145" s="238">
        <f t="shared" si="63"/>
        <v>0</v>
      </c>
      <c r="F145" s="238">
        <f t="shared" si="63"/>
        <v>0</v>
      </c>
      <c r="G145" s="238">
        <f t="shared" si="63"/>
        <v>0</v>
      </c>
      <c r="H145" s="238">
        <f t="shared" si="63"/>
        <v>0</v>
      </c>
      <c r="I145" s="238">
        <f t="shared" si="63"/>
        <v>0</v>
      </c>
    </row>
    <row r="146" spans="2:14" hidden="1" outlineLevel="1" x14ac:dyDescent="0.2">
      <c r="B146" s="121"/>
      <c r="C146" s="3" t="s">
        <v>86</v>
      </c>
      <c r="D146" s="238">
        <f t="shared" ref="D146:I146" si="64">D144+D145</f>
        <v>0</v>
      </c>
      <c r="E146" s="238">
        <f t="shared" si="64"/>
        <v>0</v>
      </c>
      <c r="F146" s="238">
        <f t="shared" si="64"/>
        <v>0</v>
      </c>
      <c r="G146" s="238">
        <f t="shared" si="64"/>
        <v>0</v>
      </c>
      <c r="H146" s="238">
        <f t="shared" si="64"/>
        <v>0</v>
      </c>
      <c r="I146" s="238">
        <f t="shared" si="64"/>
        <v>0</v>
      </c>
    </row>
    <row r="147" spans="2:14" collapsed="1" x14ac:dyDescent="0.2">
      <c r="B147" s="121"/>
      <c r="C147" s="457"/>
      <c r="D147" s="457"/>
      <c r="E147" s="457"/>
      <c r="F147" s="31"/>
      <c r="G147" s="31"/>
      <c r="H147" s="31"/>
      <c r="I147" s="31"/>
      <c r="J147" s="31"/>
      <c r="K147" s="31"/>
      <c r="L147" s="31"/>
      <c r="M147" s="31"/>
      <c r="N147" s="31"/>
    </row>
    <row r="148" spans="2:14" ht="15" x14ac:dyDescent="0.2">
      <c r="B148" s="249">
        <v>11</v>
      </c>
      <c r="C148" s="129" t="str">
        <f>INDEX(PBSScriptsNew,B148,1)</f>
        <v>** NOT USED **</v>
      </c>
      <c r="D148" s="123"/>
      <c r="E148" s="123"/>
      <c r="F148" s="123"/>
      <c r="G148" s="123"/>
      <c r="H148" s="123"/>
      <c r="I148" s="123"/>
      <c r="J148" s="117"/>
      <c r="K148" s="116"/>
      <c r="L148" s="588" t="str">
        <f>IF(C148&lt;&gt;MsgNotUsed,"Co-payment group " &amp; INDEX(DPMQCoPayNewPub,B148,3),"")</f>
        <v/>
      </c>
      <c r="M148" s="588"/>
      <c r="N148" s="380"/>
    </row>
    <row r="149" spans="2:14" hidden="1" outlineLevel="1" x14ac:dyDescent="0.2">
      <c r="B149" s="209">
        <f>INDEX(SANew,B148,5)</f>
        <v>0</v>
      </c>
      <c r="C149" s="457"/>
      <c r="D149" s="319">
        <v>2</v>
      </c>
      <c r="E149" s="319">
        <v>3</v>
      </c>
      <c r="F149" s="319">
        <v>4</v>
      </c>
      <c r="G149" s="319">
        <v>5</v>
      </c>
      <c r="H149" s="319">
        <v>6</v>
      </c>
      <c r="I149" s="319">
        <v>7</v>
      </c>
      <c r="K149" s="31"/>
      <c r="L149" s="31"/>
      <c r="M149" s="31"/>
      <c r="N149" s="31"/>
    </row>
    <row r="150" spans="2:14" hidden="1" outlineLevel="1" x14ac:dyDescent="0.2">
      <c r="B150" s="130"/>
      <c r="D150" s="74">
        <f>FirstYear</f>
        <v>2026</v>
      </c>
      <c r="E150" s="74">
        <f>D150+1</f>
        <v>2027</v>
      </c>
      <c r="F150" s="74">
        <f>E150+1</f>
        <v>2028</v>
      </c>
      <c r="G150" s="74">
        <f>F150+1</f>
        <v>2029</v>
      </c>
      <c r="H150" s="74">
        <f>G150+1</f>
        <v>2030</v>
      </c>
      <c r="I150" s="74">
        <f>H150+1</f>
        <v>2031</v>
      </c>
    </row>
    <row r="151" spans="2:14" hidden="1" outlineLevel="1" x14ac:dyDescent="0.2">
      <c r="B151" s="249">
        <v>1</v>
      </c>
      <c r="C151" s="76" t="s">
        <v>83</v>
      </c>
      <c r="D151" s="238">
        <f t="shared" ref="D151:I151" si="65">INDEX(PBSScriptsNew,$B148,D149)*INDEX(DPMQCoPayNewPub,$B148,$B151)</f>
        <v>0</v>
      </c>
      <c r="E151" s="238">
        <f t="shared" si="65"/>
        <v>0</v>
      </c>
      <c r="F151" s="238">
        <f t="shared" si="65"/>
        <v>0</v>
      </c>
      <c r="G151" s="238">
        <f t="shared" si="65"/>
        <v>0</v>
      </c>
      <c r="H151" s="238">
        <f t="shared" si="65"/>
        <v>0</v>
      </c>
      <c r="I151" s="238">
        <f t="shared" si="65"/>
        <v>0</v>
      </c>
    </row>
    <row r="152" spans="2:14" hidden="1" outlineLevel="1" x14ac:dyDescent="0.2">
      <c r="B152" s="249">
        <v>4</v>
      </c>
      <c r="C152" s="3" t="s">
        <v>108</v>
      </c>
      <c r="D152" s="238">
        <f t="shared" ref="D152:I152" si="66">INDEX(PBSScriptsNew,$B148,D149)*(INDEX(DPMQCoPayNewPub,$B148,$B152)/INDEX(CoPayCountNew,$B148))</f>
        <v>0</v>
      </c>
      <c r="E152" s="238">
        <f t="shared" si="66"/>
        <v>0</v>
      </c>
      <c r="F152" s="238">
        <f t="shared" si="66"/>
        <v>0</v>
      </c>
      <c r="G152" s="238">
        <f t="shared" si="66"/>
        <v>0</v>
      </c>
      <c r="H152" s="238">
        <f t="shared" si="66"/>
        <v>0</v>
      </c>
      <c r="I152" s="238">
        <f t="shared" si="66"/>
        <v>0</v>
      </c>
      <c r="K152" s="579" t="str">
        <f>IF(B149&lt;&gt;0,MsgNote&amp;IF(B149="Yes",INDEX(CoPayMethod,1),INDEX(CoPayMethod,2)),"")</f>
        <v/>
      </c>
      <c r="L152" s="579"/>
      <c r="M152" s="579"/>
      <c r="N152" s="443"/>
    </row>
    <row r="153" spans="2:14" hidden="1" outlineLevel="1" x14ac:dyDescent="0.2">
      <c r="B153" s="121"/>
      <c r="C153" s="3" t="s">
        <v>85</v>
      </c>
      <c r="D153" s="238">
        <f t="shared" ref="D153:I153" si="67">D151+D152</f>
        <v>0</v>
      </c>
      <c r="E153" s="238">
        <f t="shared" si="67"/>
        <v>0</v>
      </c>
      <c r="F153" s="238">
        <f t="shared" si="67"/>
        <v>0</v>
      </c>
      <c r="G153" s="238">
        <f t="shared" si="67"/>
        <v>0</v>
      </c>
      <c r="H153" s="238">
        <f t="shared" si="67"/>
        <v>0</v>
      </c>
      <c r="I153" s="238">
        <f t="shared" si="67"/>
        <v>0</v>
      </c>
    </row>
    <row r="154" spans="2:14" hidden="1" outlineLevel="1" x14ac:dyDescent="0.2">
      <c r="B154" s="121"/>
    </row>
    <row r="155" spans="2:14" ht="15.75" hidden="1" outlineLevel="1" x14ac:dyDescent="0.2">
      <c r="B155" s="121"/>
      <c r="C155" s="454"/>
      <c r="D155" s="74">
        <f>FirstYear</f>
        <v>2026</v>
      </c>
      <c r="E155" s="74">
        <f>D155+1</f>
        <v>2027</v>
      </c>
      <c r="F155" s="74">
        <f>E155+1</f>
        <v>2028</v>
      </c>
      <c r="G155" s="74">
        <f>F155+1</f>
        <v>2029</v>
      </c>
      <c r="H155" s="74">
        <f>G155+1</f>
        <v>2030</v>
      </c>
      <c r="I155" s="74">
        <f>H155+1</f>
        <v>2031</v>
      </c>
    </row>
    <row r="156" spans="2:14" hidden="1" outlineLevel="1" x14ac:dyDescent="0.2">
      <c r="B156" s="249">
        <v>1</v>
      </c>
      <c r="C156" s="76" t="s">
        <v>84</v>
      </c>
      <c r="D156" s="238">
        <f t="shared" ref="D156:I156" si="68">INDEX(RPBSScriptsNew,$B148,D149)*INDEX(DPMQCoPayNewPub,$B148,$B156)</f>
        <v>0</v>
      </c>
      <c r="E156" s="238">
        <f t="shared" si="68"/>
        <v>0</v>
      </c>
      <c r="F156" s="238">
        <f t="shared" si="68"/>
        <v>0</v>
      </c>
      <c r="G156" s="238">
        <f t="shared" si="68"/>
        <v>0</v>
      </c>
      <c r="H156" s="238">
        <f t="shared" si="68"/>
        <v>0</v>
      </c>
      <c r="I156" s="238">
        <f t="shared" si="68"/>
        <v>0</v>
      </c>
    </row>
    <row r="157" spans="2:14" hidden="1" outlineLevel="1" x14ac:dyDescent="0.2">
      <c r="B157" s="249">
        <v>5</v>
      </c>
      <c r="C157" s="3" t="s">
        <v>108</v>
      </c>
      <c r="D157" s="238">
        <f t="shared" ref="D157:I157" si="69">INDEX(RPBSScriptsNew,$B148,D149)*(INDEX(DPMQCoPayNewPub,$B148,$B157)/INDEX(CoPayCountNew,$B148))</f>
        <v>0</v>
      </c>
      <c r="E157" s="238">
        <f t="shared" si="69"/>
        <v>0</v>
      </c>
      <c r="F157" s="238">
        <f t="shared" si="69"/>
        <v>0</v>
      </c>
      <c r="G157" s="238">
        <f t="shared" si="69"/>
        <v>0</v>
      </c>
      <c r="H157" s="238">
        <f t="shared" si="69"/>
        <v>0</v>
      </c>
      <c r="I157" s="238">
        <f t="shared" si="69"/>
        <v>0</v>
      </c>
    </row>
    <row r="158" spans="2:14" hidden="1" outlineLevel="1" x14ac:dyDescent="0.2">
      <c r="B158" s="121"/>
      <c r="C158" s="3" t="s">
        <v>86</v>
      </c>
      <c r="D158" s="238">
        <f t="shared" ref="D158:I158" si="70">D156+D157</f>
        <v>0</v>
      </c>
      <c r="E158" s="238">
        <f t="shared" si="70"/>
        <v>0</v>
      </c>
      <c r="F158" s="238">
        <f t="shared" si="70"/>
        <v>0</v>
      </c>
      <c r="G158" s="238">
        <f t="shared" si="70"/>
        <v>0</v>
      </c>
      <c r="H158" s="238">
        <f t="shared" si="70"/>
        <v>0</v>
      </c>
      <c r="I158" s="238">
        <f t="shared" si="70"/>
        <v>0</v>
      </c>
    </row>
    <row r="159" spans="2:14" collapsed="1" x14ac:dyDescent="0.2">
      <c r="B159" s="121"/>
      <c r="C159" s="457"/>
      <c r="D159" s="457"/>
      <c r="E159" s="457"/>
      <c r="F159" s="31"/>
      <c r="G159" s="31"/>
      <c r="H159" s="31"/>
      <c r="I159" s="31"/>
      <c r="J159" s="31"/>
      <c r="K159" s="31"/>
      <c r="L159" s="31"/>
      <c r="M159" s="31"/>
      <c r="N159" s="31"/>
    </row>
    <row r="160" spans="2:14" ht="15" x14ac:dyDescent="0.2">
      <c r="B160" s="249">
        <v>12</v>
      </c>
      <c r="C160" s="129" t="str">
        <f>INDEX(PBSScriptsNew,B160,1)</f>
        <v>** NOT USED **</v>
      </c>
      <c r="D160" s="123"/>
      <c r="E160" s="123"/>
      <c r="F160" s="123"/>
      <c r="G160" s="123"/>
      <c r="H160" s="123"/>
      <c r="I160" s="123"/>
      <c r="J160" s="117"/>
      <c r="K160" s="116"/>
      <c r="L160" s="588" t="str">
        <f>IF(C160&lt;&gt;MsgNotUsed,"Co-payment group " &amp; INDEX(DPMQCoPayNewPub,B160,3),"")</f>
        <v/>
      </c>
      <c r="M160" s="588"/>
      <c r="N160" s="380"/>
    </row>
    <row r="161" spans="2:14" hidden="1" outlineLevel="1" x14ac:dyDescent="0.2">
      <c r="B161" s="209">
        <f>INDEX(SANew,B160,5)</f>
        <v>0</v>
      </c>
      <c r="C161" s="457"/>
      <c r="D161" s="319">
        <v>2</v>
      </c>
      <c r="E161" s="319">
        <v>3</v>
      </c>
      <c r="F161" s="319">
        <v>4</v>
      </c>
      <c r="G161" s="319">
        <v>5</v>
      </c>
      <c r="H161" s="319">
        <v>6</v>
      </c>
      <c r="I161" s="319">
        <v>7</v>
      </c>
      <c r="K161" s="31"/>
      <c r="L161" s="31"/>
      <c r="M161" s="31"/>
      <c r="N161" s="31"/>
    </row>
    <row r="162" spans="2:14" hidden="1" outlineLevel="1" x14ac:dyDescent="0.2">
      <c r="B162" s="130"/>
      <c r="D162" s="74">
        <f>FirstYear</f>
        <v>2026</v>
      </c>
      <c r="E162" s="74">
        <f>D162+1</f>
        <v>2027</v>
      </c>
      <c r="F162" s="74">
        <f>E162+1</f>
        <v>2028</v>
      </c>
      <c r="G162" s="74">
        <f>F162+1</f>
        <v>2029</v>
      </c>
      <c r="H162" s="74">
        <f>G162+1</f>
        <v>2030</v>
      </c>
      <c r="I162" s="74">
        <f>H162+1</f>
        <v>2031</v>
      </c>
    </row>
    <row r="163" spans="2:14" hidden="1" outlineLevel="1" x14ac:dyDescent="0.2">
      <c r="B163" s="249">
        <v>1</v>
      </c>
      <c r="C163" s="76" t="s">
        <v>83</v>
      </c>
      <c r="D163" s="238">
        <f t="shared" ref="D163:I163" si="71">INDEX(PBSScriptsNew,$B160,D161)*INDEX(DPMQCoPayNewPub,$B160,$B163)</f>
        <v>0</v>
      </c>
      <c r="E163" s="238">
        <f t="shared" si="71"/>
        <v>0</v>
      </c>
      <c r="F163" s="238">
        <f t="shared" si="71"/>
        <v>0</v>
      </c>
      <c r="G163" s="238">
        <f t="shared" si="71"/>
        <v>0</v>
      </c>
      <c r="H163" s="238">
        <f t="shared" si="71"/>
        <v>0</v>
      </c>
      <c r="I163" s="238">
        <f t="shared" si="71"/>
        <v>0</v>
      </c>
    </row>
    <row r="164" spans="2:14" hidden="1" outlineLevel="1" x14ac:dyDescent="0.2">
      <c r="B164" s="249">
        <v>4</v>
      </c>
      <c r="C164" s="3" t="s">
        <v>108</v>
      </c>
      <c r="D164" s="238">
        <f t="shared" ref="D164:I164" si="72">INDEX(PBSScriptsNew,$B160,D161)*(INDEX(DPMQCoPayNewPub,$B160,$B164)/INDEX(CoPayCountNew,$B160))</f>
        <v>0</v>
      </c>
      <c r="E164" s="238">
        <f t="shared" si="72"/>
        <v>0</v>
      </c>
      <c r="F164" s="238">
        <f t="shared" si="72"/>
        <v>0</v>
      </c>
      <c r="G164" s="238">
        <f t="shared" si="72"/>
        <v>0</v>
      </c>
      <c r="H164" s="238">
        <f t="shared" si="72"/>
        <v>0</v>
      </c>
      <c r="I164" s="238">
        <f t="shared" si="72"/>
        <v>0</v>
      </c>
      <c r="K164" s="579" t="str">
        <f>IF(B161&lt;&gt;0,MsgNote&amp;IF(B161="Yes",INDEX(CoPayMethod,1),INDEX(CoPayMethod,2)),"")</f>
        <v/>
      </c>
      <c r="L164" s="579"/>
      <c r="M164" s="579"/>
      <c r="N164" s="443"/>
    </row>
    <row r="165" spans="2:14" hidden="1" outlineLevel="1" x14ac:dyDescent="0.2">
      <c r="B165" s="121"/>
      <c r="C165" s="3" t="s">
        <v>85</v>
      </c>
      <c r="D165" s="238">
        <f t="shared" ref="D165:I165" si="73">D163+D164</f>
        <v>0</v>
      </c>
      <c r="E165" s="238">
        <f t="shared" si="73"/>
        <v>0</v>
      </c>
      <c r="F165" s="238">
        <f t="shared" si="73"/>
        <v>0</v>
      </c>
      <c r="G165" s="238">
        <f t="shared" si="73"/>
        <v>0</v>
      </c>
      <c r="H165" s="238">
        <f t="shared" si="73"/>
        <v>0</v>
      </c>
      <c r="I165" s="238">
        <f t="shared" si="73"/>
        <v>0</v>
      </c>
    </row>
    <row r="166" spans="2:14" hidden="1" outlineLevel="1" x14ac:dyDescent="0.2">
      <c r="B166" s="121"/>
    </row>
    <row r="167" spans="2:14" ht="15.75" hidden="1" outlineLevel="1" x14ac:dyDescent="0.2">
      <c r="B167" s="121"/>
      <c r="C167" s="454"/>
      <c r="D167" s="74">
        <f>FirstYear</f>
        <v>2026</v>
      </c>
      <c r="E167" s="74">
        <f>D167+1</f>
        <v>2027</v>
      </c>
      <c r="F167" s="74">
        <f>E167+1</f>
        <v>2028</v>
      </c>
      <c r="G167" s="74">
        <f>F167+1</f>
        <v>2029</v>
      </c>
      <c r="H167" s="74">
        <f>G167+1</f>
        <v>2030</v>
      </c>
      <c r="I167" s="74">
        <f>H167+1</f>
        <v>2031</v>
      </c>
    </row>
    <row r="168" spans="2:14" hidden="1" outlineLevel="1" x14ac:dyDescent="0.2">
      <c r="B168" s="249">
        <v>1</v>
      </c>
      <c r="C168" s="76" t="s">
        <v>84</v>
      </c>
      <c r="D168" s="238">
        <f t="shared" ref="D168:I168" si="74">INDEX(RPBSScriptsNew,$B160,D161)*INDEX(DPMQCoPayNewPub,$B160,$B168)</f>
        <v>0</v>
      </c>
      <c r="E168" s="238">
        <f t="shared" si="74"/>
        <v>0</v>
      </c>
      <c r="F168" s="238">
        <f t="shared" si="74"/>
        <v>0</v>
      </c>
      <c r="G168" s="238">
        <f t="shared" si="74"/>
        <v>0</v>
      </c>
      <c r="H168" s="238">
        <f t="shared" si="74"/>
        <v>0</v>
      </c>
      <c r="I168" s="238">
        <f t="shared" si="74"/>
        <v>0</v>
      </c>
    </row>
    <row r="169" spans="2:14" hidden="1" outlineLevel="1" x14ac:dyDescent="0.2">
      <c r="B169" s="249">
        <v>5</v>
      </c>
      <c r="C169" s="3" t="s">
        <v>108</v>
      </c>
      <c r="D169" s="238">
        <f t="shared" ref="D169:I169" si="75">INDEX(RPBSScriptsNew,$B160,D161)*(INDEX(DPMQCoPayNewPub,$B160,$B169)/INDEX(CoPayCountNew,$B160))</f>
        <v>0</v>
      </c>
      <c r="E169" s="238">
        <f t="shared" si="75"/>
        <v>0</v>
      </c>
      <c r="F169" s="238">
        <f t="shared" si="75"/>
        <v>0</v>
      </c>
      <c r="G169" s="238">
        <f t="shared" si="75"/>
        <v>0</v>
      </c>
      <c r="H169" s="238">
        <f t="shared" si="75"/>
        <v>0</v>
      </c>
      <c r="I169" s="238">
        <f t="shared" si="75"/>
        <v>0</v>
      </c>
    </row>
    <row r="170" spans="2:14" hidden="1" outlineLevel="1" x14ac:dyDescent="0.2">
      <c r="B170" s="121"/>
      <c r="C170" s="3" t="s">
        <v>86</v>
      </c>
      <c r="D170" s="238">
        <f t="shared" ref="D170:I170" si="76">D168+D169</f>
        <v>0</v>
      </c>
      <c r="E170" s="238">
        <f t="shared" si="76"/>
        <v>0</v>
      </c>
      <c r="F170" s="238">
        <f t="shared" si="76"/>
        <v>0</v>
      </c>
      <c r="G170" s="238">
        <f t="shared" si="76"/>
        <v>0</v>
      </c>
      <c r="H170" s="238">
        <f t="shared" si="76"/>
        <v>0</v>
      </c>
      <c r="I170" s="238">
        <f t="shared" si="76"/>
        <v>0</v>
      </c>
    </row>
    <row r="171" spans="2:14" collapsed="1" x14ac:dyDescent="0.2">
      <c r="B171" s="121"/>
      <c r="C171" s="457"/>
      <c r="D171" s="457"/>
      <c r="E171" s="457"/>
      <c r="F171" s="31"/>
      <c r="G171" s="31"/>
      <c r="H171" s="31"/>
      <c r="I171" s="31"/>
      <c r="J171" s="31"/>
      <c r="K171" s="31"/>
      <c r="L171" s="31"/>
      <c r="M171" s="31"/>
      <c r="N171" s="31"/>
    </row>
    <row r="172" spans="2:14" ht="15" x14ac:dyDescent="0.2">
      <c r="B172" s="249">
        <v>13</v>
      </c>
      <c r="C172" s="129" t="str">
        <f>INDEX(PBSScriptsNew,B172,1)</f>
        <v>** NOT USED **</v>
      </c>
      <c r="D172" s="123"/>
      <c r="E172" s="123"/>
      <c r="F172" s="123"/>
      <c r="G172" s="123"/>
      <c r="H172" s="123"/>
      <c r="I172" s="123"/>
      <c r="J172" s="117"/>
      <c r="K172" s="116"/>
      <c r="L172" s="588" t="str">
        <f>IF(C172&lt;&gt;MsgNotUsed,"Co-payment group " &amp; INDEX(DPMQCoPayNewPub,B172,3),"")</f>
        <v/>
      </c>
      <c r="M172" s="588"/>
      <c r="N172" s="380"/>
    </row>
    <row r="173" spans="2:14" hidden="1" outlineLevel="1" x14ac:dyDescent="0.2">
      <c r="B173" s="209">
        <f>INDEX(SANew,B172,5)</f>
        <v>0</v>
      </c>
      <c r="C173" s="457"/>
      <c r="D173" s="319">
        <v>2</v>
      </c>
      <c r="E173" s="319">
        <v>3</v>
      </c>
      <c r="F173" s="319">
        <v>4</v>
      </c>
      <c r="G173" s="319">
        <v>5</v>
      </c>
      <c r="H173" s="319">
        <v>6</v>
      </c>
      <c r="I173" s="319">
        <v>7</v>
      </c>
      <c r="K173" s="31"/>
      <c r="L173" s="31"/>
      <c r="M173" s="31"/>
      <c r="N173" s="31"/>
    </row>
    <row r="174" spans="2:14" hidden="1" outlineLevel="1" x14ac:dyDescent="0.2">
      <c r="B174" s="130"/>
      <c r="D174" s="74">
        <f>FirstYear</f>
        <v>2026</v>
      </c>
      <c r="E174" s="74">
        <f>D174+1</f>
        <v>2027</v>
      </c>
      <c r="F174" s="74">
        <f>E174+1</f>
        <v>2028</v>
      </c>
      <c r="G174" s="74">
        <f>F174+1</f>
        <v>2029</v>
      </c>
      <c r="H174" s="74">
        <f>G174+1</f>
        <v>2030</v>
      </c>
      <c r="I174" s="74">
        <f>H174+1</f>
        <v>2031</v>
      </c>
    </row>
    <row r="175" spans="2:14" hidden="1" outlineLevel="1" x14ac:dyDescent="0.2">
      <c r="B175" s="249">
        <v>1</v>
      </c>
      <c r="C175" s="76" t="s">
        <v>83</v>
      </c>
      <c r="D175" s="238">
        <f t="shared" ref="D175:I175" si="77">INDEX(PBSScriptsNew,$B172,D173)*INDEX(DPMQCoPayNewPub,$B172,$B175)</f>
        <v>0</v>
      </c>
      <c r="E175" s="238">
        <f t="shared" si="77"/>
        <v>0</v>
      </c>
      <c r="F175" s="238">
        <f t="shared" si="77"/>
        <v>0</v>
      </c>
      <c r="G175" s="238">
        <f t="shared" si="77"/>
        <v>0</v>
      </c>
      <c r="H175" s="238">
        <f t="shared" si="77"/>
        <v>0</v>
      </c>
      <c r="I175" s="238">
        <f t="shared" si="77"/>
        <v>0</v>
      </c>
    </row>
    <row r="176" spans="2:14" hidden="1" outlineLevel="1" x14ac:dyDescent="0.2">
      <c r="B176" s="249">
        <v>4</v>
      </c>
      <c r="C176" s="3" t="s">
        <v>108</v>
      </c>
      <c r="D176" s="238">
        <f t="shared" ref="D176:I176" si="78">INDEX(PBSScriptsNew,$B172,D173)*(INDEX(DPMQCoPayNewPub,$B172,$B176)/INDEX(CoPayCountNew,$B172))</f>
        <v>0</v>
      </c>
      <c r="E176" s="238">
        <f t="shared" si="78"/>
        <v>0</v>
      </c>
      <c r="F176" s="238">
        <f t="shared" si="78"/>
        <v>0</v>
      </c>
      <c r="G176" s="238">
        <f t="shared" si="78"/>
        <v>0</v>
      </c>
      <c r="H176" s="238">
        <f t="shared" si="78"/>
        <v>0</v>
      </c>
      <c r="I176" s="238">
        <f t="shared" si="78"/>
        <v>0</v>
      </c>
      <c r="K176" s="579" t="str">
        <f>IF(B173&lt;&gt;0,MsgNote&amp;IF(B173="Yes",INDEX(CoPayMethod,1),INDEX(CoPayMethod,2)),"")</f>
        <v/>
      </c>
      <c r="L176" s="579"/>
      <c r="M176" s="579"/>
      <c r="N176" s="443"/>
    </row>
    <row r="177" spans="2:14" hidden="1" outlineLevel="1" x14ac:dyDescent="0.2">
      <c r="B177" s="121"/>
      <c r="C177" s="3" t="s">
        <v>85</v>
      </c>
      <c r="D177" s="238">
        <f t="shared" ref="D177:I177" si="79">D175+D176</f>
        <v>0</v>
      </c>
      <c r="E177" s="238">
        <f t="shared" si="79"/>
        <v>0</v>
      </c>
      <c r="F177" s="238">
        <f t="shared" si="79"/>
        <v>0</v>
      </c>
      <c r="G177" s="238">
        <f t="shared" si="79"/>
        <v>0</v>
      </c>
      <c r="H177" s="238">
        <f t="shared" si="79"/>
        <v>0</v>
      </c>
      <c r="I177" s="238">
        <f t="shared" si="79"/>
        <v>0</v>
      </c>
    </row>
    <row r="178" spans="2:14" hidden="1" outlineLevel="1" x14ac:dyDescent="0.2">
      <c r="B178" s="121"/>
    </row>
    <row r="179" spans="2:14" ht="15.75" hidden="1" outlineLevel="1" x14ac:dyDescent="0.2">
      <c r="B179" s="121"/>
      <c r="C179" s="454"/>
      <c r="D179" s="74">
        <f>FirstYear</f>
        <v>2026</v>
      </c>
      <c r="E179" s="74">
        <f>D179+1</f>
        <v>2027</v>
      </c>
      <c r="F179" s="74">
        <f>E179+1</f>
        <v>2028</v>
      </c>
      <c r="G179" s="74">
        <f>F179+1</f>
        <v>2029</v>
      </c>
      <c r="H179" s="74">
        <f>G179+1</f>
        <v>2030</v>
      </c>
      <c r="I179" s="74">
        <f>H179+1</f>
        <v>2031</v>
      </c>
    </row>
    <row r="180" spans="2:14" hidden="1" outlineLevel="1" x14ac:dyDescent="0.2">
      <c r="B180" s="249">
        <v>1</v>
      </c>
      <c r="C180" s="76" t="s">
        <v>84</v>
      </c>
      <c r="D180" s="238">
        <f t="shared" ref="D180:I180" si="80">INDEX(RPBSScriptsNew,$B172,D173)*INDEX(DPMQCoPayNewPub,$B172,$B180)</f>
        <v>0</v>
      </c>
      <c r="E180" s="238">
        <f t="shared" si="80"/>
        <v>0</v>
      </c>
      <c r="F180" s="238">
        <f t="shared" si="80"/>
        <v>0</v>
      </c>
      <c r="G180" s="238">
        <f t="shared" si="80"/>
        <v>0</v>
      </c>
      <c r="H180" s="238">
        <f t="shared" si="80"/>
        <v>0</v>
      </c>
      <c r="I180" s="238">
        <f t="shared" si="80"/>
        <v>0</v>
      </c>
    </row>
    <row r="181" spans="2:14" hidden="1" outlineLevel="1" x14ac:dyDescent="0.2">
      <c r="B181" s="249">
        <v>5</v>
      </c>
      <c r="C181" s="3" t="s">
        <v>108</v>
      </c>
      <c r="D181" s="238">
        <f t="shared" ref="D181:I181" si="81">INDEX(RPBSScriptsNew,$B172,D173)*(INDEX(DPMQCoPayNewPub,$B172,$B181)/INDEX(CoPayCountNew,$B172))</f>
        <v>0</v>
      </c>
      <c r="E181" s="238">
        <f t="shared" si="81"/>
        <v>0</v>
      </c>
      <c r="F181" s="238">
        <f t="shared" si="81"/>
        <v>0</v>
      </c>
      <c r="G181" s="238">
        <f t="shared" si="81"/>
        <v>0</v>
      </c>
      <c r="H181" s="238">
        <f t="shared" si="81"/>
        <v>0</v>
      </c>
      <c r="I181" s="238">
        <f t="shared" si="81"/>
        <v>0</v>
      </c>
    </row>
    <row r="182" spans="2:14" hidden="1" outlineLevel="1" x14ac:dyDescent="0.2">
      <c r="B182" s="121"/>
      <c r="C182" s="3" t="s">
        <v>86</v>
      </c>
      <c r="D182" s="238">
        <f t="shared" ref="D182:I182" si="82">D180+D181</f>
        <v>0</v>
      </c>
      <c r="E182" s="238">
        <f t="shared" si="82"/>
        <v>0</v>
      </c>
      <c r="F182" s="238">
        <f t="shared" si="82"/>
        <v>0</v>
      </c>
      <c r="G182" s="238">
        <f t="shared" si="82"/>
        <v>0</v>
      </c>
      <c r="H182" s="238">
        <f t="shared" si="82"/>
        <v>0</v>
      </c>
      <c r="I182" s="238">
        <f t="shared" si="82"/>
        <v>0</v>
      </c>
    </row>
    <row r="183" spans="2:14" collapsed="1" x14ac:dyDescent="0.2">
      <c r="B183" s="121"/>
      <c r="C183" s="457"/>
      <c r="D183" s="457"/>
      <c r="E183" s="457"/>
      <c r="F183" s="31"/>
      <c r="G183" s="31"/>
      <c r="H183" s="31"/>
      <c r="I183" s="31"/>
      <c r="J183" s="31"/>
      <c r="K183" s="31"/>
      <c r="L183" s="31"/>
      <c r="M183" s="31"/>
      <c r="N183" s="31"/>
    </row>
    <row r="184" spans="2:14" ht="15" x14ac:dyDescent="0.2">
      <c r="B184" s="249">
        <v>14</v>
      </c>
      <c r="C184" s="129" t="str">
        <f>INDEX(PBSScriptsNew,B184,1)</f>
        <v>** NOT USED **</v>
      </c>
      <c r="D184" s="123"/>
      <c r="E184" s="123"/>
      <c r="F184" s="123"/>
      <c r="G184" s="123"/>
      <c r="H184" s="123"/>
      <c r="I184" s="123"/>
      <c r="J184" s="117"/>
      <c r="K184" s="116"/>
      <c r="L184" s="588" t="str">
        <f>IF(C184&lt;&gt;MsgNotUsed,"Co-payment group " &amp; INDEX(DPMQCoPayNewPub,B184,3),"")</f>
        <v/>
      </c>
      <c r="M184" s="588"/>
      <c r="N184" s="380"/>
    </row>
    <row r="185" spans="2:14" hidden="1" outlineLevel="1" x14ac:dyDescent="0.2">
      <c r="B185" s="209">
        <f>INDEX(SANew,B184,5)</f>
        <v>0</v>
      </c>
      <c r="C185" s="457"/>
      <c r="D185" s="319">
        <v>2</v>
      </c>
      <c r="E185" s="319">
        <v>3</v>
      </c>
      <c r="F185" s="319">
        <v>4</v>
      </c>
      <c r="G185" s="319">
        <v>5</v>
      </c>
      <c r="H185" s="319">
        <v>6</v>
      </c>
      <c r="I185" s="319">
        <v>7</v>
      </c>
      <c r="K185" s="31"/>
      <c r="L185" s="31"/>
      <c r="M185" s="31"/>
      <c r="N185" s="31"/>
    </row>
    <row r="186" spans="2:14" hidden="1" outlineLevel="1" x14ac:dyDescent="0.2">
      <c r="B186" s="130"/>
      <c r="D186" s="74">
        <f>FirstYear</f>
        <v>2026</v>
      </c>
      <c r="E186" s="74">
        <f>D186+1</f>
        <v>2027</v>
      </c>
      <c r="F186" s="74">
        <f>E186+1</f>
        <v>2028</v>
      </c>
      <c r="G186" s="74">
        <f>F186+1</f>
        <v>2029</v>
      </c>
      <c r="H186" s="74">
        <f>G186+1</f>
        <v>2030</v>
      </c>
      <c r="I186" s="74">
        <f>H186+1</f>
        <v>2031</v>
      </c>
    </row>
    <row r="187" spans="2:14" hidden="1" outlineLevel="1" x14ac:dyDescent="0.2">
      <c r="B187" s="249">
        <v>1</v>
      </c>
      <c r="C187" s="76" t="s">
        <v>83</v>
      </c>
      <c r="D187" s="238">
        <f t="shared" ref="D187:I187" si="83">INDEX(PBSScriptsNew,$B184,D185)*INDEX(DPMQCoPayNewPub,$B184,$B187)</f>
        <v>0</v>
      </c>
      <c r="E187" s="238">
        <f t="shared" si="83"/>
        <v>0</v>
      </c>
      <c r="F187" s="238">
        <f t="shared" si="83"/>
        <v>0</v>
      </c>
      <c r="G187" s="238">
        <f t="shared" si="83"/>
        <v>0</v>
      </c>
      <c r="H187" s="238">
        <f t="shared" si="83"/>
        <v>0</v>
      </c>
      <c r="I187" s="238">
        <f t="shared" si="83"/>
        <v>0</v>
      </c>
    </row>
    <row r="188" spans="2:14" hidden="1" outlineLevel="1" x14ac:dyDescent="0.2">
      <c r="B188" s="249">
        <v>4</v>
      </c>
      <c r="C188" s="3" t="s">
        <v>108</v>
      </c>
      <c r="D188" s="238">
        <f t="shared" ref="D188:I188" si="84">INDEX(PBSScriptsNew,$B184,D185)*(INDEX(DPMQCoPayNewPub,$B184,$B188)/INDEX(CoPayCountNew,$B184))</f>
        <v>0</v>
      </c>
      <c r="E188" s="238">
        <f t="shared" si="84"/>
        <v>0</v>
      </c>
      <c r="F188" s="238">
        <f t="shared" si="84"/>
        <v>0</v>
      </c>
      <c r="G188" s="238">
        <f t="shared" si="84"/>
        <v>0</v>
      </c>
      <c r="H188" s="238">
        <f t="shared" si="84"/>
        <v>0</v>
      </c>
      <c r="I188" s="238">
        <f t="shared" si="84"/>
        <v>0</v>
      </c>
      <c r="K188" s="579" t="str">
        <f>IF(B185&lt;&gt;0,MsgNote&amp;IF(B185="Yes",INDEX(CoPayMethod,1),INDEX(CoPayMethod,2)),"")</f>
        <v/>
      </c>
      <c r="L188" s="579"/>
      <c r="M188" s="579"/>
      <c r="N188" s="443"/>
    </row>
    <row r="189" spans="2:14" hidden="1" outlineLevel="1" x14ac:dyDescent="0.2">
      <c r="B189" s="121"/>
      <c r="C189" s="3" t="s">
        <v>85</v>
      </c>
      <c r="D189" s="238">
        <f t="shared" ref="D189:I189" si="85">D187+D188</f>
        <v>0</v>
      </c>
      <c r="E189" s="238">
        <f t="shared" si="85"/>
        <v>0</v>
      </c>
      <c r="F189" s="238">
        <f t="shared" si="85"/>
        <v>0</v>
      </c>
      <c r="G189" s="238">
        <f t="shared" si="85"/>
        <v>0</v>
      </c>
      <c r="H189" s="238">
        <f t="shared" si="85"/>
        <v>0</v>
      </c>
      <c r="I189" s="238">
        <f t="shared" si="85"/>
        <v>0</v>
      </c>
    </row>
    <row r="190" spans="2:14" hidden="1" outlineLevel="1" x14ac:dyDescent="0.2">
      <c r="B190" s="121"/>
    </row>
    <row r="191" spans="2:14" ht="15.75" hidden="1" outlineLevel="1" x14ac:dyDescent="0.2">
      <c r="B191" s="121"/>
      <c r="C191" s="454"/>
      <c r="D191" s="74">
        <f>FirstYear</f>
        <v>2026</v>
      </c>
      <c r="E191" s="74">
        <f>D191+1</f>
        <v>2027</v>
      </c>
      <c r="F191" s="74">
        <f>E191+1</f>
        <v>2028</v>
      </c>
      <c r="G191" s="74">
        <f>F191+1</f>
        <v>2029</v>
      </c>
      <c r="H191" s="74">
        <f>G191+1</f>
        <v>2030</v>
      </c>
      <c r="I191" s="74">
        <f>H191+1</f>
        <v>2031</v>
      </c>
    </row>
    <row r="192" spans="2:14" hidden="1" outlineLevel="1" x14ac:dyDescent="0.2">
      <c r="B192" s="249">
        <v>1</v>
      </c>
      <c r="C192" s="76" t="s">
        <v>84</v>
      </c>
      <c r="D192" s="238">
        <f t="shared" ref="D192:I192" si="86">INDEX(RPBSScriptsNew,$B184,D185)*INDEX(DPMQCoPayNewPub,$B184,$B192)</f>
        <v>0</v>
      </c>
      <c r="E192" s="238">
        <f t="shared" si="86"/>
        <v>0</v>
      </c>
      <c r="F192" s="238">
        <f t="shared" si="86"/>
        <v>0</v>
      </c>
      <c r="G192" s="238">
        <f t="shared" si="86"/>
        <v>0</v>
      </c>
      <c r="H192" s="238">
        <f t="shared" si="86"/>
        <v>0</v>
      </c>
      <c r="I192" s="238">
        <f t="shared" si="86"/>
        <v>0</v>
      </c>
    </row>
    <row r="193" spans="2:14" hidden="1" outlineLevel="1" x14ac:dyDescent="0.2">
      <c r="B193" s="249">
        <v>5</v>
      </c>
      <c r="C193" s="3" t="s">
        <v>108</v>
      </c>
      <c r="D193" s="238">
        <f t="shared" ref="D193:I193" si="87">INDEX(RPBSScriptsNew,$B184,D185)*(INDEX(DPMQCoPayNewPub,$B184,$B193)/INDEX(CoPayCountNew,$B184))</f>
        <v>0</v>
      </c>
      <c r="E193" s="238">
        <f t="shared" si="87"/>
        <v>0</v>
      </c>
      <c r="F193" s="238">
        <f t="shared" si="87"/>
        <v>0</v>
      </c>
      <c r="G193" s="238">
        <f t="shared" si="87"/>
        <v>0</v>
      </c>
      <c r="H193" s="238">
        <f t="shared" si="87"/>
        <v>0</v>
      </c>
      <c r="I193" s="238">
        <f t="shared" si="87"/>
        <v>0</v>
      </c>
    </row>
    <row r="194" spans="2:14" hidden="1" outlineLevel="1" x14ac:dyDescent="0.2">
      <c r="B194" s="121"/>
      <c r="C194" s="3" t="s">
        <v>86</v>
      </c>
      <c r="D194" s="238">
        <f t="shared" ref="D194:I194" si="88">D192+D193</f>
        <v>0</v>
      </c>
      <c r="E194" s="238">
        <f t="shared" si="88"/>
        <v>0</v>
      </c>
      <c r="F194" s="238">
        <f t="shared" si="88"/>
        <v>0</v>
      </c>
      <c r="G194" s="238">
        <f t="shared" si="88"/>
        <v>0</v>
      </c>
      <c r="H194" s="238">
        <f t="shared" si="88"/>
        <v>0</v>
      </c>
      <c r="I194" s="238">
        <f t="shared" si="88"/>
        <v>0</v>
      </c>
    </row>
    <row r="195" spans="2:14" collapsed="1" x14ac:dyDescent="0.2">
      <c r="B195" s="121"/>
      <c r="C195" s="457"/>
      <c r="D195" s="457"/>
      <c r="E195" s="457"/>
      <c r="F195" s="31"/>
      <c r="G195" s="31"/>
      <c r="H195" s="31"/>
      <c r="I195" s="31"/>
      <c r="J195" s="31"/>
      <c r="K195" s="31"/>
      <c r="L195" s="31"/>
      <c r="M195" s="31"/>
      <c r="N195" s="31"/>
    </row>
    <row r="196" spans="2:14" ht="15" x14ac:dyDescent="0.2">
      <c r="B196" s="249">
        <v>15</v>
      </c>
      <c r="C196" s="129" t="str">
        <f>INDEX(PBSScriptsNew,B196,1)</f>
        <v>** NOT USED **</v>
      </c>
      <c r="D196" s="123"/>
      <c r="E196" s="123"/>
      <c r="F196" s="123"/>
      <c r="G196" s="123"/>
      <c r="H196" s="123"/>
      <c r="I196" s="123"/>
      <c r="J196" s="117"/>
      <c r="K196" s="116"/>
      <c r="L196" s="588" t="str">
        <f>IF(C196&lt;&gt;MsgNotUsed,"Co-payment group " &amp; INDEX(DPMQCoPayNewPub,B196,3),"")</f>
        <v/>
      </c>
      <c r="M196" s="588"/>
      <c r="N196" s="380"/>
    </row>
    <row r="197" spans="2:14" hidden="1" outlineLevel="1" x14ac:dyDescent="0.2">
      <c r="B197" s="209">
        <f>INDEX(SANew,B196,5)</f>
        <v>0</v>
      </c>
      <c r="C197" s="457"/>
      <c r="D197" s="319">
        <v>2</v>
      </c>
      <c r="E197" s="319">
        <v>3</v>
      </c>
      <c r="F197" s="319">
        <v>4</v>
      </c>
      <c r="G197" s="319">
        <v>5</v>
      </c>
      <c r="H197" s="319">
        <v>6</v>
      </c>
      <c r="I197" s="319">
        <v>7</v>
      </c>
      <c r="K197" s="31"/>
      <c r="L197" s="31"/>
      <c r="M197" s="31"/>
      <c r="N197" s="31"/>
    </row>
    <row r="198" spans="2:14" hidden="1" outlineLevel="1" x14ac:dyDescent="0.2">
      <c r="B198" s="130"/>
      <c r="D198" s="74">
        <f>FirstYear</f>
        <v>2026</v>
      </c>
      <c r="E198" s="74">
        <f>D198+1</f>
        <v>2027</v>
      </c>
      <c r="F198" s="74">
        <f>E198+1</f>
        <v>2028</v>
      </c>
      <c r="G198" s="74">
        <f>F198+1</f>
        <v>2029</v>
      </c>
      <c r="H198" s="74">
        <f>G198+1</f>
        <v>2030</v>
      </c>
      <c r="I198" s="74">
        <f>H198+1</f>
        <v>2031</v>
      </c>
    </row>
    <row r="199" spans="2:14" hidden="1" outlineLevel="1" x14ac:dyDescent="0.2">
      <c r="B199" s="249">
        <v>1</v>
      </c>
      <c r="C199" s="76" t="s">
        <v>83</v>
      </c>
      <c r="D199" s="238">
        <f t="shared" ref="D199:I199" si="89">INDEX(PBSScriptsNew,$B196,D197)*INDEX(DPMQCoPayNewPub,$B196,$B199)</f>
        <v>0</v>
      </c>
      <c r="E199" s="238">
        <f t="shared" si="89"/>
        <v>0</v>
      </c>
      <c r="F199" s="238">
        <f t="shared" si="89"/>
        <v>0</v>
      </c>
      <c r="G199" s="238">
        <f t="shared" si="89"/>
        <v>0</v>
      </c>
      <c r="H199" s="238">
        <f t="shared" si="89"/>
        <v>0</v>
      </c>
      <c r="I199" s="238">
        <f t="shared" si="89"/>
        <v>0</v>
      </c>
    </row>
    <row r="200" spans="2:14" hidden="1" outlineLevel="1" x14ac:dyDescent="0.2">
      <c r="B200" s="249">
        <v>4</v>
      </c>
      <c r="C200" s="3" t="s">
        <v>108</v>
      </c>
      <c r="D200" s="238">
        <f t="shared" ref="D200:I200" si="90">INDEX(PBSScriptsNew,$B196,D197)*(INDEX(DPMQCoPayNewPub,$B196,$B200)/INDEX(CoPayCountNew,$B196))</f>
        <v>0</v>
      </c>
      <c r="E200" s="238">
        <f t="shared" si="90"/>
        <v>0</v>
      </c>
      <c r="F200" s="238">
        <f t="shared" si="90"/>
        <v>0</v>
      </c>
      <c r="G200" s="238">
        <f t="shared" si="90"/>
        <v>0</v>
      </c>
      <c r="H200" s="238">
        <f t="shared" si="90"/>
        <v>0</v>
      </c>
      <c r="I200" s="238">
        <f t="shared" si="90"/>
        <v>0</v>
      </c>
      <c r="K200" s="579" t="str">
        <f>IF(B197&lt;&gt;0,MsgNote&amp;IF(B197="Yes",INDEX(CoPayMethod,1),INDEX(CoPayMethod,2)),"")</f>
        <v/>
      </c>
      <c r="L200" s="579"/>
      <c r="M200" s="579"/>
      <c r="N200" s="443"/>
    </row>
    <row r="201" spans="2:14" hidden="1" outlineLevel="1" x14ac:dyDescent="0.2">
      <c r="B201" s="121"/>
      <c r="C201" s="3" t="s">
        <v>85</v>
      </c>
      <c r="D201" s="238">
        <f t="shared" ref="D201:I201" si="91">D199+D200</f>
        <v>0</v>
      </c>
      <c r="E201" s="238">
        <f t="shared" si="91"/>
        <v>0</v>
      </c>
      <c r="F201" s="238">
        <f t="shared" si="91"/>
        <v>0</v>
      </c>
      <c r="G201" s="238">
        <f t="shared" si="91"/>
        <v>0</v>
      </c>
      <c r="H201" s="238">
        <f t="shared" si="91"/>
        <v>0</v>
      </c>
      <c r="I201" s="238">
        <f t="shared" si="91"/>
        <v>0</v>
      </c>
    </row>
    <row r="202" spans="2:14" hidden="1" outlineLevel="1" x14ac:dyDescent="0.2">
      <c r="B202" s="121"/>
    </row>
    <row r="203" spans="2:14" ht="15.75" hidden="1" outlineLevel="1" x14ac:dyDescent="0.2">
      <c r="B203" s="121"/>
      <c r="C203" s="454"/>
      <c r="D203" s="74">
        <f>FirstYear</f>
        <v>2026</v>
      </c>
      <c r="E203" s="74">
        <f>D203+1</f>
        <v>2027</v>
      </c>
      <c r="F203" s="74">
        <f>E203+1</f>
        <v>2028</v>
      </c>
      <c r="G203" s="74">
        <f>F203+1</f>
        <v>2029</v>
      </c>
      <c r="H203" s="74">
        <f>G203+1</f>
        <v>2030</v>
      </c>
      <c r="I203" s="74">
        <f>H203+1</f>
        <v>2031</v>
      </c>
    </row>
    <row r="204" spans="2:14" hidden="1" outlineLevel="1" x14ac:dyDescent="0.2">
      <c r="B204" s="249">
        <v>1</v>
      </c>
      <c r="C204" s="76" t="s">
        <v>84</v>
      </c>
      <c r="D204" s="238">
        <f t="shared" ref="D204:I204" si="92">INDEX(RPBSScriptsNew,$B196,D197)*INDEX(DPMQCoPayNewPub,$B196,$B204)</f>
        <v>0</v>
      </c>
      <c r="E204" s="238">
        <f t="shared" si="92"/>
        <v>0</v>
      </c>
      <c r="F204" s="238">
        <f t="shared" si="92"/>
        <v>0</v>
      </c>
      <c r="G204" s="238">
        <f t="shared" si="92"/>
        <v>0</v>
      </c>
      <c r="H204" s="238">
        <f t="shared" si="92"/>
        <v>0</v>
      </c>
      <c r="I204" s="238">
        <f t="shared" si="92"/>
        <v>0</v>
      </c>
    </row>
    <row r="205" spans="2:14" hidden="1" outlineLevel="1" x14ac:dyDescent="0.2">
      <c r="B205" s="249">
        <v>5</v>
      </c>
      <c r="C205" s="3" t="s">
        <v>108</v>
      </c>
      <c r="D205" s="238">
        <f t="shared" ref="D205:I205" si="93">INDEX(RPBSScriptsNew,$B196,D197)*(INDEX(DPMQCoPayNewPub,$B196,$B205)/INDEX(CoPayCountNew,$B196))</f>
        <v>0</v>
      </c>
      <c r="E205" s="238">
        <f t="shared" si="93"/>
        <v>0</v>
      </c>
      <c r="F205" s="238">
        <f t="shared" si="93"/>
        <v>0</v>
      </c>
      <c r="G205" s="238">
        <f t="shared" si="93"/>
        <v>0</v>
      </c>
      <c r="H205" s="238">
        <f t="shared" si="93"/>
        <v>0</v>
      </c>
      <c r="I205" s="238">
        <f t="shared" si="93"/>
        <v>0</v>
      </c>
    </row>
    <row r="206" spans="2:14" hidden="1" outlineLevel="1" x14ac:dyDescent="0.2">
      <c r="B206" s="121"/>
      <c r="C206" s="3" t="s">
        <v>86</v>
      </c>
      <c r="D206" s="238">
        <f t="shared" ref="D206:I206" si="94">D204+D205</f>
        <v>0</v>
      </c>
      <c r="E206" s="238">
        <f t="shared" si="94"/>
        <v>0</v>
      </c>
      <c r="F206" s="238">
        <f t="shared" si="94"/>
        <v>0</v>
      </c>
      <c r="G206" s="238">
        <f t="shared" si="94"/>
        <v>0</v>
      </c>
      <c r="H206" s="238">
        <f t="shared" si="94"/>
        <v>0</v>
      </c>
      <c r="I206" s="238">
        <f t="shared" si="94"/>
        <v>0</v>
      </c>
    </row>
    <row r="207" spans="2:14" collapsed="1" x14ac:dyDescent="0.2">
      <c r="B207" s="121"/>
      <c r="C207" s="457"/>
      <c r="D207" s="457"/>
      <c r="E207" s="457"/>
      <c r="F207" s="31"/>
      <c r="G207" s="31"/>
      <c r="H207" s="31"/>
      <c r="I207" s="31"/>
      <c r="J207" s="31"/>
      <c r="K207" s="31"/>
      <c r="L207" s="31"/>
      <c r="M207" s="31"/>
      <c r="N207" s="31"/>
    </row>
    <row r="208" spans="2:14" ht="15" x14ac:dyDescent="0.2">
      <c r="B208" s="249">
        <v>16</v>
      </c>
      <c r="C208" s="129" t="str">
        <f>INDEX(PBSScriptsNew,B208,1)</f>
        <v>** NOT USED **</v>
      </c>
      <c r="D208" s="123"/>
      <c r="E208" s="123"/>
      <c r="F208" s="123"/>
      <c r="G208" s="123"/>
      <c r="H208" s="123"/>
      <c r="I208" s="123"/>
      <c r="J208" s="117"/>
      <c r="K208" s="116"/>
      <c r="L208" s="588" t="str">
        <f>IF(C208&lt;&gt;MsgNotUsed,"Co-payment group " &amp; INDEX(DPMQCoPayNewPub,B208,3),"")</f>
        <v/>
      </c>
      <c r="M208" s="588"/>
      <c r="N208" s="380"/>
    </row>
    <row r="209" spans="2:14" hidden="1" outlineLevel="1" x14ac:dyDescent="0.2">
      <c r="B209" s="209">
        <f>INDEX(SANew,B208,5)</f>
        <v>0</v>
      </c>
      <c r="C209" s="457"/>
      <c r="D209" s="319">
        <v>2</v>
      </c>
      <c r="E209" s="319">
        <v>3</v>
      </c>
      <c r="F209" s="319">
        <v>4</v>
      </c>
      <c r="G209" s="319">
        <v>5</v>
      </c>
      <c r="H209" s="319">
        <v>6</v>
      </c>
      <c r="I209" s="319">
        <v>7</v>
      </c>
      <c r="K209" s="31"/>
      <c r="L209" s="31"/>
      <c r="M209" s="31"/>
      <c r="N209" s="31"/>
    </row>
    <row r="210" spans="2:14" hidden="1" outlineLevel="1" x14ac:dyDescent="0.2">
      <c r="B210" s="130"/>
      <c r="D210" s="74">
        <f>FirstYear</f>
        <v>2026</v>
      </c>
      <c r="E210" s="74">
        <f>D210+1</f>
        <v>2027</v>
      </c>
      <c r="F210" s="74">
        <f>E210+1</f>
        <v>2028</v>
      </c>
      <c r="G210" s="74">
        <f>F210+1</f>
        <v>2029</v>
      </c>
      <c r="H210" s="74">
        <f>G210+1</f>
        <v>2030</v>
      </c>
      <c r="I210" s="74">
        <f>H210+1</f>
        <v>2031</v>
      </c>
    </row>
    <row r="211" spans="2:14" hidden="1" outlineLevel="1" x14ac:dyDescent="0.2">
      <c r="B211" s="249">
        <v>1</v>
      </c>
      <c r="C211" s="76" t="s">
        <v>83</v>
      </c>
      <c r="D211" s="238">
        <f t="shared" ref="D211:I211" si="95">INDEX(PBSScriptsNew,$B208,D209)*INDEX(DPMQCoPayNewPub,$B208,$B211)</f>
        <v>0</v>
      </c>
      <c r="E211" s="238">
        <f t="shared" si="95"/>
        <v>0</v>
      </c>
      <c r="F211" s="238">
        <f t="shared" si="95"/>
        <v>0</v>
      </c>
      <c r="G211" s="238">
        <f t="shared" si="95"/>
        <v>0</v>
      </c>
      <c r="H211" s="238">
        <f t="shared" si="95"/>
        <v>0</v>
      </c>
      <c r="I211" s="238">
        <f t="shared" si="95"/>
        <v>0</v>
      </c>
    </row>
    <row r="212" spans="2:14" hidden="1" outlineLevel="1" x14ac:dyDescent="0.2">
      <c r="B212" s="249">
        <v>4</v>
      </c>
      <c r="C212" s="3" t="s">
        <v>108</v>
      </c>
      <c r="D212" s="238">
        <f t="shared" ref="D212:I212" si="96">INDEX(PBSScriptsNew,$B208,D209)*(INDEX(DPMQCoPayNewPub,$B208,$B212)/INDEX(CoPayCountNew,$B208))</f>
        <v>0</v>
      </c>
      <c r="E212" s="238">
        <f t="shared" si="96"/>
        <v>0</v>
      </c>
      <c r="F212" s="238">
        <f t="shared" si="96"/>
        <v>0</v>
      </c>
      <c r="G212" s="238">
        <f t="shared" si="96"/>
        <v>0</v>
      </c>
      <c r="H212" s="238">
        <f t="shared" si="96"/>
        <v>0</v>
      </c>
      <c r="I212" s="238">
        <f t="shared" si="96"/>
        <v>0</v>
      </c>
      <c r="K212" s="579" t="str">
        <f>IF(B209&lt;&gt;0,MsgNote&amp;IF(B209="Yes",INDEX(CoPayMethod,1),INDEX(CoPayMethod,2)),"")</f>
        <v/>
      </c>
      <c r="L212" s="579"/>
      <c r="M212" s="579"/>
      <c r="N212" s="443"/>
    </row>
    <row r="213" spans="2:14" hidden="1" outlineLevel="1" x14ac:dyDescent="0.2">
      <c r="B213" s="121"/>
      <c r="C213" s="3" t="s">
        <v>85</v>
      </c>
      <c r="D213" s="238">
        <f t="shared" ref="D213:I213" si="97">D211+D212</f>
        <v>0</v>
      </c>
      <c r="E213" s="238">
        <f t="shared" si="97"/>
        <v>0</v>
      </c>
      <c r="F213" s="238">
        <f t="shared" si="97"/>
        <v>0</v>
      </c>
      <c r="G213" s="238">
        <f t="shared" si="97"/>
        <v>0</v>
      </c>
      <c r="H213" s="238">
        <f t="shared" si="97"/>
        <v>0</v>
      </c>
      <c r="I213" s="238">
        <f t="shared" si="97"/>
        <v>0</v>
      </c>
    </row>
    <row r="214" spans="2:14" hidden="1" outlineLevel="1" x14ac:dyDescent="0.2">
      <c r="B214" s="121"/>
    </row>
    <row r="215" spans="2:14" ht="15.75" hidden="1" outlineLevel="1" x14ac:dyDescent="0.2">
      <c r="B215" s="121"/>
      <c r="C215" s="454"/>
      <c r="D215" s="74">
        <f>FirstYear</f>
        <v>2026</v>
      </c>
      <c r="E215" s="74">
        <f>D215+1</f>
        <v>2027</v>
      </c>
      <c r="F215" s="74">
        <f>E215+1</f>
        <v>2028</v>
      </c>
      <c r="G215" s="74">
        <f>F215+1</f>
        <v>2029</v>
      </c>
      <c r="H215" s="74">
        <f>G215+1</f>
        <v>2030</v>
      </c>
      <c r="I215" s="74">
        <f>H215+1</f>
        <v>2031</v>
      </c>
    </row>
    <row r="216" spans="2:14" hidden="1" outlineLevel="1" x14ac:dyDescent="0.2">
      <c r="B216" s="249">
        <v>1</v>
      </c>
      <c r="C216" s="76" t="s">
        <v>84</v>
      </c>
      <c r="D216" s="238">
        <f t="shared" ref="D216:I216" si="98">INDEX(RPBSScriptsNew,$B208,D209)*INDEX(DPMQCoPayNewPub,$B208,$B216)</f>
        <v>0</v>
      </c>
      <c r="E216" s="238">
        <f t="shared" si="98"/>
        <v>0</v>
      </c>
      <c r="F216" s="238">
        <f t="shared" si="98"/>
        <v>0</v>
      </c>
      <c r="G216" s="238">
        <f t="shared" si="98"/>
        <v>0</v>
      </c>
      <c r="H216" s="238">
        <f t="shared" si="98"/>
        <v>0</v>
      </c>
      <c r="I216" s="238">
        <f t="shared" si="98"/>
        <v>0</v>
      </c>
    </row>
    <row r="217" spans="2:14" hidden="1" outlineLevel="1" x14ac:dyDescent="0.2">
      <c r="B217" s="249">
        <v>5</v>
      </c>
      <c r="C217" s="3" t="s">
        <v>108</v>
      </c>
      <c r="D217" s="238">
        <f t="shared" ref="D217:I217" si="99">INDEX(RPBSScriptsNew,$B208,D209)*(INDEX(DPMQCoPayNewPub,$B208,$B217)/INDEX(CoPayCountNew,$B208))</f>
        <v>0</v>
      </c>
      <c r="E217" s="238">
        <f t="shared" si="99"/>
        <v>0</v>
      </c>
      <c r="F217" s="238">
        <f t="shared" si="99"/>
        <v>0</v>
      </c>
      <c r="G217" s="238">
        <f t="shared" si="99"/>
        <v>0</v>
      </c>
      <c r="H217" s="238">
        <f t="shared" si="99"/>
        <v>0</v>
      </c>
      <c r="I217" s="238">
        <f t="shared" si="99"/>
        <v>0</v>
      </c>
    </row>
    <row r="218" spans="2:14" hidden="1" outlineLevel="1" x14ac:dyDescent="0.2">
      <c r="B218" s="121"/>
      <c r="C218" s="3" t="s">
        <v>86</v>
      </c>
      <c r="D218" s="238">
        <f t="shared" ref="D218:I218" si="100">D216+D217</f>
        <v>0</v>
      </c>
      <c r="E218" s="238">
        <f t="shared" si="100"/>
        <v>0</v>
      </c>
      <c r="F218" s="238">
        <f t="shared" si="100"/>
        <v>0</v>
      </c>
      <c r="G218" s="238">
        <f t="shared" si="100"/>
        <v>0</v>
      </c>
      <c r="H218" s="238">
        <f t="shared" si="100"/>
        <v>0</v>
      </c>
      <c r="I218" s="238">
        <f t="shared" si="100"/>
        <v>0</v>
      </c>
    </row>
    <row r="219" spans="2:14" collapsed="1" x14ac:dyDescent="0.2">
      <c r="B219" s="121"/>
      <c r="C219" s="457"/>
      <c r="D219" s="457"/>
      <c r="E219" s="457"/>
      <c r="F219" s="31"/>
      <c r="G219" s="31"/>
      <c r="H219" s="31"/>
      <c r="I219" s="31"/>
      <c r="J219" s="31"/>
      <c r="K219" s="31"/>
      <c r="L219" s="31"/>
      <c r="M219" s="31"/>
      <c r="N219" s="31"/>
    </row>
    <row r="220" spans="2:14" ht="15" x14ac:dyDescent="0.2">
      <c r="B220" s="249">
        <v>17</v>
      </c>
      <c r="C220" s="129" t="str">
        <f>INDEX(PBSScriptsNew,B220,1)</f>
        <v>** NOT USED **</v>
      </c>
      <c r="D220" s="123"/>
      <c r="E220" s="123"/>
      <c r="F220" s="123"/>
      <c r="G220" s="123"/>
      <c r="H220" s="123"/>
      <c r="I220" s="123"/>
      <c r="J220" s="117"/>
      <c r="K220" s="116"/>
      <c r="L220" s="588" t="str">
        <f>IF(C220&lt;&gt;MsgNotUsed,"Co-payment group " &amp; INDEX(DPMQCoPayNewPub,B220,3),"")</f>
        <v/>
      </c>
      <c r="M220" s="588"/>
      <c r="N220" s="380"/>
    </row>
    <row r="221" spans="2:14" hidden="1" outlineLevel="1" x14ac:dyDescent="0.2">
      <c r="B221" s="209">
        <f>INDEX(SANew,B220,5)</f>
        <v>0</v>
      </c>
      <c r="C221" s="457"/>
      <c r="D221" s="319">
        <v>2</v>
      </c>
      <c r="E221" s="319">
        <v>3</v>
      </c>
      <c r="F221" s="319">
        <v>4</v>
      </c>
      <c r="G221" s="319">
        <v>5</v>
      </c>
      <c r="H221" s="319">
        <v>6</v>
      </c>
      <c r="I221" s="319">
        <v>7</v>
      </c>
      <c r="K221" s="31"/>
      <c r="L221" s="31"/>
      <c r="M221" s="31"/>
      <c r="N221" s="31"/>
    </row>
    <row r="222" spans="2:14" hidden="1" outlineLevel="1" x14ac:dyDescent="0.2">
      <c r="B222" s="130"/>
      <c r="D222" s="74">
        <f>FirstYear</f>
        <v>2026</v>
      </c>
      <c r="E222" s="74">
        <f>D222+1</f>
        <v>2027</v>
      </c>
      <c r="F222" s="74">
        <f>E222+1</f>
        <v>2028</v>
      </c>
      <c r="G222" s="74">
        <f>F222+1</f>
        <v>2029</v>
      </c>
      <c r="H222" s="74">
        <f>G222+1</f>
        <v>2030</v>
      </c>
      <c r="I222" s="74">
        <f>H222+1</f>
        <v>2031</v>
      </c>
    </row>
    <row r="223" spans="2:14" hidden="1" outlineLevel="1" x14ac:dyDescent="0.2">
      <c r="B223" s="249">
        <v>1</v>
      </c>
      <c r="C223" s="76" t="s">
        <v>83</v>
      </c>
      <c r="D223" s="238">
        <f t="shared" ref="D223:I223" si="101">INDEX(PBSScriptsNew,$B220,D221)*INDEX(DPMQCoPayNewPub,$B220,$B223)</f>
        <v>0</v>
      </c>
      <c r="E223" s="238">
        <f t="shared" si="101"/>
        <v>0</v>
      </c>
      <c r="F223" s="238">
        <f t="shared" si="101"/>
        <v>0</v>
      </c>
      <c r="G223" s="238">
        <f t="shared" si="101"/>
        <v>0</v>
      </c>
      <c r="H223" s="238">
        <f t="shared" si="101"/>
        <v>0</v>
      </c>
      <c r="I223" s="238">
        <f t="shared" si="101"/>
        <v>0</v>
      </c>
    </row>
    <row r="224" spans="2:14" hidden="1" outlineLevel="1" x14ac:dyDescent="0.2">
      <c r="B224" s="249">
        <v>4</v>
      </c>
      <c r="C224" s="3" t="s">
        <v>108</v>
      </c>
      <c r="D224" s="238">
        <f t="shared" ref="D224:I224" si="102">INDEX(PBSScriptsNew,$B220,D221)*(INDEX(DPMQCoPayNewPub,$B220,$B224)/INDEX(CoPayCountNew,$B220))</f>
        <v>0</v>
      </c>
      <c r="E224" s="238">
        <f t="shared" si="102"/>
        <v>0</v>
      </c>
      <c r="F224" s="238">
        <f t="shared" si="102"/>
        <v>0</v>
      </c>
      <c r="G224" s="238">
        <f t="shared" si="102"/>
        <v>0</v>
      </c>
      <c r="H224" s="238">
        <f t="shared" si="102"/>
        <v>0</v>
      </c>
      <c r="I224" s="238">
        <f t="shared" si="102"/>
        <v>0</v>
      </c>
      <c r="K224" s="579" t="str">
        <f>IF(B221&lt;&gt;0,MsgNote&amp;IF(B221="Yes",INDEX(CoPayMethod,1),INDEX(CoPayMethod,2)),"")</f>
        <v/>
      </c>
      <c r="L224" s="579"/>
      <c r="M224" s="579"/>
      <c r="N224" s="443"/>
    </row>
    <row r="225" spans="2:14" hidden="1" outlineLevel="1" x14ac:dyDescent="0.2">
      <c r="B225" s="121"/>
      <c r="C225" s="3" t="s">
        <v>85</v>
      </c>
      <c r="D225" s="238">
        <f t="shared" ref="D225:I225" si="103">D223+D224</f>
        <v>0</v>
      </c>
      <c r="E225" s="238">
        <f t="shared" si="103"/>
        <v>0</v>
      </c>
      <c r="F225" s="238">
        <f t="shared" si="103"/>
        <v>0</v>
      </c>
      <c r="G225" s="238">
        <f t="shared" si="103"/>
        <v>0</v>
      </c>
      <c r="H225" s="238">
        <f t="shared" si="103"/>
        <v>0</v>
      </c>
      <c r="I225" s="238">
        <f t="shared" si="103"/>
        <v>0</v>
      </c>
    </row>
    <row r="226" spans="2:14" hidden="1" outlineLevel="1" x14ac:dyDescent="0.2">
      <c r="B226" s="121"/>
    </row>
    <row r="227" spans="2:14" ht="15.75" hidden="1" outlineLevel="1" x14ac:dyDescent="0.2">
      <c r="B227" s="121"/>
      <c r="C227" s="454"/>
      <c r="D227" s="74">
        <f>FirstYear</f>
        <v>2026</v>
      </c>
      <c r="E227" s="74">
        <f>D227+1</f>
        <v>2027</v>
      </c>
      <c r="F227" s="74">
        <f>E227+1</f>
        <v>2028</v>
      </c>
      <c r="G227" s="74">
        <f>F227+1</f>
        <v>2029</v>
      </c>
      <c r="H227" s="74">
        <f>G227+1</f>
        <v>2030</v>
      </c>
      <c r="I227" s="74">
        <f>H227+1</f>
        <v>2031</v>
      </c>
    </row>
    <row r="228" spans="2:14" hidden="1" outlineLevel="1" x14ac:dyDescent="0.2">
      <c r="B228" s="249">
        <v>1</v>
      </c>
      <c r="C228" s="76" t="s">
        <v>84</v>
      </c>
      <c r="D228" s="238">
        <f t="shared" ref="D228:I228" si="104">INDEX(RPBSScriptsNew,$B220,D221)*INDEX(DPMQCoPayNewPub,$B220,$B228)</f>
        <v>0</v>
      </c>
      <c r="E228" s="238">
        <f t="shared" si="104"/>
        <v>0</v>
      </c>
      <c r="F228" s="238">
        <f t="shared" si="104"/>
        <v>0</v>
      </c>
      <c r="G228" s="238">
        <f t="shared" si="104"/>
        <v>0</v>
      </c>
      <c r="H228" s="238">
        <f t="shared" si="104"/>
        <v>0</v>
      </c>
      <c r="I228" s="238">
        <f t="shared" si="104"/>
        <v>0</v>
      </c>
    </row>
    <row r="229" spans="2:14" hidden="1" outlineLevel="1" x14ac:dyDescent="0.2">
      <c r="B229" s="249">
        <v>5</v>
      </c>
      <c r="C229" s="3" t="s">
        <v>108</v>
      </c>
      <c r="D229" s="238">
        <f t="shared" ref="D229:I229" si="105">INDEX(RPBSScriptsNew,$B220,D221)*(INDEX(DPMQCoPayNewPub,$B220,$B229)/INDEX(CoPayCountNew,$B220))</f>
        <v>0</v>
      </c>
      <c r="E229" s="238">
        <f t="shared" si="105"/>
        <v>0</v>
      </c>
      <c r="F229" s="238">
        <f t="shared" si="105"/>
        <v>0</v>
      </c>
      <c r="G229" s="238">
        <f t="shared" si="105"/>
        <v>0</v>
      </c>
      <c r="H229" s="238">
        <f t="shared" si="105"/>
        <v>0</v>
      </c>
      <c r="I229" s="238">
        <f t="shared" si="105"/>
        <v>0</v>
      </c>
    </row>
    <row r="230" spans="2:14" hidden="1" outlineLevel="1" x14ac:dyDescent="0.2">
      <c r="B230" s="121"/>
      <c r="C230" s="3" t="s">
        <v>86</v>
      </c>
      <c r="D230" s="238">
        <f t="shared" ref="D230:I230" si="106">D228+D229</f>
        <v>0</v>
      </c>
      <c r="E230" s="238">
        <f t="shared" si="106"/>
        <v>0</v>
      </c>
      <c r="F230" s="238">
        <f t="shared" si="106"/>
        <v>0</v>
      </c>
      <c r="G230" s="238">
        <f t="shared" si="106"/>
        <v>0</v>
      </c>
      <c r="H230" s="238">
        <f t="shared" si="106"/>
        <v>0</v>
      </c>
      <c r="I230" s="238">
        <f t="shared" si="106"/>
        <v>0</v>
      </c>
    </row>
    <row r="231" spans="2:14" collapsed="1" x14ac:dyDescent="0.2">
      <c r="B231" s="121"/>
      <c r="C231" s="457"/>
      <c r="D231" s="457"/>
      <c r="E231" s="457"/>
      <c r="F231" s="31"/>
      <c r="G231" s="31"/>
      <c r="H231" s="31"/>
      <c r="I231" s="31"/>
      <c r="J231" s="31"/>
      <c r="K231" s="31"/>
      <c r="L231" s="31"/>
      <c r="M231" s="31"/>
      <c r="N231" s="31"/>
    </row>
    <row r="232" spans="2:14" ht="15" x14ac:dyDescent="0.2">
      <c r="B232" s="249">
        <v>18</v>
      </c>
      <c r="C232" s="129" t="str">
        <f>INDEX(PBSScriptsNew,B232,1)</f>
        <v>** NOT USED **</v>
      </c>
      <c r="D232" s="123"/>
      <c r="E232" s="123"/>
      <c r="F232" s="123"/>
      <c r="G232" s="123"/>
      <c r="H232" s="123"/>
      <c r="I232" s="123"/>
      <c r="J232" s="117"/>
      <c r="K232" s="116"/>
      <c r="L232" s="588" t="str">
        <f>IF(C232&lt;&gt;MsgNotUsed,"Co-payment group " &amp; INDEX(DPMQCoPayNewPub,B232,3),"")</f>
        <v/>
      </c>
      <c r="M232" s="588"/>
      <c r="N232" s="380"/>
    </row>
    <row r="233" spans="2:14" hidden="1" outlineLevel="1" x14ac:dyDescent="0.2">
      <c r="B233" s="209">
        <f>INDEX(SANew,B232,5)</f>
        <v>0</v>
      </c>
      <c r="C233" s="457"/>
      <c r="D233" s="319">
        <v>2</v>
      </c>
      <c r="E233" s="319">
        <v>3</v>
      </c>
      <c r="F233" s="319">
        <v>4</v>
      </c>
      <c r="G233" s="319">
        <v>5</v>
      </c>
      <c r="H233" s="319">
        <v>6</v>
      </c>
      <c r="I233" s="319">
        <v>7</v>
      </c>
      <c r="K233" s="31"/>
      <c r="L233" s="31"/>
      <c r="M233" s="31"/>
      <c r="N233" s="31"/>
    </row>
    <row r="234" spans="2:14" hidden="1" outlineLevel="1" x14ac:dyDescent="0.2">
      <c r="B234" s="130"/>
      <c r="D234" s="74">
        <f>FirstYear</f>
        <v>2026</v>
      </c>
      <c r="E234" s="74">
        <f>D234+1</f>
        <v>2027</v>
      </c>
      <c r="F234" s="74">
        <f>E234+1</f>
        <v>2028</v>
      </c>
      <c r="G234" s="74">
        <f>F234+1</f>
        <v>2029</v>
      </c>
      <c r="H234" s="74">
        <f>G234+1</f>
        <v>2030</v>
      </c>
      <c r="I234" s="74">
        <f>H234+1</f>
        <v>2031</v>
      </c>
    </row>
    <row r="235" spans="2:14" hidden="1" outlineLevel="1" x14ac:dyDescent="0.2">
      <c r="B235" s="249">
        <v>1</v>
      </c>
      <c r="C235" s="76" t="s">
        <v>83</v>
      </c>
      <c r="D235" s="238">
        <f t="shared" ref="D235:I235" si="107">INDEX(PBSScriptsNew,$B232,D233)*INDEX(DPMQCoPayNewPub,$B232,$B235)</f>
        <v>0</v>
      </c>
      <c r="E235" s="238">
        <f t="shared" si="107"/>
        <v>0</v>
      </c>
      <c r="F235" s="238">
        <f t="shared" si="107"/>
        <v>0</v>
      </c>
      <c r="G235" s="238">
        <f t="shared" si="107"/>
        <v>0</v>
      </c>
      <c r="H235" s="238">
        <f t="shared" si="107"/>
        <v>0</v>
      </c>
      <c r="I235" s="238">
        <f t="shared" si="107"/>
        <v>0</v>
      </c>
    </row>
    <row r="236" spans="2:14" hidden="1" outlineLevel="1" x14ac:dyDescent="0.2">
      <c r="B236" s="249">
        <v>4</v>
      </c>
      <c r="C236" s="3" t="s">
        <v>108</v>
      </c>
      <c r="D236" s="238">
        <f t="shared" ref="D236:I236" si="108">INDEX(PBSScriptsNew,$B232,D233)*(INDEX(DPMQCoPayNewPub,$B232,$B236)/INDEX(CoPayCountNew,$B232))</f>
        <v>0</v>
      </c>
      <c r="E236" s="238">
        <f t="shared" si="108"/>
        <v>0</v>
      </c>
      <c r="F236" s="238">
        <f t="shared" si="108"/>
        <v>0</v>
      </c>
      <c r="G236" s="238">
        <f t="shared" si="108"/>
        <v>0</v>
      </c>
      <c r="H236" s="238">
        <f t="shared" si="108"/>
        <v>0</v>
      </c>
      <c r="I236" s="238">
        <f t="shared" si="108"/>
        <v>0</v>
      </c>
      <c r="K236" s="579" t="str">
        <f>IF(B233&lt;&gt;0,MsgNote&amp;IF(B233="Yes",INDEX(CoPayMethod,1),INDEX(CoPayMethod,2)),"")</f>
        <v/>
      </c>
      <c r="L236" s="579"/>
      <c r="M236" s="579"/>
      <c r="N236" s="443"/>
    </row>
    <row r="237" spans="2:14" hidden="1" outlineLevel="1" x14ac:dyDescent="0.2">
      <c r="B237" s="121"/>
      <c r="C237" s="3" t="s">
        <v>85</v>
      </c>
      <c r="D237" s="238">
        <f t="shared" ref="D237:I237" si="109">D235+D236</f>
        <v>0</v>
      </c>
      <c r="E237" s="238">
        <f t="shared" si="109"/>
        <v>0</v>
      </c>
      <c r="F237" s="238">
        <f t="shared" si="109"/>
        <v>0</v>
      </c>
      <c r="G237" s="238">
        <f t="shared" si="109"/>
        <v>0</v>
      </c>
      <c r="H237" s="238">
        <f t="shared" si="109"/>
        <v>0</v>
      </c>
      <c r="I237" s="238">
        <f t="shared" si="109"/>
        <v>0</v>
      </c>
    </row>
    <row r="238" spans="2:14" hidden="1" outlineLevel="1" x14ac:dyDescent="0.2">
      <c r="B238" s="121"/>
    </row>
    <row r="239" spans="2:14" ht="15.75" hidden="1" outlineLevel="1" x14ac:dyDescent="0.2">
      <c r="B239" s="121"/>
      <c r="C239" s="454"/>
      <c r="D239" s="74">
        <f>FirstYear</f>
        <v>2026</v>
      </c>
      <c r="E239" s="74">
        <f>D239+1</f>
        <v>2027</v>
      </c>
      <c r="F239" s="74">
        <f>E239+1</f>
        <v>2028</v>
      </c>
      <c r="G239" s="74">
        <f>F239+1</f>
        <v>2029</v>
      </c>
      <c r="H239" s="74">
        <f>G239+1</f>
        <v>2030</v>
      </c>
      <c r="I239" s="74">
        <f>H239+1</f>
        <v>2031</v>
      </c>
    </row>
    <row r="240" spans="2:14" hidden="1" outlineLevel="1" x14ac:dyDescent="0.2">
      <c r="B240" s="249">
        <v>1</v>
      </c>
      <c r="C240" s="76" t="s">
        <v>84</v>
      </c>
      <c r="D240" s="238">
        <f t="shared" ref="D240:I240" si="110">INDEX(RPBSScriptsNew,$B232,D233)*INDEX(DPMQCoPayNewPub,$B232,$B240)</f>
        <v>0</v>
      </c>
      <c r="E240" s="238">
        <f t="shared" si="110"/>
        <v>0</v>
      </c>
      <c r="F240" s="238">
        <f t="shared" si="110"/>
        <v>0</v>
      </c>
      <c r="G240" s="238">
        <f t="shared" si="110"/>
        <v>0</v>
      </c>
      <c r="H240" s="238">
        <f t="shared" si="110"/>
        <v>0</v>
      </c>
      <c r="I240" s="238">
        <f t="shared" si="110"/>
        <v>0</v>
      </c>
    </row>
    <row r="241" spans="2:14" hidden="1" outlineLevel="1" x14ac:dyDescent="0.2">
      <c r="B241" s="249">
        <v>5</v>
      </c>
      <c r="C241" s="3" t="s">
        <v>108</v>
      </c>
      <c r="D241" s="238">
        <f t="shared" ref="D241:I241" si="111">INDEX(RPBSScriptsNew,$B232,D233)*(INDEX(DPMQCoPayNewPub,$B232,$B241)/INDEX(CoPayCountNew,$B232))</f>
        <v>0</v>
      </c>
      <c r="E241" s="238">
        <f t="shared" si="111"/>
        <v>0</v>
      </c>
      <c r="F241" s="238">
        <f t="shared" si="111"/>
        <v>0</v>
      </c>
      <c r="G241" s="238">
        <f t="shared" si="111"/>
        <v>0</v>
      </c>
      <c r="H241" s="238">
        <f t="shared" si="111"/>
        <v>0</v>
      </c>
      <c r="I241" s="238">
        <f t="shared" si="111"/>
        <v>0</v>
      </c>
    </row>
    <row r="242" spans="2:14" hidden="1" outlineLevel="1" x14ac:dyDescent="0.2">
      <c r="B242" s="121"/>
      <c r="C242" s="3" t="s">
        <v>86</v>
      </c>
      <c r="D242" s="238">
        <f t="shared" ref="D242:I242" si="112">D240+D241</f>
        <v>0</v>
      </c>
      <c r="E242" s="238">
        <f t="shared" si="112"/>
        <v>0</v>
      </c>
      <c r="F242" s="238">
        <f t="shared" si="112"/>
        <v>0</v>
      </c>
      <c r="G242" s="238">
        <f t="shared" si="112"/>
        <v>0</v>
      </c>
      <c r="H242" s="238">
        <f t="shared" si="112"/>
        <v>0</v>
      </c>
      <c r="I242" s="238">
        <f t="shared" si="112"/>
        <v>0</v>
      </c>
    </row>
    <row r="243" spans="2:14" collapsed="1" x14ac:dyDescent="0.2">
      <c r="B243" s="121"/>
      <c r="C243" s="457"/>
      <c r="D243" s="457"/>
      <c r="E243" s="457"/>
      <c r="F243" s="31"/>
      <c r="G243" s="31"/>
      <c r="H243" s="31"/>
      <c r="I243" s="31"/>
      <c r="J243" s="31"/>
      <c r="K243" s="31"/>
      <c r="L243" s="31"/>
      <c r="M243" s="31"/>
      <c r="N243" s="31"/>
    </row>
    <row r="244" spans="2:14" ht="15" x14ac:dyDescent="0.2">
      <c r="B244" s="249">
        <v>19</v>
      </c>
      <c r="C244" s="129" t="str">
        <f>INDEX(PBSScriptsNew,B244,1)</f>
        <v>** NOT USED **</v>
      </c>
      <c r="D244" s="123"/>
      <c r="E244" s="123"/>
      <c r="F244" s="123"/>
      <c r="G244" s="123"/>
      <c r="H244" s="123"/>
      <c r="I244" s="123"/>
      <c r="J244" s="117"/>
      <c r="K244" s="116"/>
      <c r="L244" s="588" t="str">
        <f>IF(C244&lt;&gt;MsgNotUsed,"Co-payment group " &amp; INDEX(DPMQCoPayNewPub,B244,3),"")</f>
        <v/>
      </c>
      <c r="M244" s="588"/>
      <c r="N244" s="380"/>
    </row>
    <row r="245" spans="2:14" hidden="1" outlineLevel="1" x14ac:dyDescent="0.2">
      <c r="B245" s="209">
        <f>INDEX(SANew,B244,5)</f>
        <v>0</v>
      </c>
      <c r="C245" s="457"/>
      <c r="D245" s="319">
        <v>2</v>
      </c>
      <c r="E245" s="319">
        <v>3</v>
      </c>
      <c r="F245" s="319">
        <v>4</v>
      </c>
      <c r="G245" s="319">
        <v>5</v>
      </c>
      <c r="H245" s="319">
        <v>6</v>
      </c>
      <c r="I245" s="319">
        <v>7</v>
      </c>
      <c r="K245" s="31"/>
      <c r="L245" s="31"/>
      <c r="M245" s="31"/>
      <c r="N245" s="31"/>
    </row>
    <row r="246" spans="2:14" hidden="1" outlineLevel="1" x14ac:dyDescent="0.2">
      <c r="B246" s="130"/>
      <c r="D246" s="74">
        <f>FirstYear</f>
        <v>2026</v>
      </c>
      <c r="E246" s="74">
        <f>D246+1</f>
        <v>2027</v>
      </c>
      <c r="F246" s="74">
        <f>E246+1</f>
        <v>2028</v>
      </c>
      <c r="G246" s="74">
        <f>F246+1</f>
        <v>2029</v>
      </c>
      <c r="H246" s="74">
        <f>G246+1</f>
        <v>2030</v>
      </c>
      <c r="I246" s="74">
        <f>H246+1</f>
        <v>2031</v>
      </c>
    </row>
    <row r="247" spans="2:14" hidden="1" outlineLevel="1" x14ac:dyDescent="0.2">
      <c r="B247" s="249">
        <v>1</v>
      </c>
      <c r="C247" s="76" t="s">
        <v>83</v>
      </c>
      <c r="D247" s="238">
        <f t="shared" ref="D247:I247" si="113">INDEX(PBSScriptsNew,$B244,D245)*INDEX(DPMQCoPayNewPub,$B244,$B247)</f>
        <v>0</v>
      </c>
      <c r="E247" s="238">
        <f t="shared" si="113"/>
        <v>0</v>
      </c>
      <c r="F247" s="238">
        <f t="shared" si="113"/>
        <v>0</v>
      </c>
      <c r="G247" s="238">
        <f t="shared" si="113"/>
        <v>0</v>
      </c>
      <c r="H247" s="238">
        <f t="shared" si="113"/>
        <v>0</v>
      </c>
      <c r="I247" s="238">
        <f t="shared" si="113"/>
        <v>0</v>
      </c>
    </row>
    <row r="248" spans="2:14" hidden="1" outlineLevel="1" x14ac:dyDescent="0.2">
      <c r="B248" s="249">
        <v>4</v>
      </c>
      <c r="C248" s="3" t="s">
        <v>108</v>
      </c>
      <c r="D248" s="238">
        <f t="shared" ref="D248:I248" si="114">INDEX(PBSScriptsNew,$B244,D245)*(INDEX(DPMQCoPayNewPub,$B244,$B248)/INDEX(CoPayCountNew,$B244))</f>
        <v>0</v>
      </c>
      <c r="E248" s="238">
        <f t="shared" si="114"/>
        <v>0</v>
      </c>
      <c r="F248" s="238">
        <f t="shared" si="114"/>
        <v>0</v>
      </c>
      <c r="G248" s="238">
        <f t="shared" si="114"/>
        <v>0</v>
      </c>
      <c r="H248" s="238">
        <f t="shared" si="114"/>
        <v>0</v>
      </c>
      <c r="I248" s="238">
        <f t="shared" si="114"/>
        <v>0</v>
      </c>
      <c r="K248" s="579" t="str">
        <f>IF(B245&lt;&gt;0,MsgNote&amp;IF(B245="Yes",INDEX(CoPayMethod,1),INDEX(CoPayMethod,2)),"")</f>
        <v/>
      </c>
      <c r="L248" s="579"/>
      <c r="M248" s="579"/>
      <c r="N248" s="443"/>
    </row>
    <row r="249" spans="2:14" hidden="1" outlineLevel="1" x14ac:dyDescent="0.2">
      <c r="B249" s="121"/>
      <c r="C249" s="3" t="s">
        <v>85</v>
      </c>
      <c r="D249" s="238">
        <f t="shared" ref="D249:I249" si="115">D247+D248</f>
        <v>0</v>
      </c>
      <c r="E249" s="238">
        <f t="shared" si="115"/>
        <v>0</v>
      </c>
      <c r="F249" s="238">
        <f t="shared" si="115"/>
        <v>0</v>
      </c>
      <c r="G249" s="238">
        <f t="shared" si="115"/>
        <v>0</v>
      </c>
      <c r="H249" s="238">
        <f t="shared" si="115"/>
        <v>0</v>
      </c>
      <c r="I249" s="238">
        <f t="shared" si="115"/>
        <v>0</v>
      </c>
    </row>
    <row r="250" spans="2:14" hidden="1" outlineLevel="1" x14ac:dyDescent="0.2">
      <c r="B250" s="121"/>
    </row>
    <row r="251" spans="2:14" ht="15.75" hidden="1" outlineLevel="1" x14ac:dyDescent="0.2">
      <c r="B251" s="121"/>
      <c r="C251" s="454"/>
      <c r="D251" s="74">
        <f>FirstYear</f>
        <v>2026</v>
      </c>
      <c r="E251" s="74">
        <f>D251+1</f>
        <v>2027</v>
      </c>
      <c r="F251" s="74">
        <f>E251+1</f>
        <v>2028</v>
      </c>
      <c r="G251" s="74">
        <f>F251+1</f>
        <v>2029</v>
      </c>
      <c r="H251" s="74">
        <f>G251+1</f>
        <v>2030</v>
      </c>
      <c r="I251" s="74">
        <f>H251+1</f>
        <v>2031</v>
      </c>
    </row>
    <row r="252" spans="2:14" hidden="1" outlineLevel="1" x14ac:dyDescent="0.2">
      <c r="B252" s="249">
        <v>1</v>
      </c>
      <c r="C252" s="76" t="s">
        <v>84</v>
      </c>
      <c r="D252" s="238">
        <f t="shared" ref="D252:I252" si="116">INDEX(RPBSScriptsNew,$B244,D245)*INDEX(DPMQCoPayNewPub,$B244,$B252)</f>
        <v>0</v>
      </c>
      <c r="E252" s="238">
        <f t="shared" si="116"/>
        <v>0</v>
      </c>
      <c r="F252" s="238">
        <f t="shared" si="116"/>
        <v>0</v>
      </c>
      <c r="G252" s="238">
        <f t="shared" si="116"/>
        <v>0</v>
      </c>
      <c r="H252" s="238">
        <f t="shared" si="116"/>
        <v>0</v>
      </c>
      <c r="I252" s="238">
        <f t="shared" si="116"/>
        <v>0</v>
      </c>
    </row>
    <row r="253" spans="2:14" hidden="1" outlineLevel="1" x14ac:dyDescent="0.2">
      <c r="B253" s="249">
        <v>5</v>
      </c>
      <c r="C253" s="3" t="s">
        <v>108</v>
      </c>
      <c r="D253" s="238">
        <f t="shared" ref="D253:I253" si="117">INDEX(RPBSScriptsNew,$B244,D245)*(INDEX(DPMQCoPayNewPub,$B244,$B253)/INDEX(CoPayCountNew,$B244))</f>
        <v>0</v>
      </c>
      <c r="E253" s="238">
        <f t="shared" si="117"/>
        <v>0</v>
      </c>
      <c r="F253" s="238">
        <f t="shared" si="117"/>
        <v>0</v>
      </c>
      <c r="G253" s="238">
        <f t="shared" si="117"/>
        <v>0</v>
      </c>
      <c r="H253" s="238">
        <f t="shared" si="117"/>
        <v>0</v>
      </c>
      <c r="I253" s="238">
        <f t="shared" si="117"/>
        <v>0</v>
      </c>
    </row>
    <row r="254" spans="2:14" hidden="1" outlineLevel="1" x14ac:dyDescent="0.2">
      <c r="B254" s="121"/>
      <c r="C254" s="3" t="s">
        <v>86</v>
      </c>
      <c r="D254" s="238">
        <f t="shared" ref="D254:I254" si="118">D252+D253</f>
        <v>0</v>
      </c>
      <c r="E254" s="238">
        <f t="shared" si="118"/>
        <v>0</v>
      </c>
      <c r="F254" s="238">
        <f t="shared" si="118"/>
        <v>0</v>
      </c>
      <c r="G254" s="238">
        <f t="shared" si="118"/>
        <v>0</v>
      </c>
      <c r="H254" s="238">
        <f t="shared" si="118"/>
        <v>0</v>
      </c>
      <c r="I254" s="238">
        <f t="shared" si="118"/>
        <v>0</v>
      </c>
    </row>
    <row r="255" spans="2:14" collapsed="1" x14ac:dyDescent="0.2">
      <c r="B255" s="121"/>
      <c r="C255" s="457"/>
      <c r="D255" s="457"/>
      <c r="E255" s="457"/>
      <c r="F255" s="31"/>
      <c r="G255" s="31"/>
      <c r="H255" s="31"/>
      <c r="I255" s="31"/>
      <c r="J255" s="31"/>
      <c r="K255" s="31"/>
      <c r="L255" s="31"/>
      <c r="M255" s="31"/>
      <c r="N255" s="31"/>
    </row>
    <row r="256" spans="2:14" ht="15" x14ac:dyDescent="0.2">
      <c r="B256" s="249">
        <v>20</v>
      </c>
      <c r="C256" s="129" t="str">
        <f>INDEX(PBSScriptsNew,B256,1)</f>
        <v>** NOT USED **</v>
      </c>
      <c r="D256" s="123"/>
      <c r="E256" s="123"/>
      <c r="F256" s="123"/>
      <c r="G256" s="123"/>
      <c r="H256" s="123"/>
      <c r="I256" s="123"/>
      <c r="J256" s="117"/>
      <c r="K256" s="116"/>
      <c r="L256" s="588" t="str">
        <f>IF(C256&lt;&gt;MsgNotUsed,"Co-payment group " &amp; INDEX(DPMQCoPayNewPub,B256,3),"")</f>
        <v/>
      </c>
      <c r="M256" s="588"/>
      <c r="N256" s="380"/>
    </row>
    <row r="257" spans="2:14" hidden="1" outlineLevel="1" x14ac:dyDescent="0.2">
      <c r="B257" s="209">
        <f>INDEX(SANew,B256,5)</f>
        <v>0</v>
      </c>
      <c r="C257" s="457"/>
      <c r="D257" s="319">
        <v>2</v>
      </c>
      <c r="E257" s="319">
        <v>3</v>
      </c>
      <c r="F257" s="319">
        <v>4</v>
      </c>
      <c r="G257" s="319">
        <v>5</v>
      </c>
      <c r="H257" s="319">
        <v>6</v>
      </c>
      <c r="I257" s="319">
        <v>7</v>
      </c>
      <c r="K257" s="31"/>
      <c r="L257" s="31"/>
      <c r="M257" s="31"/>
      <c r="N257" s="31"/>
    </row>
    <row r="258" spans="2:14" hidden="1" outlineLevel="1" x14ac:dyDescent="0.2">
      <c r="B258" s="130"/>
      <c r="D258" s="74">
        <f>FirstYear</f>
        <v>2026</v>
      </c>
      <c r="E258" s="74">
        <f>D258+1</f>
        <v>2027</v>
      </c>
      <c r="F258" s="74">
        <f>E258+1</f>
        <v>2028</v>
      </c>
      <c r="G258" s="74">
        <f>F258+1</f>
        <v>2029</v>
      </c>
      <c r="H258" s="74">
        <f>G258+1</f>
        <v>2030</v>
      </c>
      <c r="I258" s="74">
        <f>H258+1</f>
        <v>2031</v>
      </c>
    </row>
    <row r="259" spans="2:14" hidden="1" outlineLevel="1" x14ac:dyDescent="0.2">
      <c r="B259" s="249">
        <v>1</v>
      </c>
      <c r="C259" s="76" t="s">
        <v>83</v>
      </c>
      <c r="D259" s="238">
        <f t="shared" ref="D259:I259" si="119">INDEX(PBSScriptsNew,$B256,D257)*INDEX(DPMQCoPayNewPub,$B256,$B259)</f>
        <v>0</v>
      </c>
      <c r="E259" s="238">
        <f t="shared" si="119"/>
        <v>0</v>
      </c>
      <c r="F259" s="238">
        <f t="shared" si="119"/>
        <v>0</v>
      </c>
      <c r="G259" s="238">
        <f t="shared" si="119"/>
        <v>0</v>
      </c>
      <c r="H259" s="238">
        <f t="shared" si="119"/>
        <v>0</v>
      </c>
      <c r="I259" s="238">
        <f t="shared" si="119"/>
        <v>0</v>
      </c>
    </row>
    <row r="260" spans="2:14" hidden="1" outlineLevel="1" x14ac:dyDescent="0.2">
      <c r="B260" s="249">
        <v>4</v>
      </c>
      <c r="C260" s="3" t="s">
        <v>108</v>
      </c>
      <c r="D260" s="238">
        <f t="shared" ref="D260:I260" si="120">INDEX(PBSScriptsNew,$B256,D257)*(INDEX(DPMQCoPayNewPub,$B256,$B260)/INDEX(CoPayCountNew,$B256))</f>
        <v>0</v>
      </c>
      <c r="E260" s="238">
        <f t="shared" si="120"/>
        <v>0</v>
      </c>
      <c r="F260" s="238">
        <f t="shared" si="120"/>
        <v>0</v>
      </c>
      <c r="G260" s="238">
        <f t="shared" si="120"/>
        <v>0</v>
      </c>
      <c r="H260" s="238">
        <f t="shared" si="120"/>
        <v>0</v>
      </c>
      <c r="I260" s="238">
        <f t="shared" si="120"/>
        <v>0</v>
      </c>
      <c r="K260" s="579" t="str">
        <f>IF(B257&lt;&gt;0,MsgNote&amp;IF(B257="Yes",INDEX(CoPayMethod,1),INDEX(CoPayMethod,2)),"")</f>
        <v/>
      </c>
      <c r="L260" s="579"/>
      <c r="M260" s="579"/>
      <c r="N260" s="443"/>
    </row>
    <row r="261" spans="2:14" hidden="1" outlineLevel="1" x14ac:dyDescent="0.2">
      <c r="B261" s="121"/>
      <c r="C261" s="3" t="s">
        <v>85</v>
      </c>
      <c r="D261" s="238">
        <f t="shared" ref="D261:I261" si="121">D259+D260</f>
        <v>0</v>
      </c>
      <c r="E261" s="238">
        <f t="shared" si="121"/>
        <v>0</v>
      </c>
      <c r="F261" s="238">
        <f t="shared" si="121"/>
        <v>0</v>
      </c>
      <c r="G261" s="238">
        <f t="shared" si="121"/>
        <v>0</v>
      </c>
      <c r="H261" s="238">
        <f t="shared" si="121"/>
        <v>0</v>
      </c>
      <c r="I261" s="238">
        <f t="shared" si="121"/>
        <v>0</v>
      </c>
    </row>
    <row r="262" spans="2:14" hidden="1" outlineLevel="1" x14ac:dyDescent="0.2">
      <c r="B262" s="121"/>
    </row>
    <row r="263" spans="2:14" ht="15.75" hidden="1" outlineLevel="1" x14ac:dyDescent="0.2">
      <c r="B263" s="121"/>
      <c r="C263" s="454"/>
      <c r="D263" s="74">
        <f>FirstYear</f>
        <v>2026</v>
      </c>
      <c r="E263" s="74">
        <f>D263+1</f>
        <v>2027</v>
      </c>
      <c r="F263" s="74">
        <f>E263+1</f>
        <v>2028</v>
      </c>
      <c r="G263" s="74">
        <f>F263+1</f>
        <v>2029</v>
      </c>
      <c r="H263" s="74">
        <f>G263+1</f>
        <v>2030</v>
      </c>
      <c r="I263" s="74">
        <f>H263+1</f>
        <v>2031</v>
      </c>
    </row>
    <row r="264" spans="2:14" hidden="1" outlineLevel="1" x14ac:dyDescent="0.2">
      <c r="B264" s="249">
        <v>1</v>
      </c>
      <c r="C264" s="76" t="s">
        <v>84</v>
      </c>
      <c r="D264" s="238">
        <f t="shared" ref="D264:I264" si="122">INDEX(RPBSScriptsNew,$B256,D257)*INDEX(DPMQCoPayNewPub,$B256,$B264)</f>
        <v>0</v>
      </c>
      <c r="E264" s="238">
        <f t="shared" si="122"/>
        <v>0</v>
      </c>
      <c r="F264" s="238">
        <f t="shared" si="122"/>
        <v>0</v>
      </c>
      <c r="G264" s="238">
        <f t="shared" si="122"/>
        <v>0</v>
      </c>
      <c r="H264" s="238">
        <f t="shared" si="122"/>
        <v>0</v>
      </c>
      <c r="I264" s="238">
        <f t="shared" si="122"/>
        <v>0</v>
      </c>
    </row>
    <row r="265" spans="2:14" hidden="1" outlineLevel="1" x14ac:dyDescent="0.2">
      <c r="B265" s="249">
        <v>5</v>
      </c>
      <c r="C265" s="3" t="s">
        <v>108</v>
      </c>
      <c r="D265" s="238">
        <f t="shared" ref="D265:I265" si="123">INDEX(RPBSScriptsNew,$B256,D257)*(INDEX(DPMQCoPayNewPub,$B256,$B265)/INDEX(CoPayCountNew,$B256))</f>
        <v>0</v>
      </c>
      <c r="E265" s="238">
        <f t="shared" si="123"/>
        <v>0</v>
      </c>
      <c r="F265" s="238">
        <f t="shared" si="123"/>
        <v>0</v>
      </c>
      <c r="G265" s="238">
        <f t="shared" si="123"/>
        <v>0</v>
      </c>
      <c r="H265" s="238">
        <f t="shared" si="123"/>
        <v>0</v>
      </c>
      <c r="I265" s="238">
        <f t="shared" si="123"/>
        <v>0</v>
      </c>
    </row>
    <row r="266" spans="2:14" hidden="1" outlineLevel="1" x14ac:dyDescent="0.2">
      <c r="B266" s="121"/>
      <c r="C266" s="3" t="s">
        <v>86</v>
      </c>
      <c r="D266" s="238">
        <f t="shared" ref="D266:I266" si="124">D264+D265</f>
        <v>0</v>
      </c>
      <c r="E266" s="238">
        <f t="shared" si="124"/>
        <v>0</v>
      </c>
      <c r="F266" s="238">
        <f t="shared" si="124"/>
        <v>0</v>
      </c>
      <c r="G266" s="238">
        <f t="shared" si="124"/>
        <v>0</v>
      </c>
      <c r="H266" s="238">
        <f t="shared" si="124"/>
        <v>0</v>
      </c>
      <c r="I266" s="238">
        <f t="shared" si="124"/>
        <v>0</v>
      </c>
    </row>
    <row r="267" spans="2:14" hidden="1" outlineLevel="1" x14ac:dyDescent="0.2">
      <c r="B267" s="121"/>
      <c r="C267" s="457"/>
      <c r="D267" s="457"/>
      <c r="E267" s="457"/>
      <c r="F267" s="31"/>
      <c r="G267" s="31"/>
      <c r="H267" s="31"/>
      <c r="I267" s="31"/>
      <c r="J267" s="31"/>
      <c r="K267" s="31"/>
      <c r="L267" s="31"/>
      <c r="M267" s="31"/>
      <c r="N267" s="31"/>
    </row>
    <row r="268" spans="2:14" collapsed="1" x14ac:dyDescent="0.2"/>
    <row r="269" spans="2:14" ht="15.75" x14ac:dyDescent="0.2">
      <c r="C269" s="111" t="s">
        <v>905</v>
      </c>
      <c r="D269" s="111"/>
      <c r="E269" s="111"/>
      <c r="F269" s="126"/>
      <c r="G269" s="113"/>
      <c r="H269" s="113"/>
      <c r="I269" s="113"/>
      <c r="J269" s="113"/>
      <c r="K269" s="113"/>
      <c r="L269" s="113"/>
      <c r="M269" s="113"/>
      <c r="N269" s="113"/>
    </row>
    <row r="270" spans="2:14" ht="15.75" x14ac:dyDescent="0.2">
      <c r="C270" s="454"/>
      <c r="D270" s="454"/>
      <c r="E270" s="454"/>
      <c r="F270" s="455"/>
    </row>
    <row r="271" spans="2:14" x14ac:dyDescent="0.2">
      <c r="C271" t="s">
        <v>813</v>
      </c>
      <c r="F271" s="455"/>
    </row>
    <row r="272" spans="2:14" x14ac:dyDescent="0.2">
      <c r="F272" s="455"/>
      <c r="H272" s="625" t="str">
        <f>IF(S294&gt;0,"DPMA / DPMQ","")</f>
        <v/>
      </c>
      <c r="I272" s="625"/>
      <c r="J272" s="625"/>
    </row>
    <row r="273" spans="2:20" ht="25.5" x14ac:dyDescent="0.2">
      <c r="C273" s="596" t="s">
        <v>800</v>
      </c>
      <c r="D273" s="626"/>
      <c r="E273" s="627"/>
      <c r="F273" s="5" t="s">
        <v>109</v>
      </c>
      <c r="G273" s="5" t="s">
        <v>919</v>
      </c>
      <c r="H273" s="61" t="str">
        <f>IF(S294&gt;0,"Public","DPMA / DPMQ")</f>
        <v>DPMA / DPMQ</v>
      </c>
      <c r="I273" s="61" t="str">
        <f>IF(S294&gt;0,"Private","")</f>
        <v/>
      </c>
      <c r="J273" s="61" t="str">
        <f>IF(S294&gt;0,"Weighted","DPMA / DPMQ")</f>
        <v>DPMA / DPMQ</v>
      </c>
      <c r="K273" s="61" t="s">
        <v>743</v>
      </c>
      <c r="L273" s="61" t="s">
        <v>743</v>
      </c>
      <c r="M273" s="5" t="s">
        <v>418</v>
      </c>
      <c r="N273" s="5" t="s">
        <v>419</v>
      </c>
      <c r="P273" s="517" t="s">
        <v>1177</v>
      </c>
      <c r="Q273" s="517" t="s">
        <v>418</v>
      </c>
      <c r="R273" s="517" t="s">
        <v>419</v>
      </c>
    </row>
    <row r="274" spans="2:20" x14ac:dyDescent="0.2">
      <c r="B274" s="52">
        <v>1</v>
      </c>
      <c r="C274" s="622" t="str">
        <f t="shared" ref="C274:C293" si="125">INDEX(PBSScriptsNew,B274,1)</f>
        <v>** NOT USED **</v>
      </c>
      <c r="D274" s="623"/>
      <c r="E274" s="624"/>
      <c r="F274" s="243"/>
      <c r="G274" s="42"/>
      <c r="H274" s="243"/>
      <c r="I274" s="243"/>
      <c r="J274" s="244">
        <f>IF(AND(ISBLANK(H274),COUNT(I274)=1),I274,IF(AND(COUNT(H274)=1,ISBLANK(I274)),H274,IF(COUNT(H274:I274)=2,H274*S274+I274*T274,0)))</f>
        <v>0</v>
      </c>
      <c r="K274" s="368"/>
      <c r="L274" s="62" t="str">
        <f t="shared" ref="L274:L293" si="126">IF(AND(C274&lt;&gt;MsgNotUsed,ISERROR(P274)=FALSE),IF(K274&lt;&gt;"",K274,P274),"")</f>
        <v/>
      </c>
      <c r="M274" s="244">
        <f>IF(J274&gt;Q274,-Q274,-J274)</f>
        <v>0</v>
      </c>
      <c r="N274" s="244">
        <f>IF(J274&gt;R274,-R274,-J274)</f>
        <v>0</v>
      </c>
      <c r="P274" s="519" t="str">
        <f t="shared" ref="P274:P293" si="127">IF(C274&lt;&gt;MsgNotUsed,VLOOKUP(C274,CoPayBandLink,5,FALSE),"")</f>
        <v/>
      </c>
      <c r="Q274" s="516">
        <f t="shared" ref="Q274:Q293" si="128">IFERROR(INDEX(CoPayPBS,L274),0)</f>
        <v>0</v>
      </c>
      <c r="R274" s="516">
        <f t="shared" ref="R274:R293" si="129">IFERROR(INDEX(CoPayRPBS,L274),0)</f>
        <v>0</v>
      </c>
      <c r="S274" s="394">
        <f t="shared" ref="S274:S293" si="130">IFERROR(INDEX(ServiceSplitPublic,L274),0)</f>
        <v>0</v>
      </c>
      <c r="T274" s="394">
        <f t="shared" ref="T274:T293" si="131">IFERROR(INDEX(ServiceSplitPrivate,L274),0)</f>
        <v>0</v>
      </c>
    </row>
    <row r="275" spans="2:20" x14ac:dyDescent="0.2">
      <c r="B275" s="52">
        <v>2</v>
      </c>
      <c r="C275" s="622" t="str">
        <f t="shared" si="125"/>
        <v>** NOT USED **</v>
      </c>
      <c r="D275" s="623"/>
      <c r="E275" s="624"/>
      <c r="F275" s="243"/>
      <c r="G275" s="42"/>
      <c r="H275" s="243"/>
      <c r="I275" s="243"/>
      <c r="J275" s="244">
        <f t="shared" ref="J275:J293" si="132">IF(AND(ISBLANK(H275),COUNT(I275)=1),I275,IF(AND(COUNT(H275)=1,ISBLANK(I275)),H275,IF(COUNT(H275:I275)=2,H275*S275+I275*T275,0)))</f>
        <v>0</v>
      </c>
      <c r="K275" s="368"/>
      <c r="L275" s="62" t="str">
        <f t="shared" si="126"/>
        <v/>
      </c>
      <c r="M275" s="244">
        <f t="shared" ref="M275:M293" si="133">IF(J275&gt;Q275,-Q275,-J275)</f>
        <v>0</v>
      </c>
      <c r="N275" s="244">
        <f t="shared" ref="N275:N293" si="134">IF(J275&gt;R275,-R275,-J275)</f>
        <v>0</v>
      </c>
      <c r="P275" s="519" t="str">
        <f t="shared" si="127"/>
        <v/>
      </c>
      <c r="Q275" s="516">
        <f t="shared" si="128"/>
        <v>0</v>
      </c>
      <c r="R275" s="516">
        <f t="shared" si="129"/>
        <v>0</v>
      </c>
      <c r="S275" s="394">
        <f t="shared" si="130"/>
        <v>0</v>
      </c>
      <c r="T275" s="394">
        <f t="shared" si="131"/>
        <v>0</v>
      </c>
    </row>
    <row r="276" spans="2:20" x14ac:dyDescent="0.2">
      <c r="B276" s="52">
        <v>3</v>
      </c>
      <c r="C276" s="622" t="str">
        <f t="shared" si="125"/>
        <v>** NOT USED **</v>
      </c>
      <c r="D276" s="623"/>
      <c r="E276" s="624"/>
      <c r="F276" s="243"/>
      <c r="G276" s="42"/>
      <c r="H276" s="243"/>
      <c r="I276" s="243"/>
      <c r="J276" s="244">
        <f t="shared" si="132"/>
        <v>0</v>
      </c>
      <c r="K276" s="368"/>
      <c r="L276" s="62" t="str">
        <f t="shared" si="126"/>
        <v/>
      </c>
      <c r="M276" s="244">
        <f t="shared" si="133"/>
        <v>0</v>
      </c>
      <c r="N276" s="244">
        <f t="shared" si="134"/>
        <v>0</v>
      </c>
      <c r="P276" s="519" t="str">
        <f t="shared" si="127"/>
        <v/>
      </c>
      <c r="Q276" s="516">
        <f t="shared" si="128"/>
        <v>0</v>
      </c>
      <c r="R276" s="516">
        <f t="shared" si="129"/>
        <v>0</v>
      </c>
      <c r="S276" s="394">
        <f t="shared" si="130"/>
        <v>0</v>
      </c>
      <c r="T276" s="394">
        <f t="shared" si="131"/>
        <v>0</v>
      </c>
    </row>
    <row r="277" spans="2:20" x14ac:dyDescent="0.2">
      <c r="B277" s="52">
        <v>4</v>
      </c>
      <c r="C277" s="622" t="str">
        <f t="shared" si="125"/>
        <v>** NOT USED **</v>
      </c>
      <c r="D277" s="623"/>
      <c r="E277" s="624"/>
      <c r="F277" s="243"/>
      <c r="G277" s="42"/>
      <c r="H277" s="243"/>
      <c r="I277" s="243"/>
      <c r="J277" s="244">
        <f t="shared" si="132"/>
        <v>0</v>
      </c>
      <c r="K277" s="368"/>
      <c r="L277" s="62" t="str">
        <f t="shared" si="126"/>
        <v/>
      </c>
      <c r="M277" s="244">
        <f t="shared" si="133"/>
        <v>0</v>
      </c>
      <c r="N277" s="244">
        <f t="shared" si="134"/>
        <v>0</v>
      </c>
      <c r="P277" s="519" t="str">
        <f t="shared" si="127"/>
        <v/>
      </c>
      <c r="Q277" s="516">
        <f t="shared" si="128"/>
        <v>0</v>
      </c>
      <c r="R277" s="516">
        <f t="shared" si="129"/>
        <v>0</v>
      </c>
      <c r="S277" s="394">
        <f t="shared" si="130"/>
        <v>0</v>
      </c>
      <c r="T277" s="394">
        <f t="shared" si="131"/>
        <v>0</v>
      </c>
    </row>
    <row r="278" spans="2:20" x14ac:dyDescent="0.2">
      <c r="B278" s="52">
        <v>5</v>
      </c>
      <c r="C278" s="622" t="str">
        <f t="shared" si="125"/>
        <v>** NOT USED **</v>
      </c>
      <c r="D278" s="623"/>
      <c r="E278" s="624"/>
      <c r="F278" s="243"/>
      <c r="G278" s="42"/>
      <c r="H278" s="243"/>
      <c r="I278" s="243"/>
      <c r="J278" s="244">
        <f t="shared" si="132"/>
        <v>0</v>
      </c>
      <c r="K278" s="368"/>
      <c r="L278" s="62" t="str">
        <f t="shared" si="126"/>
        <v/>
      </c>
      <c r="M278" s="244">
        <f t="shared" si="133"/>
        <v>0</v>
      </c>
      <c r="N278" s="244">
        <f t="shared" si="134"/>
        <v>0</v>
      </c>
      <c r="P278" s="519" t="str">
        <f t="shared" si="127"/>
        <v/>
      </c>
      <c r="Q278" s="516">
        <f t="shared" si="128"/>
        <v>0</v>
      </c>
      <c r="R278" s="516">
        <f t="shared" si="129"/>
        <v>0</v>
      </c>
      <c r="S278" s="394">
        <f t="shared" si="130"/>
        <v>0</v>
      </c>
      <c r="T278" s="394">
        <f t="shared" si="131"/>
        <v>0</v>
      </c>
    </row>
    <row r="279" spans="2:20" x14ac:dyDescent="0.2">
      <c r="B279" s="52">
        <v>6</v>
      </c>
      <c r="C279" s="622" t="str">
        <f t="shared" si="125"/>
        <v>** NOT USED **</v>
      </c>
      <c r="D279" s="623"/>
      <c r="E279" s="624"/>
      <c r="F279" s="243"/>
      <c r="G279" s="42"/>
      <c r="H279" s="243"/>
      <c r="I279" s="243"/>
      <c r="J279" s="244">
        <f t="shared" si="132"/>
        <v>0</v>
      </c>
      <c r="K279" s="368"/>
      <c r="L279" s="62" t="str">
        <f t="shared" si="126"/>
        <v/>
      </c>
      <c r="M279" s="244">
        <f t="shared" si="133"/>
        <v>0</v>
      </c>
      <c r="N279" s="244">
        <f t="shared" si="134"/>
        <v>0</v>
      </c>
      <c r="P279" s="519" t="str">
        <f t="shared" si="127"/>
        <v/>
      </c>
      <c r="Q279" s="516">
        <f t="shared" si="128"/>
        <v>0</v>
      </c>
      <c r="R279" s="516">
        <f t="shared" si="129"/>
        <v>0</v>
      </c>
      <c r="S279" s="394">
        <f t="shared" si="130"/>
        <v>0</v>
      </c>
      <c r="T279" s="394">
        <f t="shared" si="131"/>
        <v>0</v>
      </c>
    </row>
    <row r="280" spans="2:20" x14ac:dyDescent="0.2">
      <c r="B280" s="52">
        <v>7</v>
      </c>
      <c r="C280" s="622" t="str">
        <f t="shared" si="125"/>
        <v>** NOT USED **</v>
      </c>
      <c r="D280" s="623"/>
      <c r="E280" s="624"/>
      <c r="F280" s="243"/>
      <c r="G280" s="42"/>
      <c r="H280" s="243"/>
      <c r="I280" s="243"/>
      <c r="J280" s="244">
        <f t="shared" si="132"/>
        <v>0</v>
      </c>
      <c r="K280" s="368"/>
      <c r="L280" s="62" t="str">
        <f t="shared" si="126"/>
        <v/>
      </c>
      <c r="M280" s="244">
        <f t="shared" si="133"/>
        <v>0</v>
      </c>
      <c r="N280" s="244">
        <f t="shared" si="134"/>
        <v>0</v>
      </c>
      <c r="P280" s="519" t="str">
        <f t="shared" si="127"/>
        <v/>
      </c>
      <c r="Q280" s="516">
        <f t="shared" si="128"/>
        <v>0</v>
      </c>
      <c r="R280" s="516">
        <f t="shared" si="129"/>
        <v>0</v>
      </c>
      <c r="S280" s="394">
        <f t="shared" si="130"/>
        <v>0</v>
      </c>
      <c r="T280" s="394">
        <f t="shared" si="131"/>
        <v>0</v>
      </c>
    </row>
    <row r="281" spans="2:20" x14ac:dyDescent="0.2">
      <c r="B281" s="52">
        <v>8</v>
      </c>
      <c r="C281" s="622" t="str">
        <f t="shared" si="125"/>
        <v>** NOT USED **</v>
      </c>
      <c r="D281" s="623"/>
      <c r="E281" s="624"/>
      <c r="F281" s="243"/>
      <c r="G281" s="42"/>
      <c r="H281" s="243"/>
      <c r="I281" s="243"/>
      <c r="J281" s="244">
        <f t="shared" si="132"/>
        <v>0</v>
      </c>
      <c r="K281" s="368"/>
      <c r="L281" s="62" t="str">
        <f t="shared" si="126"/>
        <v/>
      </c>
      <c r="M281" s="244">
        <f t="shared" si="133"/>
        <v>0</v>
      </c>
      <c r="N281" s="244">
        <f t="shared" si="134"/>
        <v>0</v>
      </c>
      <c r="P281" s="519" t="str">
        <f t="shared" si="127"/>
        <v/>
      </c>
      <c r="Q281" s="516">
        <f t="shared" si="128"/>
        <v>0</v>
      </c>
      <c r="R281" s="516">
        <f t="shared" si="129"/>
        <v>0</v>
      </c>
      <c r="S281" s="394">
        <f t="shared" si="130"/>
        <v>0</v>
      </c>
      <c r="T281" s="394">
        <f t="shared" si="131"/>
        <v>0</v>
      </c>
    </row>
    <row r="282" spans="2:20" x14ac:dyDescent="0.2">
      <c r="B282" s="52">
        <v>9</v>
      </c>
      <c r="C282" s="622" t="str">
        <f t="shared" si="125"/>
        <v>** NOT USED **</v>
      </c>
      <c r="D282" s="623"/>
      <c r="E282" s="624"/>
      <c r="F282" s="243"/>
      <c r="G282" s="42"/>
      <c r="H282" s="243"/>
      <c r="I282" s="243"/>
      <c r="J282" s="244">
        <f t="shared" si="132"/>
        <v>0</v>
      </c>
      <c r="K282" s="368"/>
      <c r="L282" s="62" t="str">
        <f t="shared" si="126"/>
        <v/>
      </c>
      <c r="M282" s="244">
        <f t="shared" si="133"/>
        <v>0</v>
      </c>
      <c r="N282" s="244">
        <f t="shared" si="134"/>
        <v>0</v>
      </c>
      <c r="P282" s="519" t="str">
        <f t="shared" si="127"/>
        <v/>
      </c>
      <c r="Q282" s="516">
        <f t="shared" si="128"/>
        <v>0</v>
      </c>
      <c r="R282" s="516">
        <f t="shared" si="129"/>
        <v>0</v>
      </c>
      <c r="S282" s="394">
        <f t="shared" si="130"/>
        <v>0</v>
      </c>
      <c r="T282" s="394">
        <f t="shared" si="131"/>
        <v>0</v>
      </c>
    </row>
    <row r="283" spans="2:20" x14ac:dyDescent="0.2">
      <c r="B283" s="52">
        <v>10</v>
      </c>
      <c r="C283" s="622" t="str">
        <f t="shared" si="125"/>
        <v>** NOT USED **</v>
      </c>
      <c r="D283" s="623"/>
      <c r="E283" s="624"/>
      <c r="F283" s="243"/>
      <c r="G283" s="42"/>
      <c r="H283" s="243"/>
      <c r="I283" s="243"/>
      <c r="J283" s="244">
        <f t="shared" si="132"/>
        <v>0</v>
      </c>
      <c r="K283" s="368"/>
      <c r="L283" s="62" t="str">
        <f t="shared" si="126"/>
        <v/>
      </c>
      <c r="M283" s="244">
        <f t="shared" si="133"/>
        <v>0</v>
      </c>
      <c r="N283" s="244">
        <f t="shared" si="134"/>
        <v>0</v>
      </c>
      <c r="P283" s="519" t="str">
        <f t="shared" si="127"/>
        <v/>
      </c>
      <c r="Q283" s="516">
        <f t="shared" si="128"/>
        <v>0</v>
      </c>
      <c r="R283" s="516">
        <f t="shared" si="129"/>
        <v>0</v>
      </c>
      <c r="S283" s="394">
        <f t="shared" si="130"/>
        <v>0</v>
      </c>
      <c r="T283" s="394">
        <f t="shared" si="131"/>
        <v>0</v>
      </c>
    </row>
    <row r="284" spans="2:20" x14ac:dyDescent="0.2">
      <c r="B284" s="52">
        <v>11</v>
      </c>
      <c r="C284" s="622" t="str">
        <f t="shared" si="125"/>
        <v>** NOT USED **</v>
      </c>
      <c r="D284" s="623"/>
      <c r="E284" s="624"/>
      <c r="F284" s="243"/>
      <c r="G284" s="42"/>
      <c r="H284" s="243"/>
      <c r="I284" s="243"/>
      <c r="J284" s="244">
        <f t="shared" si="132"/>
        <v>0</v>
      </c>
      <c r="K284" s="368"/>
      <c r="L284" s="62" t="str">
        <f t="shared" si="126"/>
        <v/>
      </c>
      <c r="M284" s="244">
        <f t="shared" si="133"/>
        <v>0</v>
      </c>
      <c r="N284" s="244">
        <f t="shared" si="134"/>
        <v>0</v>
      </c>
      <c r="P284" s="519" t="str">
        <f t="shared" si="127"/>
        <v/>
      </c>
      <c r="Q284" s="516">
        <f t="shared" si="128"/>
        <v>0</v>
      </c>
      <c r="R284" s="516">
        <f t="shared" si="129"/>
        <v>0</v>
      </c>
      <c r="S284" s="394">
        <f t="shared" si="130"/>
        <v>0</v>
      </c>
      <c r="T284" s="394">
        <f t="shared" si="131"/>
        <v>0</v>
      </c>
    </row>
    <row r="285" spans="2:20" x14ac:dyDescent="0.2">
      <c r="B285" s="52">
        <v>12</v>
      </c>
      <c r="C285" s="622" t="str">
        <f t="shared" si="125"/>
        <v>** NOT USED **</v>
      </c>
      <c r="D285" s="623"/>
      <c r="E285" s="624"/>
      <c r="F285" s="243"/>
      <c r="G285" s="42"/>
      <c r="H285" s="243"/>
      <c r="I285" s="243"/>
      <c r="J285" s="244">
        <f t="shared" si="132"/>
        <v>0</v>
      </c>
      <c r="K285" s="368"/>
      <c r="L285" s="62" t="str">
        <f t="shared" si="126"/>
        <v/>
      </c>
      <c r="M285" s="244">
        <f t="shared" si="133"/>
        <v>0</v>
      </c>
      <c r="N285" s="244">
        <f t="shared" si="134"/>
        <v>0</v>
      </c>
      <c r="P285" s="519" t="str">
        <f t="shared" si="127"/>
        <v/>
      </c>
      <c r="Q285" s="516">
        <f t="shared" si="128"/>
        <v>0</v>
      </c>
      <c r="R285" s="516">
        <f t="shared" si="129"/>
        <v>0</v>
      </c>
      <c r="S285" s="394">
        <f t="shared" si="130"/>
        <v>0</v>
      </c>
      <c r="T285" s="394">
        <f t="shared" si="131"/>
        <v>0</v>
      </c>
    </row>
    <row r="286" spans="2:20" x14ac:dyDescent="0.2">
      <c r="B286" s="52">
        <v>13</v>
      </c>
      <c r="C286" s="622" t="str">
        <f t="shared" si="125"/>
        <v>** NOT USED **</v>
      </c>
      <c r="D286" s="623"/>
      <c r="E286" s="624"/>
      <c r="F286" s="243"/>
      <c r="G286" s="42"/>
      <c r="H286" s="243"/>
      <c r="I286" s="243"/>
      <c r="J286" s="244">
        <f t="shared" si="132"/>
        <v>0</v>
      </c>
      <c r="K286" s="368"/>
      <c r="L286" s="62" t="str">
        <f t="shared" si="126"/>
        <v/>
      </c>
      <c r="M286" s="244">
        <f t="shared" si="133"/>
        <v>0</v>
      </c>
      <c r="N286" s="244">
        <f t="shared" si="134"/>
        <v>0</v>
      </c>
      <c r="P286" s="519" t="str">
        <f t="shared" si="127"/>
        <v/>
      </c>
      <c r="Q286" s="516">
        <f t="shared" si="128"/>
        <v>0</v>
      </c>
      <c r="R286" s="516">
        <f t="shared" si="129"/>
        <v>0</v>
      </c>
      <c r="S286" s="394">
        <f t="shared" si="130"/>
        <v>0</v>
      </c>
      <c r="T286" s="394">
        <f t="shared" si="131"/>
        <v>0</v>
      </c>
    </row>
    <row r="287" spans="2:20" x14ac:dyDescent="0.2">
      <c r="B287" s="52">
        <v>14</v>
      </c>
      <c r="C287" s="622" t="str">
        <f t="shared" si="125"/>
        <v>** NOT USED **</v>
      </c>
      <c r="D287" s="623"/>
      <c r="E287" s="624"/>
      <c r="F287" s="243"/>
      <c r="G287" s="42"/>
      <c r="H287" s="243"/>
      <c r="I287" s="243"/>
      <c r="J287" s="244">
        <f t="shared" si="132"/>
        <v>0</v>
      </c>
      <c r="K287" s="368"/>
      <c r="L287" s="62" t="str">
        <f t="shared" si="126"/>
        <v/>
      </c>
      <c r="M287" s="244">
        <f t="shared" si="133"/>
        <v>0</v>
      </c>
      <c r="N287" s="244">
        <f t="shared" si="134"/>
        <v>0</v>
      </c>
      <c r="P287" s="519" t="str">
        <f t="shared" si="127"/>
        <v/>
      </c>
      <c r="Q287" s="516">
        <f t="shared" si="128"/>
        <v>0</v>
      </c>
      <c r="R287" s="516">
        <f t="shared" si="129"/>
        <v>0</v>
      </c>
      <c r="S287" s="394">
        <f t="shared" si="130"/>
        <v>0</v>
      </c>
      <c r="T287" s="394">
        <f t="shared" si="131"/>
        <v>0</v>
      </c>
    </row>
    <row r="288" spans="2:20" x14ac:dyDescent="0.2">
      <c r="B288" s="52">
        <v>15</v>
      </c>
      <c r="C288" s="622" t="str">
        <f t="shared" si="125"/>
        <v>** NOT USED **</v>
      </c>
      <c r="D288" s="623"/>
      <c r="E288" s="624"/>
      <c r="F288" s="243"/>
      <c r="G288" s="42"/>
      <c r="H288" s="243"/>
      <c r="I288" s="243"/>
      <c r="J288" s="244">
        <f t="shared" si="132"/>
        <v>0</v>
      </c>
      <c r="K288" s="368"/>
      <c r="L288" s="62" t="str">
        <f t="shared" si="126"/>
        <v/>
      </c>
      <c r="M288" s="244">
        <f t="shared" si="133"/>
        <v>0</v>
      </c>
      <c r="N288" s="244">
        <f t="shared" si="134"/>
        <v>0</v>
      </c>
      <c r="P288" s="519" t="str">
        <f t="shared" si="127"/>
        <v/>
      </c>
      <c r="Q288" s="516">
        <f t="shared" si="128"/>
        <v>0</v>
      </c>
      <c r="R288" s="516">
        <f t="shared" si="129"/>
        <v>0</v>
      </c>
      <c r="S288" s="394">
        <f t="shared" si="130"/>
        <v>0</v>
      </c>
      <c r="T288" s="394">
        <f t="shared" si="131"/>
        <v>0</v>
      </c>
    </row>
    <row r="289" spans="2:20" x14ac:dyDescent="0.2">
      <c r="B289" s="52">
        <v>16</v>
      </c>
      <c r="C289" s="622" t="str">
        <f t="shared" si="125"/>
        <v>** NOT USED **</v>
      </c>
      <c r="D289" s="623"/>
      <c r="E289" s="624"/>
      <c r="F289" s="243"/>
      <c r="G289" s="42"/>
      <c r="H289" s="243"/>
      <c r="I289" s="243"/>
      <c r="J289" s="244">
        <f t="shared" si="132"/>
        <v>0</v>
      </c>
      <c r="K289" s="368"/>
      <c r="L289" s="62" t="str">
        <f t="shared" si="126"/>
        <v/>
      </c>
      <c r="M289" s="244">
        <f t="shared" si="133"/>
        <v>0</v>
      </c>
      <c r="N289" s="244">
        <f t="shared" si="134"/>
        <v>0</v>
      </c>
      <c r="P289" s="519" t="str">
        <f t="shared" si="127"/>
        <v/>
      </c>
      <c r="Q289" s="516">
        <f t="shared" si="128"/>
        <v>0</v>
      </c>
      <c r="R289" s="516">
        <f t="shared" si="129"/>
        <v>0</v>
      </c>
      <c r="S289" s="394">
        <f t="shared" si="130"/>
        <v>0</v>
      </c>
      <c r="T289" s="394">
        <f t="shared" si="131"/>
        <v>0</v>
      </c>
    </row>
    <row r="290" spans="2:20" x14ac:dyDescent="0.2">
      <c r="B290" s="52">
        <v>17</v>
      </c>
      <c r="C290" s="622" t="str">
        <f t="shared" si="125"/>
        <v>** NOT USED **</v>
      </c>
      <c r="D290" s="623"/>
      <c r="E290" s="624"/>
      <c r="F290" s="243"/>
      <c r="G290" s="42"/>
      <c r="H290" s="243"/>
      <c r="I290" s="243"/>
      <c r="J290" s="244">
        <f t="shared" si="132"/>
        <v>0</v>
      </c>
      <c r="K290" s="368"/>
      <c r="L290" s="62" t="str">
        <f t="shared" si="126"/>
        <v/>
      </c>
      <c r="M290" s="244">
        <f t="shared" si="133"/>
        <v>0</v>
      </c>
      <c r="N290" s="244">
        <f t="shared" si="134"/>
        <v>0</v>
      </c>
      <c r="P290" s="519" t="str">
        <f t="shared" si="127"/>
        <v/>
      </c>
      <c r="Q290" s="516">
        <f t="shared" si="128"/>
        <v>0</v>
      </c>
      <c r="R290" s="516">
        <f t="shared" si="129"/>
        <v>0</v>
      </c>
      <c r="S290" s="394">
        <f t="shared" si="130"/>
        <v>0</v>
      </c>
      <c r="T290" s="394">
        <f t="shared" si="131"/>
        <v>0</v>
      </c>
    </row>
    <row r="291" spans="2:20" x14ac:dyDescent="0.2">
      <c r="B291" s="52">
        <v>18</v>
      </c>
      <c r="C291" s="622" t="str">
        <f t="shared" si="125"/>
        <v>** NOT USED **</v>
      </c>
      <c r="D291" s="623"/>
      <c r="E291" s="624"/>
      <c r="F291" s="243"/>
      <c r="G291" s="42"/>
      <c r="H291" s="243"/>
      <c r="I291" s="243"/>
      <c r="J291" s="244">
        <f t="shared" si="132"/>
        <v>0</v>
      </c>
      <c r="K291" s="368"/>
      <c r="L291" s="62" t="str">
        <f t="shared" si="126"/>
        <v/>
      </c>
      <c r="M291" s="244">
        <f t="shared" si="133"/>
        <v>0</v>
      </c>
      <c r="N291" s="244">
        <f t="shared" si="134"/>
        <v>0</v>
      </c>
      <c r="P291" s="519" t="str">
        <f t="shared" si="127"/>
        <v/>
      </c>
      <c r="Q291" s="516">
        <f t="shared" si="128"/>
        <v>0</v>
      </c>
      <c r="R291" s="516">
        <f t="shared" si="129"/>
        <v>0</v>
      </c>
      <c r="S291" s="394">
        <f t="shared" si="130"/>
        <v>0</v>
      </c>
      <c r="T291" s="394">
        <f t="shared" si="131"/>
        <v>0</v>
      </c>
    </row>
    <row r="292" spans="2:20" x14ac:dyDescent="0.2">
      <c r="B292" s="52">
        <v>19</v>
      </c>
      <c r="C292" s="622" t="str">
        <f t="shared" si="125"/>
        <v>** NOT USED **</v>
      </c>
      <c r="D292" s="623"/>
      <c r="E292" s="624"/>
      <c r="F292" s="243"/>
      <c r="G292" s="42"/>
      <c r="H292" s="243"/>
      <c r="I292" s="243"/>
      <c r="J292" s="244">
        <f t="shared" si="132"/>
        <v>0</v>
      </c>
      <c r="K292" s="368"/>
      <c r="L292" s="62" t="str">
        <f t="shared" si="126"/>
        <v/>
      </c>
      <c r="M292" s="244">
        <f t="shared" si="133"/>
        <v>0</v>
      </c>
      <c r="N292" s="244">
        <f t="shared" si="134"/>
        <v>0</v>
      </c>
      <c r="P292" s="519" t="str">
        <f t="shared" si="127"/>
        <v/>
      </c>
      <c r="Q292" s="516">
        <f t="shared" si="128"/>
        <v>0</v>
      </c>
      <c r="R292" s="516">
        <f t="shared" si="129"/>
        <v>0</v>
      </c>
      <c r="S292" s="394">
        <f t="shared" si="130"/>
        <v>0</v>
      </c>
      <c r="T292" s="394">
        <f t="shared" si="131"/>
        <v>0</v>
      </c>
    </row>
    <row r="293" spans="2:20" x14ac:dyDescent="0.2">
      <c r="B293" s="52">
        <v>20</v>
      </c>
      <c r="C293" s="622" t="str">
        <f t="shared" si="125"/>
        <v>** NOT USED **</v>
      </c>
      <c r="D293" s="623"/>
      <c r="E293" s="624"/>
      <c r="F293" s="243"/>
      <c r="G293" s="42"/>
      <c r="H293" s="243"/>
      <c r="I293" s="243"/>
      <c r="J293" s="244">
        <f t="shared" si="132"/>
        <v>0</v>
      </c>
      <c r="K293" s="368"/>
      <c r="L293" s="62" t="str">
        <f t="shared" si="126"/>
        <v/>
      </c>
      <c r="M293" s="244">
        <f t="shared" si="133"/>
        <v>0</v>
      </c>
      <c r="N293" s="244">
        <f t="shared" si="134"/>
        <v>0</v>
      </c>
      <c r="P293" s="519" t="str">
        <f t="shared" si="127"/>
        <v/>
      </c>
      <c r="Q293" s="516">
        <f t="shared" si="128"/>
        <v>0</v>
      </c>
      <c r="R293" s="516">
        <f t="shared" si="129"/>
        <v>0</v>
      </c>
      <c r="S293" s="394">
        <f t="shared" si="130"/>
        <v>0</v>
      </c>
      <c r="T293" s="394">
        <f t="shared" si="131"/>
        <v>0</v>
      </c>
    </row>
    <row r="294" spans="2:20" x14ac:dyDescent="0.2">
      <c r="S294" s="518">
        <f>SUM(S274:S293)</f>
        <v>0</v>
      </c>
    </row>
    <row r="295" spans="2:20" x14ac:dyDescent="0.2">
      <c r="F295" s="455"/>
    </row>
    <row r="296" spans="2:20" ht="15.75" x14ac:dyDescent="0.2">
      <c r="C296" s="111" t="s">
        <v>851</v>
      </c>
      <c r="D296" s="111"/>
      <c r="E296" s="111"/>
      <c r="F296" s="137"/>
      <c r="G296" s="112"/>
      <c r="H296" s="112"/>
      <c r="I296" s="112"/>
      <c r="J296" s="112"/>
      <c r="K296" s="112"/>
      <c r="L296" s="112"/>
      <c r="M296" s="113"/>
      <c r="N296" s="113"/>
    </row>
    <row r="297" spans="2:20" x14ac:dyDescent="0.2">
      <c r="C297" s="484"/>
      <c r="D297" s="484"/>
      <c r="E297" s="484"/>
      <c r="F297" s="484"/>
      <c r="G297" s="484"/>
      <c r="H297" s="484"/>
      <c r="I297" s="484"/>
      <c r="J297" s="484"/>
      <c r="K297" s="484"/>
      <c r="L297" s="484"/>
      <c r="M297" s="484"/>
      <c r="N297" s="484"/>
    </row>
    <row r="298" spans="2:20" x14ac:dyDescent="0.2">
      <c r="C298" s="484" t="s">
        <v>861</v>
      </c>
      <c r="D298" s="484"/>
      <c r="E298" s="484"/>
      <c r="F298" s="484"/>
      <c r="G298" s="484"/>
      <c r="H298" s="484"/>
      <c r="I298" s="484"/>
      <c r="J298" s="484"/>
      <c r="K298" s="484"/>
      <c r="L298" s="484"/>
      <c r="M298" s="484"/>
      <c r="N298" s="484"/>
    </row>
  </sheetData>
  <mergeCells count="63">
    <mergeCell ref="L1:N1"/>
    <mergeCell ref="K128:M128"/>
    <mergeCell ref="K32:M32"/>
    <mergeCell ref="K56:M56"/>
    <mergeCell ref="K68:M68"/>
    <mergeCell ref="K44:M44"/>
    <mergeCell ref="L28:M28"/>
    <mergeCell ref="L40:M40"/>
    <mergeCell ref="L52:M52"/>
    <mergeCell ref="L64:M64"/>
    <mergeCell ref="L76:M76"/>
    <mergeCell ref="C273:E273"/>
    <mergeCell ref="C274:E274"/>
    <mergeCell ref="C275:E275"/>
    <mergeCell ref="C276:E276"/>
    <mergeCell ref="C278:E278"/>
    <mergeCell ref="H272:J272"/>
    <mergeCell ref="K140:M140"/>
    <mergeCell ref="K80:M80"/>
    <mergeCell ref="K92:M92"/>
    <mergeCell ref="K104:M104"/>
    <mergeCell ref="K116:M116"/>
    <mergeCell ref="L88:M88"/>
    <mergeCell ref="L100:M100"/>
    <mergeCell ref="L112:M112"/>
    <mergeCell ref="L124:M124"/>
    <mergeCell ref="L136:M136"/>
    <mergeCell ref="L148:M148"/>
    <mergeCell ref="L160:M160"/>
    <mergeCell ref="L172:M172"/>
    <mergeCell ref="L184:M184"/>
    <mergeCell ref="L196:M196"/>
    <mergeCell ref="C285:E285"/>
    <mergeCell ref="C286:E286"/>
    <mergeCell ref="C287:E287"/>
    <mergeCell ref="C283:E283"/>
    <mergeCell ref="C277:E277"/>
    <mergeCell ref="C279:E279"/>
    <mergeCell ref="C280:E280"/>
    <mergeCell ref="C281:E281"/>
    <mergeCell ref="C282:E282"/>
    <mergeCell ref="C284:E284"/>
    <mergeCell ref="C293:E293"/>
    <mergeCell ref="K152:M152"/>
    <mergeCell ref="K164:M164"/>
    <mergeCell ref="K176:M176"/>
    <mergeCell ref="K188:M188"/>
    <mergeCell ref="K200:M200"/>
    <mergeCell ref="K212:M212"/>
    <mergeCell ref="K224:M224"/>
    <mergeCell ref="K236:M236"/>
    <mergeCell ref="K248:M248"/>
    <mergeCell ref="K260:M260"/>
    <mergeCell ref="C288:E288"/>
    <mergeCell ref="C289:E289"/>
    <mergeCell ref="C290:E290"/>
    <mergeCell ref="C291:E291"/>
    <mergeCell ref="C292:E292"/>
    <mergeCell ref="L208:M208"/>
    <mergeCell ref="L220:M220"/>
    <mergeCell ref="L232:M232"/>
    <mergeCell ref="L244:M244"/>
    <mergeCell ref="L256:M256"/>
  </mergeCells>
  <conditionalFormatting sqref="F274:I293">
    <cfRule type="expression" dxfId="159" priority="44">
      <formula>$C274=MsgNotUsed</formula>
    </cfRule>
  </conditionalFormatting>
  <conditionalFormatting sqref="H272:J272">
    <cfRule type="notContainsBlanks" dxfId="158" priority="248">
      <formula>LEN(TRIM(H272))&gt;0</formula>
    </cfRule>
  </conditionalFormatting>
  <conditionalFormatting sqref="I273">
    <cfRule type="expression" dxfId="157" priority="46">
      <formula>$S$294=0</formula>
    </cfRule>
  </conditionalFormatting>
  <conditionalFormatting sqref="I274:I293">
    <cfRule type="expression" dxfId="156" priority="1">
      <formula>$S274=0</formula>
    </cfRule>
  </conditionalFormatting>
  <conditionalFormatting sqref="K32:N32">
    <cfRule type="notContainsBlanks" dxfId="155" priority="23">
      <formula>LEN(TRIM(K32))&gt;0</formula>
    </cfRule>
  </conditionalFormatting>
  <conditionalFormatting sqref="K44:N44">
    <cfRule type="notContainsBlanks" dxfId="154" priority="22">
      <formula>LEN(TRIM(K44))&gt;0</formula>
    </cfRule>
  </conditionalFormatting>
  <conditionalFormatting sqref="K56:N56">
    <cfRule type="notContainsBlanks" dxfId="153" priority="21">
      <formula>LEN(TRIM(K56))&gt;0</formula>
    </cfRule>
  </conditionalFormatting>
  <conditionalFormatting sqref="K68:N68">
    <cfRule type="notContainsBlanks" dxfId="152" priority="20">
      <formula>LEN(TRIM(K68))&gt;0</formula>
    </cfRule>
  </conditionalFormatting>
  <conditionalFormatting sqref="K80:N80">
    <cfRule type="notContainsBlanks" dxfId="151" priority="19">
      <formula>LEN(TRIM(K80))&gt;0</formula>
    </cfRule>
  </conditionalFormatting>
  <conditionalFormatting sqref="K92:N92">
    <cfRule type="notContainsBlanks" dxfId="150" priority="18">
      <formula>LEN(TRIM(K92))&gt;0</formula>
    </cfRule>
  </conditionalFormatting>
  <conditionalFormatting sqref="K104:N104">
    <cfRule type="notContainsBlanks" dxfId="149" priority="17">
      <formula>LEN(TRIM(K104))&gt;0</formula>
    </cfRule>
  </conditionalFormatting>
  <conditionalFormatting sqref="K116:N116">
    <cfRule type="notContainsBlanks" dxfId="148" priority="16">
      <formula>LEN(TRIM(K116))&gt;0</formula>
    </cfRule>
  </conditionalFormatting>
  <conditionalFormatting sqref="K128:N128">
    <cfRule type="notContainsBlanks" dxfId="147" priority="15">
      <formula>LEN(TRIM(K128))&gt;0</formula>
    </cfRule>
  </conditionalFormatting>
  <conditionalFormatting sqref="K140:N140">
    <cfRule type="notContainsBlanks" dxfId="146" priority="14">
      <formula>LEN(TRIM(K140))&gt;0</formula>
    </cfRule>
  </conditionalFormatting>
  <conditionalFormatting sqref="K152:N152">
    <cfRule type="notContainsBlanks" dxfId="145" priority="13">
      <formula>LEN(TRIM(K152))&gt;0</formula>
    </cfRule>
  </conditionalFormatting>
  <conditionalFormatting sqref="K164:N164">
    <cfRule type="notContainsBlanks" dxfId="144" priority="12">
      <formula>LEN(TRIM(K164))&gt;0</formula>
    </cfRule>
  </conditionalFormatting>
  <conditionalFormatting sqref="K176:N176">
    <cfRule type="notContainsBlanks" dxfId="143" priority="11">
      <formula>LEN(TRIM(K176))&gt;0</formula>
    </cfRule>
  </conditionalFormatting>
  <conditionalFormatting sqref="K188:N188">
    <cfRule type="notContainsBlanks" dxfId="142" priority="10">
      <formula>LEN(TRIM(K188))&gt;0</formula>
    </cfRule>
  </conditionalFormatting>
  <conditionalFormatting sqref="K200:N200">
    <cfRule type="notContainsBlanks" dxfId="141" priority="9">
      <formula>LEN(TRIM(K200))&gt;0</formula>
    </cfRule>
  </conditionalFormatting>
  <conditionalFormatting sqref="K212:N212">
    <cfRule type="notContainsBlanks" dxfId="140" priority="8">
      <formula>LEN(TRIM(K212))&gt;0</formula>
    </cfRule>
  </conditionalFormatting>
  <conditionalFormatting sqref="K224:N224">
    <cfRule type="notContainsBlanks" dxfId="139" priority="7">
      <formula>LEN(TRIM(K224))&gt;0</formula>
    </cfRule>
  </conditionalFormatting>
  <conditionalFormatting sqref="K236:N236">
    <cfRule type="notContainsBlanks" dxfId="138" priority="6">
      <formula>LEN(TRIM(K236))&gt;0</formula>
    </cfRule>
  </conditionalFormatting>
  <conditionalFormatting sqref="K248:N248">
    <cfRule type="notContainsBlanks" dxfId="137" priority="5">
      <formula>LEN(TRIM(K248))&gt;0</formula>
    </cfRule>
  </conditionalFormatting>
  <conditionalFormatting sqref="K260:N260">
    <cfRule type="notContainsBlanks" dxfId="136" priority="4">
      <formula>LEN(TRIM(K260))&gt;0</formula>
    </cfRule>
  </conditionalFormatting>
  <dataValidations count="2">
    <dataValidation allowBlank="1" showErrorMessage="1" sqref="D67:I69 D31:I34 D132:I134 D264:I266 D60:I62 D139:I141 D72:I74 D48:I50 D127:I129 D79:I81 D84:I86 D103:I105 D91:I93 D96:I98 D108:I110 D115:I117 D120:I122 D15:I17 D55:I57 D36:I38 F58:I58 D43:I45 D259:I261 J58:N62 D144:I146 D151:I153 D156:I158 D163:I165 D168:I170 D175:I177 D180:I182 D187:I189 D192:I194 D199:I201 D204:I206 D211:I213 D216:I218 D223:I225 D228:I230 D235:I237 D240:I242 D247:I249 D252:I254 D20:I22 D24:I24" xr:uid="{00000000-0002-0000-0800-000000000000}"/>
    <dataValidation type="list" allowBlank="1" showInputMessage="1" showErrorMessage="1" sqref="K274:K293" xr:uid="{00000000-0002-0000-0800-000001000000}">
      <formula1>CoPayBands</formula1>
    </dataValidation>
  </dataValidations>
  <pageMargins left="0.11811023622047245" right="0.11811023622047245" top="0.19685039370078741" bottom="0.15748031496062992" header="0.31496062992125984" footer="0.31496062992125984"/>
  <pageSetup paperSize="9" scale="47" orientation="landscape" horizontalDpi="300" verticalDpi="300" r:id="rId1"/>
  <headerFooter>
    <oddHeader>&amp;C&amp;"Calibri"&amp;12&amp;KFF0000 OFFICIAL&amp;1#_x000D_</oddHeader>
    <oddFooter>&amp;C_x000D_&amp;1#&amp;"Calibri"&amp;12&amp;KFF0000 OFFICIAL</oddFooter>
  </headerFooter>
  <ignoredErrors>
    <ignoredError sqref="J274:J293" formulaRange="1"/>
  </ignoredError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24</vt:i4>
      </vt:variant>
      <vt:variant>
        <vt:lpstr>Named Ranges</vt:lpstr>
      </vt:variant>
      <vt:variant>
        <vt:i4>187</vt:i4>
      </vt:variant>
    </vt:vector>
  </HeadingPairs>
  <TitlesOfParts>
    <vt:vector size="211" baseType="lpstr">
      <vt:lpstr>0. Title</vt:lpstr>
      <vt:lpstr>1. Overview</vt:lpstr>
      <vt:lpstr>2a. Patients - incident</vt:lpstr>
      <vt:lpstr>2b. Patients - prevalent</vt:lpstr>
      <vt:lpstr>2c. Patients - GF</vt:lpstr>
      <vt:lpstr>2d. Patients - DTG</vt:lpstr>
      <vt:lpstr>2e. Scripts - market</vt:lpstr>
      <vt:lpstr>3a. Scripts - proposed</vt:lpstr>
      <vt:lpstr>3b. Impact - proposed (pub)</vt:lpstr>
      <vt:lpstr>3c. Impact - proposed (eff)</vt:lpstr>
      <vt:lpstr>4a. Scripts - affected</vt:lpstr>
      <vt:lpstr>4b. Impact - affected (pub)</vt:lpstr>
      <vt:lpstr>4c. Impact - affected (eff)</vt:lpstr>
      <vt:lpstr>5. Impact - net</vt:lpstr>
      <vt:lpstr>6. Net changes - SA</vt:lpstr>
      <vt:lpstr>7. Net changes - MBS</vt:lpstr>
      <vt:lpstr>8. ABS population</vt:lpstr>
      <vt:lpstr>9. AIHW population</vt:lpstr>
      <vt:lpstr>10. Registry population</vt:lpstr>
      <vt:lpstr>11. Persistent population</vt:lpstr>
      <vt:lpstr>12. Copies of data -&gt;</vt:lpstr>
      <vt:lpstr>Template</vt:lpstr>
      <vt:lpstr>References</vt:lpstr>
      <vt:lpstr>ChangeLog</vt:lpstr>
      <vt:lpstr>ABSRate</vt:lpstr>
      <vt:lpstr>ABSRateCode</vt:lpstr>
      <vt:lpstr>ABSValues</vt:lpstr>
      <vt:lpstr>Authority</vt:lpstr>
      <vt:lpstr>AuthorityCode</vt:lpstr>
      <vt:lpstr>CalculationMethod</vt:lpstr>
      <vt:lpstr>CalculationMethodCode</vt:lpstr>
      <vt:lpstr>CalendarYear</vt:lpstr>
      <vt:lpstr>CoDep</vt:lpstr>
      <vt:lpstr>ComplexAuthCount</vt:lpstr>
      <vt:lpstr>CoPayBandChanged</vt:lpstr>
      <vt:lpstr>CoPayBandLink</vt:lpstr>
      <vt:lpstr>CoPayBandMS</vt:lpstr>
      <vt:lpstr>CoPayBandMSAdditional</vt:lpstr>
      <vt:lpstr>CoPayBands</vt:lpstr>
      <vt:lpstr>CoPayC0</vt:lpstr>
      <vt:lpstr>CoPayC1</vt:lpstr>
      <vt:lpstr>CoPayCountChanged</vt:lpstr>
      <vt:lpstr>CoPayCountNew</vt:lpstr>
      <vt:lpstr>CoPayG1</vt:lpstr>
      <vt:lpstr>CoPayG2</vt:lpstr>
      <vt:lpstr>CoPayMethod</vt:lpstr>
      <vt:lpstr>CoPayPBS</vt:lpstr>
      <vt:lpstr>CoPayR0</vt:lpstr>
      <vt:lpstr>CoPayR1</vt:lpstr>
      <vt:lpstr>CoPayRPBS</vt:lpstr>
      <vt:lpstr>CostType</vt:lpstr>
      <vt:lpstr>CostTypeCode</vt:lpstr>
      <vt:lpstr>CostTypePBS</vt:lpstr>
      <vt:lpstr>CostTypePBSCode</vt:lpstr>
      <vt:lpstr>DataSource</vt:lpstr>
      <vt:lpstr>DisplaceType</vt:lpstr>
      <vt:lpstr>DisplaceTypeCode</vt:lpstr>
      <vt:lpstr>DPMQCoPayChangedEff</vt:lpstr>
      <vt:lpstr>DPMQCoPayChangedPub</vt:lpstr>
      <vt:lpstr>DPMQCoPayNewEff</vt:lpstr>
      <vt:lpstr>DPMQCoPayNewPub</vt:lpstr>
      <vt:lpstr>EconomicAnalysis</vt:lpstr>
      <vt:lpstr>Electronic</vt:lpstr>
      <vt:lpstr>EPISource</vt:lpstr>
      <vt:lpstr>EPISourceCode</vt:lpstr>
      <vt:lpstr>EpiType</vt:lpstr>
      <vt:lpstr>EpiTypeCode</vt:lpstr>
      <vt:lpstr>ErrorMessages</vt:lpstr>
      <vt:lpstr>FirstYear</vt:lpstr>
      <vt:lpstr>Gender</vt:lpstr>
      <vt:lpstr>GenderCode</vt:lpstr>
      <vt:lpstr>Indication</vt:lpstr>
      <vt:lpstr>List</vt:lpstr>
      <vt:lpstr>ListingType</vt:lpstr>
      <vt:lpstr>MarketImpact</vt:lpstr>
      <vt:lpstr>MarketImpactCode</vt:lpstr>
      <vt:lpstr>MarketImpactType</vt:lpstr>
      <vt:lpstr>MaxQ</vt:lpstr>
      <vt:lpstr>MBSBasis</vt:lpstr>
      <vt:lpstr>MBSBasisCode</vt:lpstr>
      <vt:lpstr>MBSDecCalc</vt:lpstr>
      <vt:lpstr>MBSDecItems</vt:lpstr>
      <vt:lpstr>MBSDecNames</vt:lpstr>
      <vt:lpstr>MBSDecPopSplit</vt:lpstr>
      <vt:lpstr>MBSDecRate</vt:lpstr>
      <vt:lpstr>MBSIncCalc</vt:lpstr>
      <vt:lpstr>MBSIncItems</vt:lpstr>
      <vt:lpstr>MBSIncNames</vt:lpstr>
      <vt:lpstr>MBSIncPopSplit</vt:lpstr>
      <vt:lpstr>MBSIncRate</vt:lpstr>
      <vt:lpstr>MBSItemsAll</vt:lpstr>
      <vt:lpstr>MBSPBSDec</vt:lpstr>
      <vt:lpstr>MBSPBSInc</vt:lpstr>
      <vt:lpstr>MBSRebateRate</vt:lpstr>
      <vt:lpstr>MBSRPBSDec</vt:lpstr>
      <vt:lpstr>MBSRPBSInc</vt:lpstr>
      <vt:lpstr>MedicineBrand</vt:lpstr>
      <vt:lpstr>MedicineName</vt:lpstr>
      <vt:lpstr>MsgConfirm</vt:lpstr>
      <vt:lpstr>MsgError</vt:lpstr>
      <vt:lpstr>MsgNote</vt:lpstr>
      <vt:lpstr>MsgNotRequired</vt:lpstr>
      <vt:lpstr>MsgNotUsed</vt:lpstr>
      <vt:lpstr>MsgWarn</vt:lpstr>
      <vt:lpstr>NamesEpiAdditional</vt:lpstr>
      <vt:lpstr>NamesLinkNew</vt:lpstr>
      <vt:lpstr>NamesMS</vt:lpstr>
      <vt:lpstr>NamesMSAdditional</vt:lpstr>
      <vt:lpstr>NamesNew</vt:lpstr>
      <vt:lpstr>NamesOverallChanged</vt:lpstr>
      <vt:lpstr>NamesOverallChangedCode</vt:lpstr>
      <vt:lpstr>NewAdjunct</vt:lpstr>
      <vt:lpstr>Pathway</vt:lpstr>
      <vt:lpstr>PathwayCode</vt:lpstr>
      <vt:lpstr>PBACMeetingDate</vt:lpstr>
      <vt:lpstr>PBSScriptsChanged</vt:lpstr>
      <vt:lpstr>PBSScriptsNew</vt:lpstr>
      <vt:lpstr>PBSScriptsOld</vt:lpstr>
      <vt:lpstr>'11. Persistent population'!PRate01</vt:lpstr>
      <vt:lpstr>'11. Persistent population'!PRate02</vt:lpstr>
      <vt:lpstr>'11. Persistent population'!PRate03</vt:lpstr>
      <vt:lpstr>'11. Persistent population'!PRate04</vt:lpstr>
      <vt:lpstr>'11. Persistent population'!PRate05</vt:lpstr>
      <vt:lpstr>'11. Persistent population'!PRate06</vt:lpstr>
      <vt:lpstr>'11. Persistent population'!PRate07</vt:lpstr>
      <vt:lpstr>'11. Persistent population'!PRate08</vt:lpstr>
      <vt:lpstr>'11. Persistent population'!PRate09</vt:lpstr>
      <vt:lpstr>'11. Persistent population'!PRate10</vt:lpstr>
      <vt:lpstr>'1. Overview'!Print_Area</vt:lpstr>
      <vt:lpstr>Programme</vt:lpstr>
      <vt:lpstr>ProgrammeCode</vt:lpstr>
      <vt:lpstr>PxGrandfathered</vt:lpstr>
      <vt:lpstr>PxIncident</vt:lpstr>
      <vt:lpstr>PxPopMaxCount</vt:lpstr>
      <vt:lpstr>PxPopNames</vt:lpstr>
      <vt:lpstr>PxPopNumbers</vt:lpstr>
      <vt:lpstr>PxPopSource</vt:lpstr>
      <vt:lpstr>PxPopSourceCode</vt:lpstr>
      <vt:lpstr>PxPopValid</vt:lpstr>
      <vt:lpstr>PxPrevalent</vt:lpstr>
      <vt:lpstr>PxTxCount</vt:lpstr>
      <vt:lpstr>PxTxNames</vt:lpstr>
      <vt:lpstr>PxTxPhase1</vt:lpstr>
      <vt:lpstr>PxTxPhase1Adj</vt:lpstr>
      <vt:lpstr>PxTxPhase2</vt:lpstr>
      <vt:lpstr>PxTxPhase2Adj</vt:lpstr>
      <vt:lpstr>PxTxSource</vt:lpstr>
      <vt:lpstr>PxTxSourceCode</vt:lpstr>
      <vt:lpstr>PxTxValid</vt:lpstr>
      <vt:lpstr>Reporting</vt:lpstr>
      <vt:lpstr>RestrictionCount</vt:lpstr>
      <vt:lpstr>RPBSScriptsChanged</vt:lpstr>
      <vt:lpstr>RPBSScriptsNew</vt:lpstr>
      <vt:lpstr>RPBSScriptsOld</vt:lpstr>
      <vt:lpstr>RSAFlag</vt:lpstr>
      <vt:lpstr>RSAJoinFlag</vt:lpstr>
      <vt:lpstr>SAChanged</vt:lpstr>
      <vt:lpstr>SANew</vt:lpstr>
      <vt:lpstr>ScheduleType</vt:lpstr>
      <vt:lpstr>ScheduleTypeCode</vt:lpstr>
      <vt:lpstr>ScriptsMSAdditional</vt:lpstr>
      <vt:lpstr>'2e. Scripts - market'!ScriptsOldTotal</vt:lpstr>
      <vt:lpstr>ScriptSource</vt:lpstr>
      <vt:lpstr>ScriptSourceCode</vt:lpstr>
      <vt:lpstr>ScriptSplit</vt:lpstr>
      <vt:lpstr>ScriptSplitCode</vt:lpstr>
      <vt:lpstr>ScriptSplitType</vt:lpstr>
      <vt:lpstr>ServiceSplitPBS</vt:lpstr>
      <vt:lpstr>ServiceSplitPrivate</vt:lpstr>
      <vt:lpstr>ServiceSplitPublic</vt:lpstr>
      <vt:lpstr>ServiceSplitRPBS</vt:lpstr>
      <vt:lpstr>SPAChangeFlag</vt:lpstr>
      <vt:lpstr>SPANewFlag</vt:lpstr>
      <vt:lpstr>SubmissionCategory</vt:lpstr>
      <vt:lpstr>SubmissionCategoryCode</vt:lpstr>
      <vt:lpstr>SubmissionType</vt:lpstr>
      <vt:lpstr>SubmissionTypeCode</vt:lpstr>
      <vt:lpstr>Switch</vt:lpstr>
      <vt:lpstr>TimeUnit</vt:lpstr>
      <vt:lpstr>TimeUnitCode</vt:lpstr>
      <vt:lpstr>TimeUnitCount</vt:lpstr>
      <vt:lpstr>TPAll</vt:lpstr>
      <vt:lpstr>TPCont</vt:lpstr>
      <vt:lpstr>TPInit</vt:lpstr>
      <vt:lpstr>TPLong</vt:lpstr>
      <vt:lpstr>TPLongCode</vt:lpstr>
      <vt:lpstr>TPShort</vt:lpstr>
      <vt:lpstr>TPShortCode</vt:lpstr>
      <vt:lpstr>TPShortReverse</vt:lpstr>
      <vt:lpstr>TxDuration</vt:lpstr>
      <vt:lpstr>TxPhase1</vt:lpstr>
      <vt:lpstr>TxPhase1Code</vt:lpstr>
      <vt:lpstr>TxPhase1Px</vt:lpstr>
      <vt:lpstr>TxPhase1PxTotal</vt:lpstr>
      <vt:lpstr>TxPhase1PxUnitsTx</vt:lpstr>
      <vt:lpstr>TxPhase1Rx</vt:lpstr>
      <vt:lpstr>TxPhase1RxTotal</vt:lpstr>
      <vt:lpstr>TxPhase1Tx</vt:lpstr>
      <vt:lpstr>TxPhase2</vt:lpstr>
      <vt:lpstr>TxPhase2Code</vt:lpstr>
      <vt:lpstr>TxPhase2Px</vt:lpstr>
      <vt:lpstr>TxPhase2PxTotal</vt:lpstr>
      <vt:lpstr>TxPhase2PxUnitsTx</vt:lpstr>
      <vt:lpstr>TxPhase2Rx</vt:lpstr>
      <vt:lpstr>TxPhase2RxTotal</vt:lpstr>
      <vt:lpstr>TxPhase2Source</vt:lpstr>
      <vt:lpstr>TxPhase2SourceCode</vt:lpstr>
      <vt:lpstr>TXPhase2Tx</vt:lpstr>
      <vt:lpstr>TxPhaseLinkNew</vt:lpstr>
      <vt:lpstr>TxPhaseNew</vt:lpstr>
      <vt:lpstr>WarningMessages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
  <cp:lastModifiedBy/>
  <dcterms:created xsi:type="dcterms:W3CDTF">2025-11-28T02:02:41Z</dcterms:created>
  <dcterms:modified xsi:type="dcterms:W3CDTF">2025-11-28T02:02:59Z</dcterms:modified>
</cp:coreProperties>
</file>